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958174\OneDrive - AXA\Arbeitsordner Gasser\Matchwork\Sobrado\Deliverables\EAS\"/>
    </mc:Choice>
  </mc:AlternateContent>
  <xr:revisionPtr revIDLastSave="0" documentId="13_ncr:1_{88DE617F-992F-4117-91DE-0C40FD5FDFC9}" xr6:coauthVersionLast="44" xr6:coauthVersionMax="44" xr10:uidLastSave="{00000000-0000-0000-0000-000000000000}"/>
  <bookViews>
    <workbookView xWindow="-120" yWindow="-120" windowWidth="29040" windowHeight="15840" xr2:uid="{80B1A7AC-F184-4486-A524-FE7FD315B4AD}"/>
  </bookViews>
  <sheets>
    <sheet name="IGB2B Case Template" sheetId="12" r:id="rId1"/>
    <sheet name="Varianten" sheetId="10" r:id="rId2"/>
    <sheet name="DCF Variante &quot;S small&quot;" sheetId="3" r:id="rId3"/>
    <sheet name="DCF Variante &quot;M medium&quot;" sheetId="9" r:id="rId4"/>
    <sheet name="DCF Variante &quot;L large&quot;" sheetId="5" r:id="rId5"/>
    <sheet name="Kosten" sheetId="4" r:id="rId6"/>
    <sheet name="Umsetzung" sheetId="7" r:id="rId7"/>
    <sheet name="Kosten Infrastruktur IG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9" l="1"/>
  <c r="H42" i="9"/>
  <c r="D42" i="9"/>
  <c r="I9" i="12"/>
  <c r="I10" i="12"/>
  <c r="I11" i="12"/>
  <c r="I12" i="12"/>
  <c r="I14" i="12"/>
  <c r="I15" i="12"/>
  <c r="I16" i="12"/>
  <c r="I18" i="12"/>
  <c r="I19" i="12"/>
  <c r="I20" i="12"/>
  <c r="I21" i="12"/>
  <c r="I22" i="12"/>
  <c r="I23" i="12"/>
  <c r="D46" i="12"/>
  <c r="E41" i="12"/>
  <c r="E32" i="12" s="1"/>
  <c r="F41" i="12"/>
  <c r="F32" i="12" s="1"/>
  <c r="G41" i="12"/>
  <c r="G32" i="12" s="1"/>
  <c r="H41" i="12"/>
  <c r="H46" i="12" s="1"/>
  <c r="I41" i="12"/>
  <c r="I46" i="12" s="1"/>
  <c r="D41" i="12"/>
  <c r="D32" i="12" s="1"/>
  <c r="H17" i="12"/>
  <c r="I17" i="12" s="1"/>
  <c r="G17" i="12"/>
  <c r="F17" i="12"/>
  <c r="E17" i="12"/>
  <c r="D17" i="12"/>
  <c r="H13" i="12"/>
  <c r="I13" i="12" s="1"/>
  <c r="G13" i="12"/>
  <c r="F13" i="12"/>
  <c r="E13" i="12"/>
  <c r="D13" i="12"/>
  <c r="H8" i="12"/>
  <c r="I8" i="12" s="1"/>
  <c r="G8" i="12"/>
  <c r="F8" i="12"/>
  <c r="E8" i="12"/>
  <c r="D8" i="12"/>
  <c r="G46" i="12" l="1"/>
  <c r="F46" i="12"/>
  <c r="G25" i="12"/>
  <c r="G34" i="12" s="1"/>
  <c r="G47" i="12" s="1"/>
  <c r="G48" i="12" s="1"/>
  <c r="E46" i="12"/>
  <c r="H32" i="12"/>
  <c r="I32" i="12" s="1"/>
  <c r="E25" i="12"/>
  <c r="E34" i="12" s="1"/>
  <c r="E47" i="12" s="1"/>
  <c r="F25" i="12"/>
  <c r="F34" i="12" s="1"/>
  <c r="F47" i="12" s="1"/>
  <c r="F48" i="12" s="1"/>
  <c r="D25" i="12"/>
  <c r="D34" i="12" s="1"/>
  <c r="D47" i="12" s="1"/>
  <c r="D48" i="12" s="1"/>
  <c r="H25" i="12"/>
  <c r="K96" i="4"/>
  <c r="H43" i="4"/>
  <c r="H11" i="9"/>
  <c r="H13" i="9"/>
  <c r="H37" i="9"/>
  <c r="H83" i="9"/>
  <c r="H84" i="9"/>
  <c r="H85" i="9"/>
  <c r="F50" i="4"/>
  <c r="F55" i="4"/>
  <c r="F59" i="4"/>
  <c r="F67" i="4"/>
  <c r="F8" i="4"/>
  <c r="H39" i="9"/>
  <c r="H87" i="9"/>
  <c r="H88" i="9"/>
  <c r="H89" i="9"/>
  <c r="H92" i="9"/>
  <c r="G11" i="9"/>
  <c r="G13" i="9"/>
  <c r="G37" i="9"/>
  <c r="G83" i="9"/>
  <c r="G84" i="9"/>
  <c r="G85" i="9"/>
  <c r="E50" i="4"/>
  <c r="E55" i="4"/>
  <c r="E59" i="4"/>
  <c r="E67" i="4"/>
  <c r="E8" i="4"/>
  <c r="G39" i="9"/>
  <c r="G87" i="9"/>
  <c r="G88" i="9"/>
  <c r="G89" i="9"/>
  <c r="G92" i="9"/>
  <c r="F11" i="9"/>
  <c r="F13" i="9"/>
  <c r="F37" i="9"/>
  <c r="F83" i="9"/>
  <c r="F84" i="9"/>
  <c r="F85" i="9"/>
  <c r="D50" i="4"/>
  <c r="D55" i="4"/>
  <c r="D59" i="4"/>
  <c r="D67" i="4"/>
  <c r="D8" i="4"/>
  <c r="F39" i="9"/>
  <c r="F87" i="9"/>
  <c r="F88" i="9"/>
  <c r="F89" i="9"/>
  <c r="F92" i="9"/>
  <c r="E11" i="9"/>
  <c r="E13" i="9"/>
  <c r="E37" i="9"/>
  <c r="E83" i="9"/>
  <c r="E85" i="9"/>
  <c r="C50" i="4"/>
  <c r="C55" i="4"/>
  <c r="C59" i="4"/>
  <c r="C67" i="4"/>
  <c r="C8" i="4"/>
  <c r="E39" i="9"/>
  <c r="E87" i="9"/>
  <c r="C13" i="4"/>
  <c r="E88" i="9"/>
  <c r="E89" i="9"/>
  <c r="E92" i="9"/>
  <c r="D11" i="9"/>
  <c r="D13" i="9"/>
  <c r="D37" i="9"/>
  <c r="D83" i="9"/>
  <c r="D85" i="9"/>
  <c r="B50" i="4"/>
  <c r="B55" i="4"/>
  <c r="B59" i="4"/>
  <c r="B67" i="4"/>
  <c r="B8" i="4"/>
  <c r="D39" i="9"/>
  <c r="D87" i="9"/>
  <c r="D88" i="9"/>
  <c r="D89" i="9"/>
  <c r="D92" i="9"/>
  <c r="D102" i="9"/>
  <c r="E102" i="9"/>
  <c r="F102" i="9"/>
  <c r="G102" i="9"/>
  <c r="H102" i="9"/>
  <c r="D11" i="5"/>
  <c r="D13" i="5"/>
  <c r="D37" i="5"/>
  <c r="D60" i="5"/>
  <c r="B78" i="4"/>
  <c r="B83" i="4"/>
  <c r="B87" i="4"/>
  <c r="B95" i="4"/>
  <c r="B12" i="4"/>
  <c r="D62" i="5"/>
  <c r="D65" i="5"/>
  <c r="E11" i="5"/>
  <c r="E13" i="5"/>
  <c r="E37" i="5"/>
  <c r="E60" i="5"/>
  <c r="C78" i="4"/>
  <c r="C83" i="4"/>
  <c r="C87" i="4"/>
  <c r="C95" i="4"/>
  <c r="C12" i="4"/>
  <c r="E62" i="5"/>
  <c r="E65" i="5"/>
  <c r="F11" i="5"/>
  <c r="F13" i="5"/>
  <c r="F37" i="5"/>
  <c r="F60" i="5"/>
  <c r="D78" i="4"/>
  <c r="D83" i="4"/>
  <c r="D87" i="4"/>
  <c r="D95" i="4"/>
  <c r="D12" i="4"/>
  <c r="F62" i="5"/>
  <c r="F65" i="5"/>
  <c r="I68" i="5"/>
  <c r="H11" i="5"/>
  <c r="H13" i="5"/>
  <c r="H37" i="5"/>
  <c r="H60" i="5"/>
  <c r="F78" i="4"/>
  <c r="F83" i="4"/>
  <c r="F87" i="4"/>
  <c r="F95" i="4"/>
  <c r="F12" i="4"/>
  <c r="H62" i="5"/>
  <c r="H65" i="5"/>
  <c r="G11" i="5"/>
  <c r="G13" i="5"/>
  <c r="G37" i="5"/>
  <c r="G60" i="5"/>
  <c r="E78" i="4"/>
  <c r="E83" i="4"/>
  <c r="E87" i="4"/>
  <c r="E95" i="4"/>
  <c r="E12" i="4"/>
  <c r="G62" i="5"/>
  <c r="G65" i="5"/>
  <c r="D75" i="5"/>
  <c r="E75" i="5"/>
  <c r="F75" i="5"/>
  <c r="G75" i="5"/>
  <c r="H75" i="5"/>
  <c r="H76" i="5"/>
  <c r="H66" i="5"/>
  <c r="D60" i="9"/>
  <c r="D111" i="9"/>
  <c r="D113" i="9"/>
  <c r="B11" i="4"/>
  <c r="D62" i="9"/>
  <c r="D115" i="9"/>
  <c r="D116" i="9"/>
  <c r="D117" i="9"/>
  <c r="D120" i="9"/>
  <c r="E60" i="9"/>
  <c r="E111" i="9"/>
  <c r="E113" i="9"/>
  <c r="C11" i="4"/>
  <c r="E62" i="9"/>
  <c r="E115" i="9"/>
  <c r="E116" i="9"/>
  <c r="E117" i="9"/>
  <c r="E120" i="9"/>
  <c r="I123" i="9"/>
  <c r="H60" i="9"/>
  <c r="H111" i="9"/>
  <c r="H112" i="9"/>
  <c r="H113" i="9"/>
  <c r="F11" i="4"/>
  <c r="H62" i="9"/>
  <c r="H115" i="9"/>
  <c r="H116" i="9"/>
  <c r="H117" i="9"/>
  <c r="H120" i="9"/>
  <c r="G60" i="9"/>
  <c r="G111" i="9"/>
  <c r="G112" i="9"/>
  <c r="G113" i="9"/>
  <c r="E11" i="4"/>
  <c r="G62" i="9"/>
  <c r="G115" i="9"/>
  <c r="G116" i="9"/>
  <c r="G117" i="9"/>
  <c r="G120" i="9"/>
  <c r="F60" i="9"/>
  <c r="F111" i="9"/>
  <c r="F112" i="9"/>
  <c r="F113" i="9"/>
  <c r="D11" i="4"/>
  <c r="F62" i="9"/>
  <c r="F115" i="9"/>
  <c r="F116" i="9"/>
  <c r="F117" i="9"/>
  <c r="F120" i="9"/>
  <c r="D130" i="9"/>
  <c r="E130" i="9"/>
  <c r="F130" i="9"/>
  <c r="G130" i="9"/>
  <c r="H130" i="9"/>
  <c r="H131" i="9"/>
  <c r="H121" i="9"/>
  <c r="D65" i="9"/>
  <c r="E65" i="9"/>
  <c r="F65" i="9"/>
  <c r="I68" i="9"/>
  <c r="H65" i="9"/>
  <c r="G65" i="9"/>
  <c r="D75" i="9"/>
  <c r="E75" i="9"/>
  <c r="F75" i="9"/>
  <c r="G75" i="9"/>
  <c r="H75" i="9"/>
  <c r="D11" i="3"/>
  <c r="D13" i="3"/>
  <c r="D37" i="3"/>
  <c r="D60" i="3"/>
  <c r="B10" i="4"/>
  <c r="D62" i="3"/>
  <c r="D65" i="3"/>
  <c r="E11" i="3"/>
  <c r="E13" i="3"/>
  <c r="E37" i="3"/>
  <c r="E60" i="3"/>
  <c r="C10" i="4"/>
  <c r="E62" i="3"/>
  <c r="E65" i="3"/>
  <c r="F11" i="3"/>
  <c r="F13" i="3"/>
  <c r="F37" i="3"/>
  <c r="F60" i="3"/>
  <c r="D10" i="4"/>
  <c r="F62" i="3"/>
  <c r="F65" i="3"/>
  <c r="I68" i="3"/>
  <c r="H11" i="3"/>
  <c r="H13" i="3"/>
  <c r="H37" i="3"/>
  <c r="H60" i="3"/>
  <c r="F10" i="4"/>
  <c r="H62" i="3"/>
  <c r="H65" i="3"/>
  <c r="G11" i="3"/>
  <c r="G13" i="3"/>
  <c r="G37" i="3"/>
  <c r="G60" i="3"/>
  <c r="E10" i="4"/>
  <c r="G62" i="3"/>
  <c r="G65" i="3"/>
  <c r="D75" i="3"/>
  <c r="E75" i="3"/>
  <c r="F75" i="3"/>
  <c r="G75" i="3"/>
  <c r="H75" i="3"/>
  <c r="G10" i="4"/>
  <c r="G11" i="4"/>
  <c r="G12" i="4"/>
  <c r="I95" i="9"/>
  <c r="E44" i="10"/>
  <c r="D94" i="9"/>
  <c r="D98" i="9"/>
  <c r="D99" i="9"/>
  <c r="E94" i="9"/>
  <c r="E98" i="9"/>
  <c r="E99" i="9"/>
  <c r="F94" i="9"/>
  <c r="F98" i="9"/>
  <c r="F99" i="9"/>
  <c r="G93" i="9"/>
  <c r="G94" i="9"/>
  <c r="G98" i="9"/>
  <c r="G99" i="9"/>
  <c r="H94" i="9"/>
  <c r="H98" i="9"/>
  <c r="H99" i="9"/>
  <c r="I13" i="9"/>
  <c r="I37" i="9"/>
  <c r="I83" i="9"/>
  <c r="I84" i="9"/>
  <c r="I85" i="9"/>
  <c r="G8" i="4"/>
  <c r="I39" i="9"/>
  <c r="I87" i="9"/>
  <c r="I88" i="9"/>
  <c r="I89" i="9"/>
  <c r="I92" i="9"/>
  <c r="I93" i="9"/>
  <c r="I94" i="9"/>
  <c r="I98" i="9"/>
  <c r="I99" i="9"/>
  <c r="D101" i="9"/>
  <c r="E23" i="10"/>
  <c r="E90" i="9"/>
  <c r="F90" i="9"/>
  <c r="G90" i="9"/>
  <c r="H90" i="9"/>
  <c r="I11" i="9"/>
  <c r="I90" i="9"/>
  <c r="D90" i="9"/>
  <c r="I112" i="9"/>
  <c r="I96" i="9"/>
  <c r="B9" i="4"/>
  <c r="D39" i="5"/>
  <c r="D42" i="5"/>
  <c r="C9" i="4"/>
  <c r="E39" i="5"/>
  <c r="E42" i="5"/>
  <c r="D9" i="4"/>
  <c r="F39" i="5"/>
  <c r="F42" i="5"/>
  <c r="I45" i="5"/>
  <c r="B22" i="4"/>
  <c r="B23" i="4"/>
  <c r="B25" i="4"/>
  <c r="B21" i="4"/>
  <c r="B27" i="4"/>
  <c r="B28" i="4"/>
  <c r="B29" i="4"/>
  <c r="B26" i="4"/>
  <c r="B31" i="4"/>
  <c r="B30" i="4"/>
  <c r="B35" i="4"/>
  <c r="B38" i="4"/>
  <c r="B6" i="4"/>
  <c r="D15" i="5"/>
  <c r="D18" i="5"/>
  <c r="C21" i="4"/>
  <c r="C26" i="4"/>
  <c r="C30" i="4"/>
  <c r="C38" i="4"/>
  <c r="C6" i="4"/>
  <c r="E15" i="5"/>
  <c r="E18" i="5"/>
  <c r="D21" i="4"/>
  <c r="D26" i="4"/>
  <c r="D30" i="4"/>
  <c r="D38" i="4"/>
  <c r="D6" i="4"/>
  <c r="F15" i="5"/>
  <c r="F18" i="5"/>
  <c r="I21" i="5"/>
  <c r="E42" i="9"/>
  <c r="F42" i="9"/>
  <c r="I45" i="9"/>
  <c r="B5" i="4"/>
  <c r="D15" i="9"/>
  <c r="D18" i="9"/>
  <c r="C5" i="4"/>
  <c r="E15" i="9"/>
  <c r="E18" i="9"/>
  <c r="D5" i="4"/>
  <c r="F15" i="9"/>
  <c r="F18" i="9"/>
  <c r="I21" i="9"/>
  <c r="B7" i="4"/>
  <c r="D39" i="3"/>
  <c r="D42" i="3"/>
  <c r="C7" i="4"/>
  <c r="E39" i="3"/>
  <c r="E42" i="3"/>
  <c r="D7" i="4"/>
  <c r="F39" i="3"/>
  <c r="F42" i="3"/>
  <c r="I45" i="3"/>
  <c r="B4" i="4"/>
  <c r="D15" i="3"/>
  <c r="D18" i="3"/>
  <c r="C4" i="4"/>
  <c r="E15" i="3"/>
  <c r="E18" i="3"/>
  <c r="D4" i="4"/>
  <c r="F15" i="3"/>
  <c r="F18" i="3"/>
  <c r="I21" i="3"/>
  <c r="F43" i="10"/>
  <c r="F42" i="10"/>
  <c r="F41" i="10"/>
  <c r="E45" i="10"/>
  <c r="E43" i="10"/>
  <c r="E42" i="10"/>
  <c r="E41" i="10"/>
  <c r="D43" i="10"/>
  <c r="D42" i="10"/>
  <c r="D41" i="10"/>
  <c r="F9" i="4"/>
  <c r="H39" i="5"/>
  <c r="H42" i="5"/>
  <c r="E9" i="4"/>
  <c r="G39" i="5"/>
  <c r="G42" i="5"/>
  <c r="D52" i="5"/>
  <c r="E52" i="5"/>
  <c r="F52" i="5"/>
  <c r="G52" i="5"/>
  <c r="H52" i="5"/>
  <c r="G42" i="9"/>
  <c r="D52" i="9"/>
  <c r="E52" i="9"/>
  <c r="F52" i="9"/>
  <c r="G52" i="9"/>
  <c r="H52" i="9"/>
  <c r="F7" i="4"/>
  <c r="H39" i="3"/>
  <c r="H42" i="3"/>
  <c r="E7" i="4"/>
  <c r="G39" i="3"/>
  <c r="G42" i="3"/>
  <c r="D52" i="3"/>
  <c r="E52" i="3"/>
  <c r="F52" i="3"/>
  <c r="G52" i="3"/>
  <c r="H52" i="3"/>
  <c r="G7" i="4"/>
  <c r="G9" i="4"/>
  <c r="D122" i="9"/>
  <c r="D126" i="9"/>
  <c r="D127" i="9"/>
  <c r="E122" i="9"/>
  <c r="E126" i="9"/>
  <c r="E127" i="9"/>
  <c r="F122" i="9"/>
  <c r="F126" i="9"/>
  <c r="F127" i="9"/>
  <c r="G121" i="9"/>
  <c r="G122" i="9"/>
  <c r="G126" i="9"/>
  <c r="G127" i="9"/>
  <c r="H122" i="9"/>
  <c r="H126" i="9"/>
  <c r="H127" i="9"/>
  <c r="I60" i="9"/>
  <c r="I111" i="9"/>
  <c r="I113" i="9"/>
  <c r="I62" i="9"/>
  <c r="I115" i="9"/>
  <c r="I116" i="9"/>
  <c r="I117" i="9"/>
  <c r="I120" i="9"/>
  <c r="I121" i="9"/>
  <c r="I122" i="9"/>
  <c r="I126" i="9"/>
  <c r="I127" i="9"/>
  <c r="D129" i="9"/>
  <c r="E24" i="10"/>
  <c r="D67" i="5"/>
  <c r="D71" i="5"/>
  <c r="D72" i="5"/>
  <c r="E67" i="5"/>
  <c r="E71" i="5"/>
  <c r="E72" i="5"/>
  <c r="F67" i="5"/>
  <c r="F71" i="5"/>
  <c r="F72" i="5"/>
  <c r="G66" i="5"/>
  <c r="G67" i="5"/>
  <c r="G71" i="5"/>
  <c r="G72" i="5"/>
  <c r="H67" i="5"/>
  <c r="H71" i="5"/>
  <c r="H72" i="5"/>
  <c r="I13" i="5"/>
  <c r="I37" i="5"/>
  <c r="I60" i="5"/>
  <c r="I62" i="5"/>
  <c r="I65" i="5"/>
  <c r="I66" i="5"/>
  <c r="I67" i="5"/>
  <c r="I71" i="5"/>
  <c r="I72" i="5"/>
  <c r="D74" i="5"/>
  <c r="F22" i="10"/>
  <c r="D67" i="9"/>
  <c r="D71" i="9"/>
  <c r="D72" i="9"/>
  <c r="E67" i="9"/>
  <c r="E71" i="9"/>
  <c r="E72" i="9"/>
  <c r="F67" i="9"/>
  <c r="F71" i="9"/>
  <c r="F72" i="9"/>
  <c r="G66" i="9"/>
  <c r="G67" i="9"/>
  <c r="G71" i="9"/>
  <c r="G72" i="9"/>
  <c r="H67" i="9"/>
  <c r="H71" i="9"/>
  <c r="H72" i="9"/>
  <c r="I65" i="9"/>
  <c r="I66" i="9"/>
  <c r="I67" i="9"/>
  <c r="I71" i="9"/>
  <c r="I72" i="9"/>
  <c r="D74" i="9"/>
  <c r="E22" i="10"/>
  <c r="D67" i="3"/>
  <c r="D71" i="3"/>
  <c r="D72" i="3"/>
  <c r="E67" i="3"/>
  <c r="E71" i="3"/>
  <c r="E72" i="3"/>
  <c r="F67" i="3"/>
  <c r="F71" i="3"/>
  <c r="F72" i="3"/>
  <c r="G67" i="3"/>
  <c r="G71" i="3"/>
  <c r="G72" i="3"/>
  <c r="H67" i="3"/>
  <c r="H71" i="3"/>
  <c r="H72" i="3"/>
  <c r="I13" i="3"/>
  <c r="I37" i="3"/>
  <c r="I60" i="3"/>
  <c r="I62" i="3"/>
  <c r="I65" i="3"/>
  <c r="I66" i="3"/>
  <c r="I67" i="3"/>
  <c r="I71" i="3"/>
  <c r="I72" i="3"/>
  <c r="D74" i="3"/>
  <c r="D22" i="10"/>
  <c r="I39" i="5"/>
  <c r="I42" i="5"/>
  <c r="I43" i="5"/>
  <c r="I44" i="5"/>
  <c r="H48" i="5"/>
  <c r="I48" i="5"/>
  <c r="I49" i="5"/>
  <c r="D44" i="5"/>
  <c r="D48" i="5"/>
  <c r="D49" i="5"/>
  <c r="G44" i="5"/>
  <c r="G48" i="5"/>
  <c r="G49" i="5"/>
  <c r="E44" i="5"/>
  <c r="E48" i="5"/>
  <c r="E49" i="5"/>
  <c r="F44" i="5"/>
  <c r="F48" i="5"/>
  <c r="F49" i="5"/>
  <c r="H44" i="5"/>
  <c r="H49" i="5"/>
  <c r="D51" i="5"/>
  <c r="F21" i="10"/>
  <c r="I42" i="9"/>
  <c r="I43" i="9"/>
  <c r="I44" i="9"/>
  <c r="H48" i="9"/>
  <c r="I48" i="9"/>
  <c r="I49" i="9"/>
  <c r="D44" i="9"/>
  <c r="D48" i="9"/>
  <c r="D49" i="9"/>
  <c r="G44" i="9"/>
  <c r="G48" i="9"/>
  <c r="G49" i="9"/>
  <c r="E44" i="9"/>
  <c r="E48" i="9"/>
  <c r="E49" i="9"/>
  <c r="F44" i="9"/>
  <c r="F48" i="9"/>
  <c r="F49" i="9"/>
  <c r="H44" i="9"/>
  <c r="H49" i="9"/>
  <c r="D51" i="9"/>
  <c r="E21" i="10"/>
  <c r="D44" i="3"/>
  <c r="D48" i="3"/>
  <c r="D49" i="3"/>
  <c r="G43" i="3"/>
  <c r="G44" i="3"/>
  <c r="G48" i="3"/>
  <c r="G49" i="3"/>
  <c r="E44" i="3"/>
  <c r="E48" i="3"/>
  <c r="E49" i="3"/>
  <c r="F44" i="3"/>
  <c r="F48" i="3"/>
  <c r="F49" i="3"/>
  <c r="H44" i="3"/>
  <c r="H48" i="3"/>
  <c r="H49" i="3"/>
  <c r="I39" i="3"/>
  <c r="I42" i="3"/>
  <c r="I43" i="3"/>
  <c r="I44" i="3"/>
  <c r="I48" i="3"/>
  <c r="I49" i="3"/>
  <c r="D51" i="3"/>
  <c r="D21" i="10"/>
  <c r="D20" i="5"/>
  <c r="D24" i="5"/>
  <c r="D26" i="5"/>
  <c r="D29" i="5"/>
  <c r="E29" i="5"/>
  <c r="F29" i="5"/>
  <c r="E30" i="4"/>
  <c r="E21" i="4"/>
  <c r="E26" i="4"/>
  <c r="E38" i="4"/>
  <c r="E6" i="4"/>
  <c r="G15" i="5"/>
  <c r="G18" i="5"/>
  <c r="G29" i="5"/>
  <c r="F30" i="4"/>
  <c r="F21" i="4"/>
  <c r="F26" i="4"/>
  <c r="F38" i="4"/>
  <c r="F6" i="4"/>
  <c r="H15" i="5"/>
  <c r="H18" i="5"/>
  <c r="H29" i="5"/>
  <c r="H30" i="5"/>
  <c r="H19" i="5"/>
  <c r="H20" i="5"/>
  <c r="H24" i="5"/>
  <c r="H26" i="5"/>
  <c r="E20" i="5"/>
  <c r="E24" i="5"/>
  <c r="E26" i="5"/>
  <c r="F20" i="5"/>
  <c r="F24" i="5"/>
  <c r="F26" i="5"/>
  <c r="G19" i="5"/>
  <c r="G20" i="5"/>
  <c r="G24" i="5"/>
  <c r="G26" i="5"/>
  <c r="G6" i="4"/>
  <c r="I15" i="5"/>
  <c r="I18" i="5"/>
  <c r="I19" i="5"/>
  <c r="I20" i="5"/>
  <c r="I24" i="5"/>
  <c r="I26" i="5"/>
  <c r="D28" i="5"/>
  <c r="F20" i="10"/>
  <c r="D20" i="9"/>
  <c r="D24" i="9"/>
  <c r="D26" i="9"/>
  <c r="E20" i="9"/>
  <c r="E24" i="9"/>
  <c r="E26" i="9"/>
  <c r="F20" i="9"/>
  <c r="F24" i="9"/>
  <c r="F26" i="9"/>
  <c r="E5" i="4"/>
  <c r="G15" i="9"/>
  <c r="G18" i="9"/>
  <c r="G20" i="9"/>
  <c r="G24" i="9"/>
  <c r="G26" i="9"/>
  <c r="F5" i="4"/>
  <c r="H15" i="9"/>
  <c r="H18" i="9"/>
  <c r="H20" i="9"/>
  <c r="H24" i="9"/>
  <c r="H26" i="9"/>
  <c r="G5" i="4"/>
  <c r="I15" i="9"/>
  <c r="I18" i="9"/>
  <c r="I19" i="9"/>
  <c r="I20" i="9"/>
  <c r="I24" i="9"/>
  <c r="I26" i="9"/>
  <c r="D28" i="9"/>
  <c r="E20" i="10"/>
  <c r="D20" i="3"/>
  <c r="D24" i="3"/>
  <c r="D26" i="3"/>
  <c r="E20" i="3"/>
  <c r="E24" i="3"/>
  <c r="E26" i="3"/>
  <c r="F20" i="3"/>
  <c r="F24" i="3"/>
  <c r="F26" i="3"/>
  <c r="E4" i="4"/>
  <c r="G15" i="3"/>
  <c r="G18" i="3"/>
  <c r="G19" i="3"/>
  <c r="G20" i="3"/>
  <c r="G24" i="3"/>
  <c r="G26" i="3"/>
  <c r="F4" i="4"/>
  <c r="H15" i="3"/>
  <c r="H18" i="3"/>
  <c r="H20" i="3"/>
  <c r="H24" i="3"/>
  <c r="H26" i="3"/>
  <c r="G4" i="4"/>
  <c r="I15" i="3"/>
  <c r="I18" i="3"/>
  <c r="I19" i="3"/>
  <c r="I20" i="3"/>
  <c r="I24" i="3"/>
  <c r="I26" i="3"/>
  <c r="D28" i="3"/>
  <c r="D20" i="10"/>
  <c r="D29" i="9"/>
  <c r="E29" i="9"/>
  <c r="F29" i="9"/>
  <c r="G29" i="9"/>
  <c r="H29" i="9"/>
  <c r="D29" i="3"/>
  <c r="E29" i="3"/>
  <c r="F29" i="3"/>
  <c r="G29" i="3"/>
  <c r="H29" i="3"/>
  <c r="E118" i="9"/>
  <c r="F118" i="9"/>
  <c r="G118" i="9"/>
  <c r="H118" i="9"/>
  <c r="I118" i="9"/>
  <c r="D118" i="9"/>
  <c r="I124" i="9"/>
  <c r="I69" i="5"/>
  <c r="H63" i="5"/>
  <c r="I63" i="5"/>
  <c r="G63" i="5"/>
  <c r="F63" i="5"/>
  <c r="E63" i="5"/>
  <c r="D63" i="5"/>
  <c r="I46" i="5"/>
  <c r="H40" i="5"/>
  <c r="I40" i="5"/>
  <c r="G40" i="5"/>
  <c r="F40" i="5"/>
  <c r="E40" i="5"/>
  <c r="D40" i="5"/>
  <c r="I69" i="9"/>
  <c r="H63" i="9"/>
  <c r="I63" i="9"/>
  <c r="G63" i="9"/>
  <c r="F63" i="9"/>
  <c r="E63" i="9"/>
  <c r="D63" i="9"/>
  <c r="I46" i="9"/>
  <c r="H40" i="9"/>
  <c r="I40" i="9"/>
  <c r="G40" i="9"/>
  <c r="F40" i="9"/>
  <c r="E40" i="9"/>
  <c r="D40" i="9"/>
  <c r="H63" i="3"/>
  <c r="I63" i="3"/>
  <c r="E63" i="3"/>
  <c r="F63" i="3"/>
  <c r="G63" i="3"/>
  <c r="D63" i="3"/>
  <c r="E40" i="3"/>
  <c r="F40" i="3"/>
  <c r="G40" i="3"/>
  <c r="H40" i="3"/>
  <c r="D40" i="3"/>
  <c r="I11" i="3"/>
  <c r="I40" i="3"/>
  <c r="I69" i="3"/>
  <c r="I46" i="3"/>
  <c r="I22" i="9"/>
  <c r="H16" i="9"/>
  <c r="I16" i="9"/>
  <c r="G16" i="9"/>
  <c r="F16" i="9"/>
  <c r="E16" i="9"/>
  <c r="D16" i="9"/>
  <c r="I12" i="9"/>
  <c r="H7" i="9"/>
  <c r="G7" i="9"/>
  <c r="F7" i="9"/>
  <c r="E7" i="9"/>
  <c r="D7" i="9"/>
  <c r="H16" i="3"/>
  <c r="I16" i="3"/>
  <c r="H16" i="5"/>
  <c r="I16" i="5"/>
  <c r="G16" i="5"/>
  <c r="F16" i="5"/>
  <c r="E16" i="5"/>
  <c r="G16" i="3"/>
  <c r="F16" i="3"/>
  <c r="E16" i="3"/>
  <c r="D16" i="3"/>
  <c r="D16" i="5"/>
  <c r="I22" i="5"/>
  <c r="I12" i="5"/>
  <c r="I11" i="5"/>
  <c r="H7" i="5"/>
  <c r="G7" i="5"/>
  <c r="F7" i="5"/>
  <c r="E7" i="5"/>
  <c r="D7" i="5"/>
  <c r="H7" i="3"/>
  <c r="G7" i="3"/>
  <c r="F7" i="3"/>
  <c r="E7" i="3"/>
  <c r="D7" i="3"/>
  <c r="I12" i="3"/>
  <c r="I22" i="3"/>
  <c r="D49" i="12" l="1"/>
  <c r="D50" i="12" s="1"/>
  <c r="F49" i="12"/>
  <c r="F50" i="12" s="1"/>
  <c r="G49" i="12"/>
  <c r="G50" i="12" s="1"/>
  <c r="E48" i="12"/>
  <c r="H34" i="12"/>
  <c r="I25" i="12"/>
  <c r="G54" i="12" l="1"/>
  <c r="G61" i="12"/>
  <c r="F54" i="12"/>
  <c r="F61" i="12"/>
  <c r="D54" i="12"/>
  <c r="D61" i="12"/>
  <c r="E49" i="12"/>
  <c r="E50" i="12" s="1"/>
  <c r="I34" i="12"/>
  <c r="I47" i="12" s="1"/>
  <c r="I48" i="12" s="1"/>
  <c r="H47" i="12"/>
  <c r="H48" i="12" s="1"/>
  <c r="E54" i="12" l="1"/>
  <c r="E61" i="12"/>
  <c r="I49" i="12"/>
  <c r="I50" i="12" s="1"/>
  <c r="H49" i="12"/>
  <c r="H50" i="12"/>
  <c r="I54" i="12" l="1"/>
  <c r="I61" i="12"/>
  <c r="H54" i="12"/>
  <c r="D56" i="12" s="1"/>
  <c r="H61" i="12"/>
  <c r="D6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Reto Gasser</author>
  </authors>
  <commentList>
    <comment ref="I19" authorId="0" shapeId="0" xr:uid="{856718E1-81DF-4E79-B90C-A9A9C19607E9}">
      <text>
        <r>
          <rPr>
            <b/>
            <sz val="9"/>
            <color indexed="81"/>
            <rFont val="Tahoma"/>
            <family val="2"/>
          </rPr>
          <t>Reto Gasser:</t>
        </r>
        <r>
          <rPr>
            <sz val="9"/>
            <color indexed="81"/>
            <rFont val="Tahoma"/>
            <family val="2"/>
          </rPr>
          <t xml:space="preserve">
Verlustvortrag noch nicht vollumfänglich aufgebraucht. Für Term.Year dennoch mit Steuern gerechnet.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Reto Gasser</author>
  </authors>
  <commentList>
    <comment ref="I19" authorId="0" shapeId="0" xr:uid="{5DB4A9BC-1879-4256-8184-7F715FB5AC05}">
      <text>
        <r>
          <rPr>
            <b/>
            <sz val="9"/>
            <color indexed="81"/>
            <rFont val="Tahoma"/>
            <charset val="1"/>
          </rPr>
          <t>Reto Gasser:</t>
        </r>
        <r>
          <rPr>
            <sz val="9"/>
            <color indexed="81"/>
            <rFont val="Tahoma"/>
            <charset val="1"/>
          </rPr>
          <t xml:space="preserve">
Verlustvortrag noch nicht vollumfänglich aufgebraucht. Für Term.Year dennoch mit Steuern gerechnet.</t>
        </r>
      </text>
    </comment>
  </commentList>
</comments>
</file>

<file path=xl/sharedStrings.xml><?xml version="1.0" encoding="utf-8"?>
<sst xmlns="http://schemas.openxmlformats.org/spreadsheetml/2006/main" count="451" uniqueCount="154">
  <si>
    <t>Discount Period</t>
  </si>
  <si>
    <t>Discounted Cash Flow</t>
  </si>
  <si>
    <t>Transaktion auf Plattform</t>
  </si>
  <si>
    <t>Jahr</t>
  </si>
  <si>
    <t>Preis pro Transaktion</t>
  </si>
  <si>
    <t>Umsatz Total</t>
  </si>
  <si>
    <t>Kosten</t>
  </si>
  <si>
    <t>FCF</t>
  </si>
  <si>
    <t>Discount Factor</t>
  </si>
  <si>
    <t>Term. Year</t>
  </si>
  <si>
    <t>Business Enterprise Value</t>
  </si>
  <si>
    <t>Transaktionen kumuliert Schweiz p.a.</t>
  </si>
  <si>
    <t>Transaktionen pro Kundengruppe</t>
  </si>
  <si>
    <t>Variante</t>
  </si>
  <si>
    <t>Varianten</t>
  </si>
  <si>
    <t>kumuliert</t>
  </si>
  <si>
    <t>pro Jahr</t>
  </si>
  <si>
    <t>Produktionskosten/Transaktion</t>
  </si>
  <si>
    <t>Erfasster Bildschirmausschnitt: 22.07.2019 10:10</t>
  </si>
  <si>
    <t>Tax 20%</t>
  </si>
  <si>
    <t>FCF net of tax</t>
  </si>
  <si>
    <t>Verlustvortrag</t>
  </si>
  <si>
    <t>Tax</t>
  </si>
  <si>
    <t>EAS</t>
  </si>
  <si>
    <t>Ausbaustufe 2 - Lohn/BG-Aenderung</t>
  </si>
  <si>
    <t>X</t>
  </si>
  <si>
    <t>DC</t>
  </si>
  <si>
    <t>AI</t>
  </si>
  <si>
    <t>Variante 1 Greenfield, zentralisiert</t>
  </si>
  <si>
    <t>Variante 2 Greenfield, Corda, AdNovum</t>
  </si>
  <si>
    <t>Ausbau 1</t>
  </si>
  <si>
    <t>Aufbau</t>
  </si>
  <si>
    <t>Ausbau 2</t>
  </si>
  <si>
    <t>Summary - relevant für DCF-Berechnung</t>
  </si>
  <si>
    <t>Quelle: Daniel Castignone</t>
  </si>
  <si>
    <t>Quelle: Adi Ill</t>
  </si>
  <si>
    <t>Variante 1 Greenfield, zentralisiert - S</t>
  </si>
  <si>
    <t>Variante 1 Greenfield, zentralisiert - M</t>
  </si>
  <si>
    <t>Variante 1 Greenfield, zentralisiert - L</t>
  </si>
  <si>
    <t>Variante 2 Greenfield, Corda, AdNovum - S</t>
  </si>
  <si>
    <t>Variante 2 Greenfield, Corda, AdNovum - M</t>
  </si>
  <si>
    <t>Variante 2 Greenfield, Corda, AdNovum - L</t>
  </si>
  <si>
    <t>Ausbaustufe 2 - Lohn/BG-Aenderung - M</t>
  </si>
  <si>
    <t>Greenfield zentralisiert, 150'000 Transaktionen</t>
  </si>
  <si>
    <t>Greenfield Corda AdNovum, 150'000 Transaktionen</t>
  </si>
  <si>
    <t>Sobrado Infrastruktur, 150'000 Transaktionen</t>
  </si>
  <si>
    <t>Greenfield zentralisiert, 200'000 Transaktionen</t>
  </si>
  <si>
    <t>Greenfield Corda AdNovum, 200'000 Transaktionen</t>
  </si>
  <si>
    <t>Sobrado Infrastruktur, 200'000 Transaktionen</t>
  </si>
  <si>
    <t>Greenfield zentralisiert, 250'000 Transaktionen</t>
  </si>
  <si>
    <t>Greenfield Corda AdNovum, 250'000 Transaktionen</t>
  </si>
  <si>
    <t>Sobrado Infrastruktur, 250'000 Transaktionen</t>
  </si>
  <si>
    <t>Large</t>
  </si>
  <si>
    <t>150'</t>
  </si>
  <si>
    <t>200'</t>
  </si>
  <si>
    <t>250'</t>
  </si>
  <si>
    <t>Variante 3 Sobrado Infrastruktur</t>
  </si>
  <si>
    <t>plus 200'000 Transaktion mit halbem Marktpreis</t>
  </si>
  <si>
    <t>Small</t>
  </si>
  <si>
    <t>Medium</t>
  </si>
  <si>
    <t>nicht realisierbar (EMS)</t>
  </si>
  <si>
    <t>Ausbaustufe 1 - Sammelein-/austritt - M (Zusatzkosten)</t>
  </si>
  <si>
    <t>Sobrado, 200'000 Trans. plus Sammeleintritte mit 200'000 Transaktionen</t>
  </si>
  <si>
    <t>Umsatz Variante M3</t>
  </si>
  <si>
    <t>Kosten Variante M3</t>
  </si>
  <si>
    <t>Zusatz-Umsatz Sammeleintritte</t>
  </si>
  <si>
    <t>Zusatz-Kosten Sammeleintritte</t>
  </si>
  <si>
    <t>Kosten Total</t>
  </si>
  <si>
    <t>DCF new entity - EAS - Business Case, Variante SMALL</t>
  </si>
  <si>
    <t>DCF new entity - EAS - Business Case, Variante MEDIUM</t>
  </si>
  <si>
    <t>DCF new entity - EAS - Business Case, Variante LARGE</t>
  </si>
  <si>
    <t>noch nicht realisierbar (EMS), Kalkulation hinfällig</t>
  </si>
  <si>
    <t>Dienstleistungsaufwand</t>
  </si>
  <si>
    <t>Entwicklung IT-Architektur (Profil "Architekt")</t>
  </si>
  <si>
    <t>Entwicklung (Profil "SW-Entwickler Professional")</t>
  </si>
  <si>
    <t>Softwarelizenzen für EAS</t>
  </si>
  <si>
    <t>Unterstützung bei der Anbindung externer Verwaltungssysteme</t>
  </si>
  <si>
    <t>Personalaufwand</t>
  </si>
  <si>
    <t>Entwicklung Produkt-Owner, Business Analyse</t>
  </si>
  <si>
    <t>Marketing, Vertrieb, GL</t>
  </si>
  <si>
    <t>Betrieb/Support/Admin EAS</t>
  </si>
  <si>
    <t>übriger Betriebsaufwand</t>
  </si>
  <si>
    <t>Datenschutz, Juristische Abklärungen, Security, Audits</t>
  </si>
  <si>
    <t>Informatikmittel, HW, Software</t>
  </si>
  <si>
    <t>Buchführungs- und Beratungsaufwand, Versicherungen, Marketingunterlagen</t>
  </si>
  <si>
    <t>Betrieb RZ/Cloud</t>
  </si>
  <si>
    <t>Total Aufwand</t>
  </si>
  <si>
    <t>Raumaufwand</t>
  </si>
  <si>
    <t>Abschreibungen</t>
  </si>
  <si>
    <t>- Aufgrund der Unwesentlichkeit der Abschreibungen wurde auf Unterscheidung Kosten/Cash-Flow verzichtet (vorsichtige Variante)</t>
  </si>
  <si>
    <t>- keine Unterscheidung in Varianten S/M/L. Im Bereich Betrieb/Support gibt es m.E. Unterschiede</t>
  </si>
  <si>
    <t>- Softwarelizenzen einmalig im Jahr 1? Plausibel?</t>
  </si>
  <si>
    <t>Kommentare/Fragen:</t>
  </si>
  <si>
    <t>1S</t>
  </si>
  <si>
    <t>2S</t>
  </si>
  <si>
    <t>3S</t>
  </si>
  <si>
    <t>1M</t>
  </si>
  <si>
    <t>2M</t>
  </si>
  <si>
    <t>3M</t>
  </si>
  <si>
    <t>1L</t>
  </si>
  <si>
    <t>2L</t>
  </si>
  <si>
    <t>3L</t>
  </si>
  <si>
    <t>Variante 1; Greenfield, zentralisiert</t>
  </si>
  <si>
    <t>- Steueraufwand wird in der DCF-Bewertung berücksichtigt - fehlt in der vorliegenden Kosten</t>
  </si>
  <si>
    <t>Business Enterprise Value; Varianten</t>
  </si>
  <si>
    <t>in mCHF</t>
  </si>
  <si>
    <t>Break Even im Jahr X; Varianten</t>
  </si>
  <si>
    <t>Variante 3+ mit Sammelein-/austritt</t>
  </si>
  <si>
    <t>Variante 2; Greenfield, Corda, AdNovum</t>
  </si>
  <si>
    <t>- Entwicklungsaufwand fast identisch mit Variante 1 - Plausibel?</t>
  </si>
  <si>
    <t>- Betrieb RZ/Cloud: ist das evtl mit inbegriffen in der AdNovum Offerte? Wieso deutlicher Unterschied zu Variante 1?</t>
  </si>
  <si>
    <t>- Abschreibungen unplausibel. Was wurde aktiviert/abgeschrieben?</t>
  </si>
  <si>
    <t>Variante 3 Sobrado Infrastruktur - S</t>
  </si>
  <si>
    <t>Variante 3 Sobrado Infrastruktur - M</t>
  </si>
  <si>
    <t>Variante 3 Sobrado Infrastruktur - L</t>
  </si>
  <si>
    <t>Total Liquiditätsbedarf (min.)</t>
  </si>
  <si>
    <t>Total Liquiditätsbedarf; Varianten</t>
  </si>
  <si>
    <t>Besprechung mit Daniel C.: 115 PT a 1'200 MD-rate bauen im Jahr 2; Erträge ab Jahr 3</t>
  </si>
  <si>
    <t>Variante 2+ mit Sammelein-/austritt</t>
  </si>
  <si>
    <t>3M+</t>
  </si>
  <si>
    <t>2M+</t>
  </si>
  <si>
    <t>AdNovum, 200'000 Transaktionen. + Sammeleintritte mit 200'000 Transakt.</t>
  </si>
  <si>
    <t>Umsatz Variante M2</t>
  </si>
  <si>
    <t>Kosten Variante M2</t>
  </si>
  <si>
    <t>Variante 2+, mit Sammelein-/austritt</t>
  </si>
  <si>
    <t>Variante 3+, mit Sammelein-/austritt</t>
  </si>
  <si>
    <t>Variante 3; SOBRADO</t>
  </si>
  <si>
    <t>- wieso Raumaufwand? Werden zusätzliche Räume benötigt?</t>
  </si>
  <si>
    <t>Personentage</t>
  </si>
  <si>
    <t>Kosten Infrastruktur</t>
  </si>
  <si>
    <t>Transaktionen</t>
  </si>
  <si>
    <t>Jahr 1</t>
  </si>
  <si>
    <t>Jahr 2</t>
  </si>
  <si>
    <t>Jahr 3</t>
  </si>
  <si>
    <t>Jahr 4</t>
  </si>
  <si>
    <t>Jahr 5</t>
  </si>
  <si>
    <t>IGB2B Business Case Template</t>
  </si>
  <si>
    <t>Aufwandschätzung EAS</t>
  </si>
  <si>
    <t>Total Aufwand EAS</t>
  </si>
  <si>
    <t>Aufwand IGB2B</t>
  </si>
  <si>
    <t>Variabler Preis; Annahme x% vom Endpreis</t>
  </si>
  <si>
    <t>Total Aufwand IGB2B</t>
  </si>
  <si>
    <t>Erträge EAS</t>
  </si>
  <si>
    <t>Transaktionen auf Plattform</t>
  </si>
  <si>
    <t>DCF Kalkulation</t>
  </si>
  <si>
    <t>Free CashFlow FCF</t>
  </si>
  <si>
    <t>Hinweis: erst in Abzug bringen wenn Gewinne erzielt werden und Verlustvortrag aufgebraucht ist. Manuelle Anpassung notwendig!</t>
  </si>
  <si>
    <t>Liquiditätssicht</t>
  </si>
  <si>
    <t>Hinweis: solange FCF negativ sind summieren. Für erstes Jahr "positiv" ebenfalls für die ersten Monate noch Liq.bedarf einplanen. Mit Schätzung arbeiten.</t>
  </si>
  <si>
    <t>Liquiditätsbedarf Formel</t>
  </si>
  <si>
    <t>Liquiditätsbedarf für erstes Jahr mit positivem FCF</t>
  </si>
  <si>
    <t>Total Liquiditätsbedarf Minimum</t>
  </si>
  <si>
    <t>Input-Felder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</si>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</sst>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i/>
      <sz val="9"/>
      <color rgb="FF595959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144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0" xfId="0" applyFill="1"/>
    <xf numFmtId="3" fontId="1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readingOrder="1"/>
    </xf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0" xfId="1"/>
    <xf numFmtId="0" fontId="6" fillId="0" borderId="0" xfId="1" applyFont="1"/>
    <xf numFmtId="0" fontId="7" fillId="0" borderId="0" xfId="1" applyFont="1"/>
    <xf numFmtId="0" fontId="1" fillId="0" borderId="2" xfId="0" applyFont="1" applyBorder="1" applyAlignment="1">
      <alignment horizontal="right"/>
    </xf>
    <xf numFmtId="0" fontId="0" fillId="0" borderId="3" xfId="0" applyFill="1" applyBorder="1"/>
    <xf numFmtId="3" fontId="0" fillId="0" borderId="0" xfId="0" applyNumberFormat="1" applyBorder="1"/>
    <xf numFmtId="0" fontId="0" fillId="0" borderId="5" xfId="0" applyFill="1" applyBorder="1" applyAlignment="1">
      <alignment horizontal="right"/>
    </xf>
    <xf numFmtId="0" fontId="0" fillId="2" borderId="0" xfId="0" applyFill="1" applyBorder="1"/>
    <xf numFmtId="3" fontId="0" fillId="0" borderId="5" xfId="0" applyNumberFormat="1" applyFill="1" applyBorder="1"/>
    <xf numFmtId="0" fontId="0" fillId="3" borderId="4" xfId="0" applyFill="1" applyBorder="1"/>
    <xf numFmtId="0" fontId="0" fillId="3" borderId="0" xfId="0" applyFill="1" applyBorder="1"/>
    <xf numFmtId="3" fontId="0" fillId="3" borderId="0" xfId="0" applyNumberFormat="1" applyFill="1" applyBorder="1"/>
    <xf numFmtId="3" fontId="0" fillId="0" borderId="5" xfId="0" applyNumberFormat="1" applyBorder="1"/>
    <xf numFmtId="1" fontId="0" fillId="0" borderId="0" xfId="0" applyNumberFormat="1" applyBorder="1" applyAlignment="1">
      <alignment horizontal="center"/>
    </xf>
    <xf numFmtId="2" fontId="0" fillId="2" borderId="0" xfId="0" applyNumberFormat="1" applyFill="1" applyBorder="1"/>
    <xf numFmtId="0" fontId="1" fillId="0" borderId="6" xfId="0" applyFont="1" applyBorder="1"/>
    <xf numFmtId="0" fontId="1" fillId="0" borderId="7" xfId="0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Alignment="1">
      <alignment vertical="top"/>
    </xf>
    <xf numFmtId="4" fontId="5" fillId="0" borderId="0" xfId="0" applyNumberFormat="1" applyFont="1"/>
    <xf numFmtId="4" fontId="5" fillId="0" borderId="0" xfId="0" applyNumberFormat="1" applyFont="1" applyBorder="1"/>
    <xf numFmtId="4" fontId="5" fillId="0" borderId="5" xfId="0" applyNumberFormat="1" applyFont="1" applyFill="1" applyBorder="1"/>
    <xf numFmtId="0" fontId="0" fillId="0" borderId="4" xfId="0" applyFont="1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2" xfId="0" applyFill="1" applyBorder="1"/>
    <xf numFmtId="0" fontId="1" fillId="4" borderId="2" xfId="0" applyFont="1" applyFill="1" applyBorder="1"/>
    <xf numFmtId="0" fontId="1" fillId="0" borderId="0" xfId="0" applyFont="1" applyBorder="1"/>
    <xf numFmtId="3" fontId="1" fillId="0" borderId="0" xfId="0" applyNumberFormat="1" applyFont="1" applyBorder="1"/>
    <xf numFmtId="0" fontId="0" fillId="5" borderId="4" xfId="0" applyFill="1" applyBorder="1"/>
    <xf numFmtId="0" fontId="0" fillId="5" borderId="0" xfId="0" applyFill="1" applyBorder="1"/>
    <xf numFmtId="9" fontId="0" fillId="5" borderId="0" xfId="0" applyNumberFormat="1" applyFill="1" applyBorder="1"/>
    <xf numFmtId="3" fontId="0" fillId="5" borderId="0" xfId="0" applyNumberFormat="1" applyFill="1" applyBorder="1"/>
    <xf numFmtId="3" fontId="0" fillId="5" borderId="5" xfId="0" applyNumberFormat="1" applyFill="1" applyBorder="1"/>
    <xf numFmtId="3" fontId="0" fillId="0" borderId="0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4" xfId="0" applyFill="1" applyBorder="1"/>
    <xf numFmtId="4" fontId="5" fillId="0" borderId="5" xfId="0" applyNumberFormat="1" applyFont="1" applyBorder="1"/>
    <xf numFmtId="3" fontId="1" fillId="0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4" borderId="3" xfId="0" applyFill="1" applyBorder="1"/>
    <xf numFmtId="3" fontId="0" fillId="0" borderId="17" xfId="0" applyNumberFormat="1" applyFont="1" applyFill="1" applyBorder="1"/>
    <xf numFmtId="3" fontId="0" fillId="0" borderId="17" xfId="0" applyNumberFormat="1" applyFont="1" applyBorder="1"/>
    <xf numFmtId="3" fontId="0" fillId="0" borderId="18" xfId="0" applyNumberFormat="1" applyFont="1" applyFill="1" applyBorder="1"/>
    <xf numFmtId="3" fontId="0" fillId="0" borderId="18" xfId="0" applyNumberFormat="1" applyFont="1" applyBorder="1"/>
    <xf numFmtId="0" fontId="0" fillId="0" borderId="0" xfId="0" quotePrefix="1"/>
    <xf numFmtId="0" fontId="1" fillId="4" borderId="2" xfId="0" quotePrefix="1" applyFont="1" applyFill="1" applyBorder="1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3" fontId="0" fillId="0" borderId="19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5" borderId="5" xfId="0" applyNumberFormat="1" applyFont="1" applyFill="1" applyBorder="1"/>
    <xf numFmtId="0" fontId="2" fillId="0" borderId="0" xfId="0" applyFont="1" applyFill="1"/>
    <xf numFmtId="16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9" xfId="0" applyNumberForma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1" xfId="0" applyFont="1" applyBorder="1"/>
    <xf numFmtId="0" fontId="2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3" fontId="1" fillId="0" borderId="5" xfId="0" applyNumberFormat="1" applyFont="1" applyBorder="1"/>
    <xf numFmtId="3" fontId="0" fillId="2" borderId="0" xfId="0" applyNumberFormat="1" applyFill="1" applyBorder="1"/>
    <xf numFmtId="3" fontId="0" fillId="2" borderId="5" xfId="0" applyNumberFormat="1" applyFill="1" applyBorder="1"/>
    <xf numFmtId="3" fontId="1" fillId="2" borderId="0" xfId="0" applyNumberFormat="1" applyFont="1" applyFill="1" applyBorder="1"/>
    <xf numFmtId="0" fontId="2" fillId="0" borderId="0" xfId="0" applyFont="1" applyBorder="1"/>
    <xf numFmtId="9" fontId="0" fillId="2" borderId="0" xfId="0" applyNumberFormat="1" applyFill="1" applyBorder="1"/>
    <xf numFmtId="0" fontId="1" fillId="0" borderId="20" xfId="0" applyFont="1" applyBorder="1"/>
    <xf numFmtId="3" fontId="1" fillId="0" borderId="21" xfId="0" applyNumberFormat="1" applyFont="1" applyBorder="1"/>
    <xf numFmtId="3" fontId="1" fillId="0" borderId="22" xfId="0" applyNumberFormat="1" applyFont="1" applyBorder="1"/>
    <xf numFmtId="0" fontId="2" fillId="0" borderId="2" xfId="0" applyFont="1" applyBorder="1"/>
    <xf numFmtId="0" fontId="1" fillId="0" borderId="21" xfId="0" applyFont="1" applyBorder="1"/>
    <xf numFmtId="4" fontId="0" fillId="2" borderId="0" xfId="0" applyNumberFormat="1" applyFill="1" applyBorder="1"/>
    <xf numFmtId="0" fontId="1" fillId="0" borderId="5" xfId="0" applyFont="1" applyBorder="1"/>
    <xf numFmtId="9" fontId="0" fillId="0" borderId="0" xfId="0" applyNumberFormat="1" applyFill="1" applyBorder="1"/>
    <xf numFmtId="0" fontId="0" fillId="7" borderId="0" xfId="0" applyFill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2" fillId="0" borderId="6" xfId="0" applyFont="1" applyBorder="1"/>
    <xf numFmtId="3" fontId="2" fillId="0" borderId="23" xfId="0" applyNumberFormat="1" applyFont="1" applyBorder="1"/>
  </cellXfs>
  <cellStyles count="2">
    <cellStyle name="Normal" xfId="0" builtinId="0"/>
    <cellStyle name="Standard 2" xfId="1" xr:uid="{3AA5D85D-0736-4186-AB85-CDE5D6AE2D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customXml" Target="../ink/ink1.xml"/><Relationship Id="rId1" Type="http://schemas.openxmlformats.org/officeDocument/2006/relationships/image" Target="../media/image12.png"/><Relationship Id="rId5" Type="http://schemas.openxmlformats.org/officeDocument/2006/relationships/image" Target="../media/image70.emf"/><Relationship Id="rId4" Type="http://schemas.openxmlformats.org/officeDocument/2006/relationships/customXml" Target="../ink/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4</xdr:row>
      <xdr:rowOff>0</xdr:rowOff>
    </xdr:from>
    <xdr:to>
      <xdr:col>8</xdr:col>
      <xdr:colOff>552449</xdr:colOff>
      <xdr:row>7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8A1BFD8-692A-48D2-9086-C491B6576695}"/>
            </a:ext>
          </a:extLst>
        </xdr:cNvPr>
        <xdr:cNvSpPr/>
      </xdr:nvSpPr>
      <xdr:spPr>
        <a:xfrm>
          <a:off x="6267449" y="733425"/>
          <a:ext cx="352425" cy="5619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813623</xdr:colOff>
      <xdr:row>3</xdr:row>
      <xdr:rowOff>8584</xdr:rowOff>
    </xdr:from>
    <xdr:to>
      <xdr:col>19</xdr:col>
      <xdr:colOff>231548</xdr:colOff>
      <xdr:row>23</xdr:row>
      <xdr:rowOff>140303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2373048-E330-4CA4-962A-3EA2B576D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1401" y="1266825"/>
          <a:ext cx="6050146" cy="3654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2</xdr:row>
      <xdr:rowOff>179915</xdr:rowOff>
    </xdr:from>
    <xdr:to>
      <xdr:col>18</xdr:col>
      <xdr:colOff>243424</xdr:colOff>
      <xdr:row>23</xdr:row>
      <xdr:rowOff>110551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3C8A15BC-1AD8-49EA-B299-DDDD4016E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3083" y="1280582"/>
          <a:ext cx="6032508" cy="3719469"/>
        </a:xfrm>
        <a:prstGeom prst="rect">
          <a:avLst/>
        </a:prstGeom>
      </xdr:spPr>
    </xdr:pic>
    <xdr:clientData/>
  </xdr:twoCellAnchor>
  <xdr:twoCellAnchor editAs="oneCell">
    <xdr:from>
      <xdr:col>10</xdr:col>
      <xdr:colOff>592667</xdr:colOff>
      <xdr:row>110</xdr:row>
      <xdr:rowOff>63500</xdr:rowOff>
    </xdr:from>
    <xdr:to>
      <xdr:col>23</xdr:col>
      <xdr:colOff>437870</xdr:colOff>
      <xdr:row>123</xdr:row>
      <xdr:rowOff>29346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3F42A0-47F3-411E-A89C-3559D7F7E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6167" y="14393333"/>
          <a:ext cx="10714286" cy="2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47625</xdr:colOff>
      <xdr:row>14</xdr:row>
      <xdr:rowOff>19736</xdr:rowOff>
    </xdr:from>
    <xdr:to>
      <xdr:col>34</xdr:col>
      <xdr:colOff>285750</xdr:colOff>
      <xdr:row>33</xdr:row>
      <xdr:rowOff>123201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8FDF-0C8E-44CF-B250-1D011E4BA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07450" y="2601011"/>
          <a:ext cx="10296525" cy="3665815"/>
        </a:xfrm>
        <a:prstGeom prst="rect">
          <a:avLst/>
        </a:prstGeom>
      </xdr:spPr>
    </xdr:pic>
    <xdr:clientData/>
  </xdr:twoCellAnchor>
  <xdr:twoCellAnchor editAs="oneCell">
    <xdr:from>
      <xdr:col>22</xdr:col>
      <xdr:colOff>65809</xdr:colOff>
      <xdr:row>18</xdr:row>
      <xdr:rowOff>152400</xdr:rowOff>
    </xdr:from>
    <xdr:to>
      <xdr:col>32</xdr:col>
      <xdr:colOff>665199</xdr:colOff>
      <xdr:row>44</xdr:row>
      <xdr:rowOff>8713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31F15D-3081-4729-9B1D-316ABC556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25634" y="6400800"/>
          <a:ext cx="8981390" cy="4704538"/>
        </a:xfrm>
        <a:prstGeom prst="rect">
          <a:avLst/>
        </a:prstGeom>
      </xdr:spPr>
    </xdr:pic>
    <xdr:clientData/>
  </xdr:twoCellAnchor>
  <xdr:twoCellAnchor editAs="oneCell">
    <xdr:from>
      <xdr:col>6</xdr:col>
      <xdr:colOff>923925</xdr:colOff>
      <xdr:row>47</xdr:row>
      <xdr:rowOff>180975</xdr:rowOff>
    </xdr:from>
    <xdr:to>
      <xdr:col>21</xdr:col>
      <xdr:colOff>222564</xdr:colOff>
      <xdr:row>68</xdr:row>
      <xdr:rowOff>28575</xdr:rowOff>
    </xdr:to>
    <xdr:pic>
      <xdr:nvPicPr>
        <xdr:cNvPr id="6" name="Grafik 3">
          <a:extLst>
            <a:ext uri="{FF2B5EF4-FFF2-40B4-BE49-F238E27FC236}">
              <a16:creationId xmlns:a16="http://schemas.microsoft.com/office/drawing/2014/main" id="{ACE2D66D-0FB1-4C17-ADD4-2FAFA165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7775" y="8896350"/>
          <a:ext cx="11976414" cy="3762375"/>
        </a:xfrm>
        <a:prstGeom prst="rect">
          <a:avLst/>
        </a:prstGeom>
      </xdr:spPr>
    </xdr:pic>
    <xdr:clientData/>
  </xdr:twoCellAnchor>
  <xdr:twoCellAnchor editAs="oneCell">
    <xdr:from>
      <xdr:col>6</xdr:col>
      <xdr:colOff>516046</xdr:colOff>
      <xdr:row>20</xdr:row>
      <xdr:rowOff>0</xdr:rowOff>
    </xdr:from>
    <xdr:to>
      <xdr:col>19</xdr:col>
      <xdr:colOff>187324</xdr:colOff>
      <xdr:row>38</xdr:row>
      <xdr:rowOff>38100</xdr:rowOff>
    </xdr:to>
    <xdr:pic>
      <xdr:nvPicPr>
        <xdr:cNvPr id="7" name="Grafik 10">
          <a:extLst>
            <a:ext uri="{FF2B5EF4-FFF2-40B4-BE49-F238E27FC236}">
              <a16:creationId xmlns:a16="http://schemas.microsoft.com/office/drawing/2014/main" id="{8140B493-07FB-49F9-9ABF-F97C29688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59896" y="3762375"/>
          <a:ext cx="10672653" cy="3352800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73</xdr:row>
      <xdr:rowOff>108446</xdr:rowOff>
    </xdr:from>
    <xdr:to>
      <xdr:col>20</xdr:col>
      <xdr:colOff>38100</xdr:colOff>
      <xdr:row>94</xdr:row>
      <xdr:rowOff>19050</xdr:rowOff>
    </xdr:to>
    <xdr:pic>
      <xdr:nvPicPr>
        <xdr:cNvPr id="8" name="Picture 7" descr="9fed3c12-fe61-4b6b-bcac-6390346570ff">
          <a:extLst>
            <a:ext uri="{FF2B5EF4-FFF2-40B4-BE49-F238E27FC236}">
              <a16:creationId xmlns:a16="http://schemas.microsoft.com/office/drawing/2014/main" id="{6EA5AB52-42E6-4191-AE5D-95BD7298D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3652996"/>
          <a:ext cx="10915650" cy="3711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9</xdr:col>
      <xdr:colOff>390267</xdr:colOff>
      <xdr:row>97</xdr:row>
      <xdr:rowOff>28525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25D4F5-4F09-400C-844D-5DF266209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86825" y="17640300"/>
          <a:ext cx="2066667" cy="4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13</xdr:col>
      <xdr:colOff>818419</xdr:colOff>
      <xdr:row>41</xdr:row>
      <xdr:rowOff>104739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517931-6D2B-4460-8EA0-6A0A41505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86825" y="7448550"/>
          <a:ext cx="5847619" cy="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200025</xdr:colOff>
      <xdr:row>39</xdr:row>
      <xdr:rowOff>149950</xdr:rowOff>
    </xdr:to>
    <xdr:pic>
      <xdr:nvPicPr>
        <xdr:cNvPr id="5" name="Grafik 4" descr="EAS Umsetzung &#10;Ziele &#10;o *rativ fur ret &#10;Markante Effitie•ntsteigenng Automatisierung und QualitåtSSteig«ung &#10;ist an &#10;ES wird ein Match twiSChe Z*lung und den übermittelten &#10;Austrittsdaten &#10;ist SL ist operativ &#10;2: Magic auf g— &#10;d« sind mit &#10;dass das nsgebaut kann &#10;Umsetzu 5 &#10;Lieferumfang &#10;Refæt; BVG &#10;und mit Re-mng &#10;1 : n s aXa SL &#10;REST zur Anbindung &#10;2: enerischen Adapter für anderer Verw. &#10;Svstemanbieter ist &#10;und &#10;Verschlüsselune T pavload &#10;Server end. to.end • symetric and sienine messaees &#10;In ufgebaut &#10;Tracking amktior,er, &#10;und Volu &#10;Organisation &#10;Agi &#10;ff-Architekt Entwicklunesleit« &#10;Entwicklung: AMQP *Zia I ist. &#10;AA und Tæting: und SL &#10;Entwicklung SE Je &quot;a und &#10;pmjekt Off &#10;LOCatiOn Pr#ktråume, Z.B. Lounge ZH &#10;Titnenne (Entwicklung) &#10;Wtialiseung, &#10;ite ktur, Auftm &#10;4 Mona te &#10;System ist aXa SL ist —ativ &#10;6 Monate &#10;System ist für Vorsorgemarkt operativ einsetzbar. &#10;Xplan St ">
          <a:extLst>
            <a:ext uri="{FF2B5EF4-FFF2-40B4-BE49-F238E27FC236}">
              <a16:creationId xmlns:a16="http://schemas.microsoft.com/office/drawing/2014/main" id="{779C2756-5FE0-482F-8C36-19BAF06B6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344400" cy="72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304800</xdr:colOff>
      <xdr:row>12</xdr:row>
      <xdr:rowOff>154306</xdr:rowOff>
    </xdr:from>
    <xdr:to>
      <xdr:col>13</xdr:col>
      <xdr:colOff>228600</xdr:colOff>
      <xdr:row>13</xdr:row>
      <xdr:rowOff>19050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96C5508-79AF-42BD-8CD3-5D6F6965AF53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6781800" y="2326006"/>
            <a:ext cx="3971925" cy="45719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96C5508-79AF-42BD-8CD3-5D6F6965AF53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769200" y="2254008"/>
              <a:ext cx="3996765" cy="18935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457200</xdr:colOff>
      <xdr:row>14</xdr:row>
      <xdr:rowOff>55881</xdr:rowOff>
    </xdr:from>
    <xdr:to>
      <xdr:col>13</xdr:col>
      <xdr:colOff>381000</xdr:colOff>
      <xdr:row>14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5">
              <a:extLst>
                <a:ext uri="{FF2B5EF4-FFF2-40B4-BE49-F238E27FC236}">
                  <a16:creationId xmlns:a16="http://schemas.microsoft.com/office/drawing/2014/main" id="{534FA105-7040-4F04-BFB7-E73502B594FF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6934200" y="2589531"/>
            <a:ext cx="3971925" cy="48894"/>
          </xdr14:xfrm>
        </xdr:contentPart>
      </mc:Choice>
      <mc:Fallback xmlns="">
        <xdr:pic>
          <xdr:nvPicPr>
            <xdr:cNvPr id="7" name="Ink 5">
              <a:extLst>
                <a:ext uri="{FF2B5EF4-FFF2-40B4-BE49-F238E27FC236}">
                  <a16:creationId xmlns:a16="http://schemas.microsoft.com/office/drawing/2014/main" id="{534FA105-7040-4F04-BFB7-E73502B594FF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21600" y="2512533"/>
              <a:ext cx="3996765" cy="20250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22T08:11:57.609"/>
    </inkml:context>
    <inkml:brush xml:id="br0">
      <inkml:brushProperty name="width" value="0.07" units="cm"/>
      <inkml:brushProperty name="height" value="0.4" units="cm"/>
      <inkml:brushProperty name="color" value="#FFFF00"/>
      <inkml:brushProperty name="transparency" value="127"/>
      <inkml:brushProperty name="tip" value="rectangle"/>
      <inkml:brushProperty name="ignorePressure" value="1"/>
    </inkml:brush>
  </inkml:definitions>
  <inkml:trace contextRef="#ctx0" brushRef="#br0">0 83,'0'0,"25"4,0-8,2 4,47-4,1 0,49 0,-24 4,26-8,-29 8,28-4,26 4,-27 0,-24 0,24 0,-22 4,22 4,-25-4,26-4,-26 0,26 4,-24-4,23 0,-24 0,25 0,-1-4,-23 4,23-4,-23-4,98 8,-74-4,-27 4,30 0,-30 0,2-4,-26 4,-23 0,-27 0,1 0,2 0,-5 0,5 0,-4 0,29-4,-2 0,24 4,-24-4,0 1,24-1,-22-1,46 2,3-1,-4 0,5 0,22-4,-22 8,22-4,-49 0,-1 4,-24 0,-25 0,0 0,0 0,-1 0,1 0,25 0,50 0,-26 0,3 0,-30 4,-20-4,-3 0,2 4,-1-4,-25 4,25 0,25-4,-1 4,2-4,23 0,50 0,-48 0,48 4,-98-4,48 4,-49-1,-1 2,27-1,-26-4,24 3,27 5,-25-4,23 0,26 0,-26 0,-24 0,26 0,-26-4,-26 4,1 0,25-4,-24 4,-26-4,24 0,26 0,0 0,25 4,-1-4,-23 0,49 7,-51-7,1 5,-25-5,0 0,26 3,-4 1,-20 0,47-4,0 4,3 0,-27-4,49 0,-24 0,-26 0,3 4,23-4,-3 0,3 0,26 0,-1 0,27 0,-30 0,27 0,-49 0,1 0,-1 0,-25 0,-26 0,26 0,-25 0,-25 0,27 0,-4 0,2 0,2 0,-27-4,22 4,5-4,-27 4,23 0,2-4,2 0,-4 4,4-4,-3 4,0-3,27-2,-1 5,-25 0,0 0,-1 0,1-3,0 3,0-4,0 0,0 0,25 0,25 0,-25 0,1 4,48-4,-74 4,-25-4,25 4,0 0,74 4,2-4,-1 4,-2 0,3 0,-26 4,-26-4,-24-4,0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22T08:17:19.810"/>
    </inkml:context>
    <inkml:brush xml:id="br0">
      <inkml:brushProperty name="width" value="0.07" units="cm"/>
      <inkml:brushProperty name="height" value="0.4" units="cm"/>
      <inkml:brushProperty name="color" value="#FFFF00"/>
      <inkml:brushProperty name="transparency" value="127"/>
      <inkml:brushProperty name="tip" value="rectangle"/>
      <inkml:brushProperty name="ignorePressure" value="1"/>
    </inkml:brush>
  </inkml:definitions>
  <inkml:trace contextRef="#ctx0" brushRef="#br0">0 89,'0'0,"25"4,0-8,2 4,47-4,1-1,49 1,-24 4,26-9,-29 9,28-4,26 4,-27 0,-24 0,24 0,-22 4,22 5,-25-5,26-4,-26 0,26 5,-24-5,23 0,-24 0,25 0,-1-5,-23 5,23-4,-23-5,98 9,-74-4,-27 4,30 0,-30 0,2-4,-26 4,-23 0,-27 0,1 0,2 0,-5 0,5 0,-4 0,29-4,-2-1,24 5,-24-4,0 1,24-1,-22-2,46 3,3-1,-4-1,5 1,22-4,-22 8,22-5,-49 1,-1 4,-24 0,-25 0,0 0,0 0,-1 0,1 0,25 0,50 0,-26 0,3 0,-30 4,-20-4,-3 0,2 5,-1-5,-25 4,25 0,25-4,-1 4,2-4,23 0,50 0,-48 0,48 5,-98-5,48 4,-49-1,-1 3,27-2,-26-4,24 3,27 6,-25-5,23 0,26 0,-26 1,-24-1,26 0,-26-4,-26 5,1-1,25-4,-24 4,-26-4,24 0,26 0,0 0,25 4,-1-4,-23 0,49 8,-51-8,1 5,-25-5,0 0,26 4,-4 0,-20 0,47-4,0 4,3 1,-27-5,49 0,-24 0,-26 0,3 4,23-4,-3 0,3 0,26 0,-1 0,27 0,-30 0,27 0,-49 0,1 0,-1 0,-25 0,-26 0,26 0,-25 0,-25 0,27 0,-4 0,2 0,2 0,-27-4,22 4,5-5,-27 5,23 0,2-4,2 0,-4 4,4-4,-3 4,0-4,27-1,-1 5,-25 0,0 0,-1 0,1-3,0 3,0-5,0 1,0 0,25 0,25-1,-25 1,1 4,48-4,-74 4,-25-5,25 5,0 0,74 5,2-5,-1 4,-2 0,3 1,-26 3,-26-4,-24-4,0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6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6014-D6F4-4837-AD07-13D5BCA21B10}">
  <dimension ref="A1:M63"/>
  <sheetViews>
    <sheetView tabSelected="1" topLeftCell="A34" workbookViewId="0">
      <selection activeCell="D63" sqref="D63"/>
    </sheetView>
  </sheetViews>
  <sheetFormatPr defaultRowHeight="14.25" x14ac:dyDescent="0.2"/>
  <cols>
    <col min="2" max="2" width="55.25" customWidth="1"/>
    <col min="3" max="3" width="6.375" style="38" customWidth="1"/>
    <col min="4" max="4" width="10" bestFit="1" customWidth="1"/>
    <col min="9" max="9" width="12.5" customWidth="1"/>
    <col min="10" max="10" width="5.125" customWidth="1"/>
    <col min="11" max="11" width="34.625" customWidth="1"/>
  </cols>
  <sheetData>
    <row r="1" spans="1:9" ht="15.75" x14ac:dyDescent="0.25">
      <c r="A1" s="88" t="s">
        <v>136</v>
      </c>
    </row>
    <row r="2" spans="1:9" s="38" customFormat="1" ht="15.75" x14ac:dyDescent="0.25">
      <c r="A2" s="88"/>
    </row>
    <row r="3" spans="1:9" x14ac:dyDescent="0.2">
      <c r="D3" s="119" t="s">
        <v>152</v>
      </c>
    </row>
    <row r="5" spans="1:9" s="38" customFormat="1" ht="15.75" x14ac:dyDescent="0.25">
      <c r="B5" s="120" t="s">
        <v>137</v>
      </c>
      <c r="C5" s="134"/>
      <c r="D5" s="42"/>
      <c r="E5" s="42"/>
      <c r="F5" s="42"/>
      <c r="G5" s="42"/>
      <c r="H5" s="42"/>
      <c r="I5" s="92"/>
    </row>
    <row r="6" spans="1:9" s="38" customFormat="1" ht="15.75" x14ac:dyDescent="0.25">
      <c r="B6" s="121"/>
      <c r="C6" s="129"/>
      <c r="D6" s="122">
        <v>2020</v>
      </c>
      <c r="E6" s="122">
        <v>2021</v>
      </c>
      <c r="F6" s="122">
        <v>2022</v>
      </c>
      <c r="G6" s="122">
        <v>2023</v>
      </c>
      <c r="H6" s="122">
        <v>2024</v>
      </c>
      <c r="I6" s="137" t="s">
        <v>9</v>
      </c>
    </row>
    <row r="7" spans="1:9" x14ac:dyDescent="0.2">
      <c r="B7" s="43"/>
      <c r="C7" s="44"/>
      <c r="D7" s="44"/>
      <c r="E7" s="44"/>
      <c r="F7" s="44"/>
      <c r="G7" s="44"/>
      <c r="H7" s="44"/>
      <c r="I7" s="45"/>
    </row>
    <row r="8" spans="1:9" ht="15" x14ac:dyDescent="0.25">
      <c r="B8" s="124" t="s">
        <v>72</v>
      </c>
      <c r="C8" s="67"/>
      <c r="D8" s="68">
        <f t="shared" ref="D8:E8" si="0">SUM(D9:D12)</f>
        <v>0</v>
      </c>
      <c r="E8" s="68">
        <f t="shared" si="0"/>
        <v>0</v>
      </c>
      <c r="F8" s="68">
        <f t="shared" ref="F8:H8" si="1">SUM(F9:F12)</f>
        <v>0</v>
      </c>
      <c r="G8" s="68">
        <f t="shared" si="1"/>
        <v>0</v>
      </c>
      <c r="H8" s="68">
        <f t="shared" si="1"/>
        <v>0</v>
      </c>
      <c r="I8" s="125">
        <f>+H8</f>
        <v>0</v>
      </c>
    </row>
    <row r="9" spans="1:9" x14ac:dyDescent="0.2">
      <c r="B9" s="43" t="s">
        <v>73</v>
      </c>
      <c r="C9" s="44"/>
      <c r="D9" s="126"/>
      <c r="E9" s="126"/>
      <c r="F9" s="126"/>
      <c r="G9" s="126"/>
      <c r="H9" s="126"/>
      <c r="I9" s="31">
        <f t="shared" ref="I9:I25" si="2">+H9</f>
        <v>0</v>
      </c>
    </row>
    <row r="10" spans="1:9" x14ac:dyDescent="0.2">
      <c r="B10" s="43" t="s">
        <v>74</v>
      </c>
      <c r="C10" s="44"/>
      <c r="D10" s="126"/>
      <c r="E10" s="126"/>
      <c r="F10" s="126"/>
      <c r="G10" s="126"/>
      <c r="H10" s="126"/>
      <c r="I10" s="31">
        <f t="shared" si="2"/>
        <v>0</v>
      </c>
    </row>
    <row r="11" spans="1:9" x14ac:dyDescent="0.2">
      <c r="B11" s="43" t="s">
        <v>75</v>
      </c>
      <c r="C11" s="44"/>
      <c r="D11" s="126"/>
      <c r="E11" s="126"/>
      <c r="F11" s="126"/>
      <c r="G11" s="126"/>
      <c r="H11" s="126"/>
      <c r="I11" s="31">
        <f t="shared" si="2"/>
        <v>0</v>
      </c>
    </row>
    <row r="12" spans="1:9" x14ac:dyDescent="0.2">
      <c r="B12" s="43" t="s">
        <v>76</v>
      </c>
      <c r="C12" s="44"/>
      <c r="D12" s="126"/>
      <c r="E12" s="126"/>
      <c r="F12" s="126"/>
      <c r="G12" s="126"/>
      <c r="H12" s="126"/>
      <c r="I12" s="31">
        <f t="shared" si="2"/>
        <v>0</v>
      </c>
    </row>
    <row r="13" spans="1:9" ht="15" x14ac:dyDescent="0.25">
      <c r="B13" s="124" t="s">
        <v>77</v>
      </c>
      <c r="C13" s="67"/>
      <c r="D13" s="68">
        <f t="shared" ref="D13:H13" si="3">SUM(D14:D16)</f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125">
        <f t="shared" si="2"/>
        <v>0</v>
      </c>
    </row>
    <row r="14" spans="1:9" x14ac:dyDescent="0.2">
      <c r="B14" s="43" t="s">
        <v>78</v>
      </c>
      <c r="C14" s="44"/>
      <c r="D14" s="126"/>
      <c r="E14" s="126"/>
      <c r="F14" s="126"/>
      <c r="G14" s="126"/>
      <c r="H14" s="126"/>
      <c r="I14" s="31">
        <f t="shared" si="2"/>
        <v>0</v>
      </c>
    </row>
    <row r="15" spans="1:9" x14ac:dyDescent="0.2">
      <c r="B15" s="43" t="s">
        <v>79</v>
      </c>
      <c r="C15" s="44"/>
      <c r="D15" s="126"/>
      <c r="E15" s="126"/>
      <c r="F15" s="126"/>
      <c r="G15" s="126"/>
      <c r="H15" s="126"/>
      <c r="I15" s="31">
        <f t="shared" si="2"/>
        <v>0</v>
      </c>
    </row>
    <row r="16" spans="1:9" x14ac:dyDescent="0.2">
      <c r="B16" s="43" t="s">
        <v>80</v>
      </c>
      <c r="C16" s="44"/>
      <c r="D16" s="126"/>
      <c r="E16" s="126"/>
      <c r="F16" s="126"/>
      <c r="G16" s="126"/>
      <c r="H16" s="126"/>
      <c r="I16" s="31">
        <f t="shared" si="2"/>
        <v>0</v>
      </c>
    </row>
    <row r="17" spans="2:9" ht="15" x14ac:dyDescent="0.25">
      <c r="B17" s="124" t="s">
        <v>81</v>
      </c>
      <c r="C17" s="67"/>
      <c r="D17" s="68">
        <f t="shared" ref="D17:H17" si="4">SUM(D18:D21)</f>
        <v>0</v>
      </c>
      <c r="E17" s="68">
        <f t="shared" si="4"/>
        <v>0</v>
      </c>
      <c r="F17" s="68">
        <f t="shared" si="4"/>
        <v>0</v>
      </c>
      <c r="G17" s="68">
        <f t="shared" si="4"/>
        <v>0</v>
      </c>
      <c r="H17" s="68">
        <f t="shared" si="4"/>
        <v>0</v>
      </c>
      <c r="I17" s="125">
        <f t="shared" si="2"/>
        <v>0</v>
      </c>
    </row>
    <row r="18" spans="2:9" x14ac:dyDescent="0.2">
      <c r="B18" s="43" t="s">
        <v>82</v>
      </c>
      <c r="C18" s="44"/>
      <c r="D18" s="126"/>
      <c r="E18" s="126"/>
      <c r="F18" s="126"/>
      <c r="G18" s="126"/>
      <c r="H18" s="126"/>
      <c r="I18" s="31">
        <f t="shared" si="2"/>
        <v>0</v>
      </c>
    </row>
    <row r="19" spans="2:9" x14ac:dyDescent="0.2">
      <c r="B19" s="43" t="s">
        <v>83</v>
      </c>
      <c r="C19" s="44"/>
      <c r="D19" s="126"/>
      <c r="E19" s="126"/>
      <c r="F19" s="126"/>
      <c r="G19" s="126"/>
      <c r="H19" s="126"/>
      <c r="I19" s="31">
        <f t="shared" si="2"/>
        <v>0</v>
      </c>
    </row>
    <row r="20" spans="2:9" x14ac:dyDescent="0.2">
      <c r="B20" s="43" t="s">
        <v>84</v>
      </c>
      <c r="C20" s="44"/>
      <c r="D20" s="126"/>
      <c r="E20" s="126"/>
      <c r="F20" s="126"/>
      <c r="G20" s="126"/>
      <c r="H20" s="126"/>
      <c r="I20" s="31">
        <f t="shared" si="2"/>
        <v>0</v>
      </c>
    </row>
    <row r="21" spans="2:9" x14ac:dyDescent="0.2">
      <c r="B21" s="43" t="s">
        <v>85</v>
      </c>
      <c r="C21" s="44"/>
      <c r="D21" s="126"/>
      <c r="E21" s="126"/>
      <c r="F21" s="126"/>
      <c r="G21" s="126"/>
      <c r="H21" s="126"/>
      <c r="I21" s="31">
        <f t="shared" si="2"/>
        <v>0</v>
      </c>
    </row>
    <row r="22" spans="2:9" ht="15" x14ac:dyDescent="0.25">
      <c r="B22" s="124" t="s">
        <v>87</v>
      </c>
      <c r="C22" s="67"/>
      <c r="D22" s="128"/>
      <c r="E22" s="128"/>
      <c r="F22" s="128"/>
      <c r="G22" s="128"/>
      <c r="H22" s="128"/>
      <c r="I22" s="31">
        <f t="shared" si="2"/>
        <v>0</v>
      </c>
    </row>
    <row r="23" spans="2:9" ht="15" x14ac:dyDescent="0.25">
      <c r="B23" s="124" t="s">
        <v>88</v>
      </c>
      <c r="C23" s="67"/>
      <c r="D23" s="128"/>
      <c r="E23" s="128"/>
      <c r="F23" s="128"/>
      <c r="G23" s="128"/>
      <c r="H23" s="128"/>
      <c r="I23" s="31">
        <f t="shared" si="2"/>
        <v>0</v>
      </c>
    </row>
    <row r="24" spans="2:9" x14ac:dyDescent="0.2">
      <c r="B24" s="43"/>
      <c r="C24" s="44"/>
      <c r="D24" s="24"/>
      <c r="E24" s="24"/>
      <c r="F24" s="24"/>
      <c r="G24" s="24"/>
      <c r="H24" s="24"/>
      <c r="I24" s="31"/>
    </row>
    <row r="25" spans="2:9" ht="15" x14ac:dyDescent="0.25">
      <c r="B25" s="34" t="s">
        <v>138</v>
      </c>
      <c r="C25" s="35"/>
      <c r="D25" s="36">
        <f t="shared" ref="D25:H25" si="5">+D8+D13+D17+D22+D23</f>
        <v>0</v>
      </c>
      <c r="E25" s="36">
        <f t="shared" si="5"/>
        <v>0</v>
      </c>
      <c r="F25" s="36">
        <f t="shared" si="5"/>
        <v>0</v>
      </c>
      <c r="G25" s="36">
        <f t="shared" si="5"/>
        <v>0</v>
      </c>
      <c r="H25" s="36">
        <f t="shared" si="5"/>
        <v>0</v>
      </c>
      <c r="I25" s="37">
        <f t="shared" si="2"/>
        <v>0</v>
      </c>
    </row>
    <row r="27" spans="2:9" ht="15.75" x14ac:dyDescent="0.25">
      <c r="B27" s="120" t="s">
        <v>139</v>
      </c>
      <c r="C27" s="134"/>
      <c r="D27" s="42"/>
      <c r="E27" s="42"/>
      <c r="F27" s="42"/>
      <c r="G27" s="42"/>
      <c r="H27" s="42"/>
      <c r="I27" s="92"/>
    </row>
    <row r="28" spans="2:9" s="38" customFormat="1" ht="15.75" x14ac:dyDescent="0.25">
      <c r="B28" s="121"/>
      <c r="C28" s="129"/>
      <c r="D28" s="122">
        <v>2020</v>
      </c>
      <c r="E28" s="122">
        <v>2021</v>
      </c>
      <c r="F28" s="122">
        <v>2022</v>
      </c>
      <c r="G28" s="122">
        <v>2023</v>
      </c>
      <c r="H28" s="122">
        <v>2024</v>
      </c>
      <c r="I28" s="123" t="s">
        <v>9</v>
      </c>
    </row>
    <row r="29" spans="2:9" x14ac:dyDescent="0.2">
      <c r="B29" s="43"/>
      <c r="C29" s="44"/>
      <c r="D29" s="44"/>
      <c r="E29" s="44"/>
      <c r="F29" s="44"/>
      <c r="G29" s="44"/>
      <c r="H29" s="44"/>
      <c r="I29" s="45"/>
    </row>
    <row r="30" spans="2:9" x14ac:dyDescent="0.2">
      <c r="B30" s="43" t="s">
        <v>140</v>
      </c>
      <c r="C30" s="130">
        <v>0.3</v>
      </c>
      <c r="D30" s="44"/>
      <c r="E30" s="44"/>
      <c r="F30" s="44"/>
      <c r="G30" s="44"/>
      <c r="H30" s="44"/>
      <c r="I30" s="45"/>
    </row>
    <row r="31" spans="2:9" x14ac:dyDescent="0.2">
      <c r="B31" s="43"/>
      <c r="C31" s="44"/>
      <c r="D31" s="44"/>
      <c r="E31" s="44"/>
      <c r="F31" s="44"/>
      <c r="G31" s="44"/>
      <c r="H31" s="44"/>
      <c r="I31" s="45"/>
    </row>
    <row r="32" spans="2:9" s="11" customFormat="1" ht="15" x14ac:dyDescent="0.25">
      <c r="B32" s="34" t="s">
        <v>141</v>
      </c>
      <c r="C32" s="35"/>
      <c r="D32" s="36">
        <f>+$C$30*D41</f>
        <v>8250</v>
      </c>
      <c r="E32" s="36">
        <f t="shared" ref="E32:H32" si="6">+$C$30*E41</f>
        <v>24750</v>
      </c>
      <c r="F32" s="36">
        <f t="shared" si="6"/>
        <v>82500</v>
      </c>
      <c r="G32" s="36">
        <f t="shared" si="6"/>
        <v>206250</v>
      </c>
      <c r="H32" s="36">
        <f t="shared" si="6"/>
        <v>330000</v>
      </c>
      <c r="I32" s="37">
        <f>+H32</f>
        <v>330000</v>
      </c>
    </row>
    <row r="34" spans="2:13" s="11" customFormat="1" ht="15" x14ac:dyDescent="0.25">
      <c r="B34" s="131" t="s">
        <v>86</v>
      </c>
      <c r="C34" s="135"/>
      <c r="D34" s="132">
        <f>D32+D25</f>
        <v>8250</v>
      </c>
      <c r="E34" s="132">
        <f>E32+E25</f>
        <v>24750</v>
      </c>
      <c r="F34" s="132">
        <f>F32+F25</f>
        <v>82500</v>
      </c>
      <c r="G34" s="132">
        <f>G32+G25</f>
        <v>206250</v>
      </c>
      <c r="H34" s="132">
        <f>H32+H25</f>
        <v>330000</v>
      </c>
      <c r="I34" s="133">
        <f>+H34</f>
        <v>330000</v>
      </c>
    </row>
    <row r="36" spans="2:13" ht="15.75" x14ac:dyDescent="0.25">
      <c r="B36" s="120" t="s">
        <v>142</v>
      </c>
      <c r="C36" s="42"/>
      <c r="D36" s="42"/>
      <c r="E36" s="42"/>
      <c r="F36" s="42"/>
      <c r="G36" s="42"/>
      <c r="H36" s="42"/>
      <c r="I36" s="92"/>
    </row>
    <row r="37" spans="2:13" s="38" customFormat="1" ht="15" x14ac:dyDescent="0.25">
      <c r="B37" s="43"/>
      <c r="C37" s="44"/>
      <c r="D37" s="122">
        <v>2020</v>
      </c>
      <c r="E37" s="122">
        <v>2021</v>
      </c>
      <c r="F37" s="122">
        <v>2022</v>
      </c>
      <c r="G37" s="122">
        <v>2023</v>
      </c>
      <c r="H37" s="122">
        <v>2024</v>
      </c>
      <c r="I37" s="123" t="s">
        <v>9</v>
      </c>
    </row>
    <row r="38" spans="2:13" x14ac:dyDescent="0.2">
      <c r="B38" s="43"/>
      <c r="C38" s="44"/>
      <c r="D38" s="44"/>
      <c r="E38" s="44"/>
      <c r="F38" s="44"/>
      <c r="G38" s="44"/>
      <c r="H38" s="44"/>
      <c r="I38" s="45"/>
    </row>
    <row r="39" spans="2:13" x14ac:dyDescent="0.2">
      <c r="B39" s="43" t="s">
        <v>143</v>
      </c>
      <c r="C39" s="44"/>
      <c r="D39" s="126">
        <v>5000</v>
      </c>
      <c r="E39" s="126">
        <v>15000</v>
      </c>
      <c r="F39" s="126">
        <v>50000</v>
      </c>
      <c r="G39" s="126">
        <v>125000</v>
      </c>
      <c r="H39" s="126">
        <v>200000</v>
      </c>
      <c r="I39" s="127">
        <v>200000</v>
      </c>
    </row>
    <row r="40" spans="2:13" x14ac:dyDescent="0.2">
      <c r="B40" s="43" t="s">
        <v>4</v>
      </c>
      <c r="C40" s="136">
        <v>5.5</v>
      </c>
      <c r="D40" s="44"/>
      <c r="E40" s="44"/>
      <c r="F40" s="44"/>
      <c r="G40" s="44"/>
      <c r="H40" s="44"/>
      <c r="I40" s="45"/>
    </row>
    <row r="41" spans="2:13" s="11" customFormat="1" ht="15" x14ac:dyDescent="0.25">
      <c r="B41" s="34" t="s">
        <v>5</v>
      </c>
      <c r="C41" s="35"/>
      <c r="D41" s="36">
        <f>D39*$C$40</f>
        <v>27500</v>
      </c>
      <c r="E41" s="36">
        <f t="shared" ref="E41:I41" si="7">E39*$C$40</f>
        <v>82500</v>
      </c>
      <c r="F41" s="36">
        <f t="shared" si="7"/>
        <v>275000</v>
      </c>
      <c r="G41" s="36">
        <f t="shared" si="7"/>
        <v>687500</v>
      </c>
      <c r="H41" s="36">
        <f t="shared" si="7"/>
        <v>1100000</v>
      </c>
      <c r="I41" s="37">
        <f t="shared" si="7"/>
        <v>1100000</v>
      </c>
    </row>
    <row r="43" spans="2:13" ht="15.75" x14ac:dyDescent="0.25">
      <c r="B43" s="120" t="s">
        <v>144</v>
      </c>
      <c r="C43" s="42"/>
      <c r="D43" s="42"/>
      <c r="E43" s="42"/>
      <c r="F43" s="42"/>
      <c r="G43" s="42"/>
      <c r="H43" s="42"/>
      <c r="I43" s="92"/>
      <c r="M43" t="s">
        <v>153</v>
      </c>
    </row>
    <row r="44" spans="2:13" ht="15" x14ac:dyDescent="0.25">
      <c r="B44" s="43"/>
      <c r="C44" s="44"/>
      <c r="D44" s="122">
        <v>2020</v>
      </c>
      <c r="E44" s="122">
        <v>2021</v>
      </c>
      <c r="F44" s="122">
        <v>2022</v>
      </c>
      <c r="G44" s="122">
        <v>2023</v>
      </c>
      <c r="H44" s="122">
        <v>2024</v>
      </c>
      <c r="I44" s="123" t="s">
        <v>9</v>
      </c>
    </row>
    <row r="45" spans="2:13" x14ac:dyDescent="0.2">
      <c r="B45" s="43"/>
      <c r="C45" s="44"/>
      <c r="D45" s="44"/>
      <c r="E45" s="44"/>
      <c r="F45" s="44"/>
      <c r="G45" s="44"/>
      <c r="H45" s="44"/>
      <c r="I45" s="45"/>
    </row>
    <row r="46" spans="2:13" x14ac:dyDescent="0.2">
      <c r="B46" s="43" t="s">
        <v>5</v>
      </c>
      <c r="C46" s="44"/>
      <c r="D46" s="24">
        <f>D41</f>
        <v>27500</v>
      </c>
      <c r="E46" s="24">
        <f t="shared" ref="E46:I46" si="8">E41</f>
        <v>82500</v>
      </c>
      <c r="F46" s="24">
        <f t="shared" si="8"/>
        <v>275000</v>
      </c>
      <c r="G46" s="24">
        <f t="shared" si="8"/>
        <v>687500</v>
      </c>
      <c r="H46" s="24">
        <f t="shared" si="8"/>
        <v>1100000</v>
      </c>
      <c r="I46" s="31">
        <f t="shared" si="8"/>
        <v>1100000</v>
      </c>
    </row>
    <row r="47" spans="2:13" x14ac:dyDescent="0.2">
      <c r="B47" s="43" t="s">
        <v>6</v>
      </c>
      <c r="C47" s="44"/>
      <c r="D47" s="24">
        <f>-D34</f>
        <v>-8250</v>
      </c>
      <c r="E47" s="24">
        <f t="shared" ref="E47:I47" si="9">-E34</f>
        <v>-24750</v>
      </c>
      <c r="F47" s="24">
        <f t="shared" si="9"/>
        <v>-82500</v>
      </c>
      <c r="G47" s="24">
        <f t="shared" si="9"/>
        <v>-206250</v>
      </c>
      <c r="H47" s="24">
        <f t="shared" si="9"/>
        <v>-330000</v>
      </c>
      <c r="I47" s="31">
        <f t="shared" si="9"/>
        <v>-330000</v>
      </c>
    </row>
    <row r="48" spans="2:13" x14ac:dyDescent="0.2">
      <c r="B48" s="43" t="s">
        <v>145</v>
      </c>
      <c r="C48" s="44"/>
      <c r="D48" s="24">
        <f>SUM(D46:D47)</f>
        <v>19250</v>
      </c>
      <c r="E48" s="24">
        <f t="shared" ref="E48:I48" si="10">SUM(E46:E47)</f>
        <v>57750</v>
      </c>
      <c r="F48" s="24">
        <f t="shared" si="10"/>
        <v>192500</v>
      </c>
      <c r="G48" s="24">
        <f t="shared" si="10"/>
        <v>481250</v>
      </c>
      <c r="H48" s="24">
        <f t="shared" si="10"/>
        <v>770000</v>
      </c>
      <c r="I48" s="31">
        <f t="shared" si="10"/>
        <v>770000</v>
      </c>
    </row>
    <row r="49" spans="2:11" x14ac:dyDescent="0.2">
      <c r="B49" s="43" t="s">
        <v>19</v>
      </c>
      <c r="C49" s="138">
        <v>0.2</v>
      </c>
      <c r="D49" s="126">
        <f>+D48*$C$49*-1</f>
        <v>-3850</v>
      </c>
      <c r="E49" s="126">
        <f t="shared" ref="E49:I49" si="11">+E48*$C$49*-1</f>
        <v>-11550</v>
      </c>
      <c r="F49" s="126">
        <f t="shared" si="11"/>
        <v>-38500</v>
      </c>
      <c r="G49" s="126">
        <f t="shared" si="11"/>
        <v>-96250</v>
      </c>
      <c r="H49" s="126">
        <f t="shared" si="11"/>
        <v>-154000</v>
      </c>
      <c r="I49" s="127">
        <f t="shared" si="11"/>
        <v>-154000</v>
      </c>
      <c r="K49" s="139" t="s">
        <v>146</v>
      </c>
    </row>
    <row r="50" spans="2:11" x14ac:dyDescent="0.2">
      <c r="B50" s="43" t="s">
        <v>20</v>
      </c>
      <c r="C50" s="44"/>
      <c r="D50" s="24">
        <f>SUM(D48:D49)</f>
        <v>15400</v>
      </c>
      <c r="E50" s="24">
        <f t="shared" ref="E50:I50" si="12">SUM(E48:E49)</f>
        <v>46200</v>
      </c>
      <c r="F50" s="24">
        <f t="shared" si="12"/>
        <v>154000</v>
      </c>
      <c r="G50" s="24">
        <f t="shared" si="12"/>
        <v>385000</v>
      </c>
      <c r="H50" s="24">
        <f t="shared" si="12"/>
        <v>616000</v>
      </c>
      <c r="I50" s="31">
        <f t="shared" si="12"/>
        <v>616000</v>
      </c>
    </row>
    <row r="51" spans="2:11" x14ac:dyDescent="0.2">
      <c r="B51" s="43"/>
      <c r="C51" s="44"/>
      <c r="D51" s="44"/>
      <c r="E51" s="44"/>
      <c r="F51" s="44"/>
      <c r="G51" s="44"/>
      <c r="H51" s="44"/>
      <c r="I51" s="45"/>
    </row>
    <row r="52" spans="2:11" x14ac:dyDescent="0.2">
      <c r="B52" s="43" t="s">
        <v>0</v>
      </c>
      <c r="C52" s="44"/>
      <c r="D52" s="117">
        <v>1</v>
      </c>
      <c r="E52" s="117">
        <v>2</v>
      </c>
      <c r="F52" s="117">
        <v>3</v>
      </c>
      <c r="G52" s="117">
        <v>4</v>
      </c>
      <c r="H52" s="117">
        <v>5</v>
      </c>
      <c r="I52" s="140">
        <v>5</v>
      </c>
    </row>
    <row r="53" spans="2:11" x14ac:dyDescent="0.2">
      <c r="B53" s="43" t="s">
        <v>8</v>
      </c>
      <c r="C53" s="44">
        <v>1.1299999999999999</v>
      </c>
      <c r="D53" s="44"/>
      <c r="E53" s="44"/>
      <c r="F53" s="44"/>
      <c r="G53" s="44"/>
      <c r="H53" s="44"/>
      <c r="I53" s="45"/>
    </row>
    <row r="54" spans="2:11" x14ac:dyDescent="0.2">
      <c r="B54" s="43" t="s">
        <v>1</v>
      </c>
      <c r="C54" s="44"/>
      <c r="D54" s="24">
        <f>D50/$C$53^D52</f>
        <v>13628.318584070797</v>
      </c>
      <c r="E54" s="24">
        <f t="shared" ref="E54:I54" si="13">E50/$C$53^E52</f>
        <v>36181.376771869378</v>
      </c>
      <c r="F54" s="24">
        <f t="shared" si="13"/>
        <v>106729.72499076514</v>
      </c>
      <c r="G54" s="24">
        <f t="shared" si="13"/>
        <v>236127.71015656009</v>
      </c>
      <c r="H54" s="24">
        <f t="shared" si="13"/>
        <v>334340.12057566032</v>
      </c>
      <c r="I54" s="31">
        <f>(I50/(C53-1))/$C$53^I52</f>
        <v>2571847.0813512355</v>
      </c>
    </row>
    <row r="55" spans="2:11" x14ac:dyDescent="0.2">
      <c r="B55" s="43"/>
      <c r="C55" s="44"/>
      <c r="D55" s="44"/>
      <c r="E55" s="44"/>
      <c r="F55" s="44"/>
      <c r="G55" s="44"/>
      <c r="H55" s="44"/>
      <c r="I55" s="45"/>
    </row>
    <row r="56" spans="2:11" s="11" customFormat="1" ht="16.5" thickBot="1" x14ac:dyDescent="0.3">
      <c r="B56" s="142" t="s">
        <v>10</v>
      </c>
      <c r="C56" s="35"/>
      <c r="D56" s="143">
        <f>+SUM(D54:I54)</f>
        <v>3298854.3324301615</v>
      </c>
      <c r="E56" s="35"/>
      <c r="F56" s="35"/>
      <c r="G56" s="35"/>
      <c r="H56" s="35"/>
      <c r="I56" s="141"/>
    </row>
    <row r="57" spans="2:11" ht="15" thickTop="1" x14ac:dyDescent="0.2"/>
    <row r="58" spans="2:11" ht="15.75" x14ac:dyDescent="0.25">
      <c r="B58" s="120" t="s">
        <v>147</v>
      </c>
      <c r="C58" s="42"/>
      <c r="D58" s="42"/>
      <c r="E58" s="42"/>
      <c r="F58" s="42"/>
      <c r="G58" s="42"/>
      <c r="H58" s="42"/>
      <c r="I58" s="92"/>
    </row>
    <row r="59" spans="2:11" s="38" customFormat="1" ht="15.75" x14ac:dyDescent="0.25">
      <c r="B59" s="121"/>
      <c r="C59" s="44"/>
      <c r="D59" s="122">
        <v>2020</v>
      </c>
      <c r="E59" s="122">
        <v>2021</v>
      </c>
      <c r="F59" s="122">
        <v>2022</v>
      </c>
      <c r="G59" s="122">
        <v>2023</v>
      </c>
      <c r="H59" s="122">
        <v>2024</v>
      </c>
      <c r="I59" s="123" t="s">
        <v>9</v>
      </c>
    </row>
    <row r="60" spans="2:11" x14ac:dyDescent="0.2">
      <c r="B60" s="43"/>
      <c r="C60" s="44"/>
      <c r="D60" s="44"/>
      <c r="E60" s="44"/>
      <c r="F60" s="44"/>
      <c r="G60" s="44"/>
      <c r="H60" s="44"/>
      <c r="I60" s="45"/>
    </row>
    <row r="61" spans="2:11" x14ac:dyDescent="0.2">
      <c r="B61" s="43" t="s">
        <v>149</v>
      </c>
      <c r="C61" s="44"/>
      <c r="D61" s="24">
        <f>IF(D50&lt;0,D50,0)</f>
        <v>0</v>
      </c>
      <c r="E61" s="24">
        <f t="shared" ref="E61:I61" si="14">IF(E50&lt;0,E50,0)</f>
        <v>0</v>
      </c>
      <c r="F61" s="24">
        <f t="shared" si="14"/>
        <v>0</v>
      </c>
      <c r="G61" s="24">
        <f t="shared" si="14"/>
        <v>0</v>
      </c>
      <c r="H61" s="24">
        <f t="shared" si="14"/>
        <v>0</v>
      </c>
      <c r="I61" s="24">
        <f t="shared" si="14"/>
        <v>0</v>
      </c>
      <c r="K61" s="139" t="s">
        <v>148</v>
      </c>
    </row>
    <row r="62" spans="2:11" x14ac:dyDescent="0.2">
      <c r="B62" s="43" t="s">
        <v>150</v>
      </c>
      <c r="C62" s="44"/>
      <c r="D62" s="126"/>
      <c r="E62" s="126"/>
      <c r="F62" s="126"/>
      <c r="G62" s="126"/>
      <c r="H62" s="126"/>
      <c r="I62" s="31"/>
    </row>
    <row r="63" spans="2:11" s="11" customFormat="1" ht="15" x14ac:dyDescent="0.25">
      <c r="B63" s="34" t="s">
        <v>151</v>
      </c>
      <c r="C63" s="35"/>
      <c r="D63" s="36">
        <f>SUM(D61:I62)</f>
        <v>0</v>
      </c>
      <c r="E63" s="36"/>
      <c r="F63" s="36"/>
      <c r="G63" s="36"/>
      <c r="H63" s="36"/>
      <c r="I63" s="37"/>
    </row>
  </sheetData>
  <pageMargins left="0.7" right="0.7" top="0.75" bottom="0.75" header="0.3" footer="0.3"/>
  <pageSetup paperSize="9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4927-4BA5-4437-9FB0-9CECE829F490}">
  <dimension ref="A1:K45"/>
  <sheetViews>
    <sheetView showGridLines="0" topLeftCell="A28" workbookViewId="0">
      <selection activeCell="B43" sqref="B43"/>
    </sheetView>
  </sheetViews>
  <sheetFormatPr defaultRowHeight="14.25" x14ac:dyDescent="0.2"/>
  <cols>
    <col min="3" max="3" width="16.625" customWidth="1"/>
    <col min="5" max="5" width="10.75" bestFit="1" customWidth="1"/>
  </cols>
  <sheetData>
    <row r="1" spans="1:11" ht="15" x14ac:dyDescent="0.25">
      <c r="A1" s="11" t="s">
        <v>14</v>
      </c>
    </row>
    <row r="2" spans="1:11" x14ac:dyDescent="0.2">
      <c r="D2" s="54" t="s">
        <v>58</v>
      </c>
      <c r="E2" s="54" t="s">
        <v>59</v>
      </c>
      <c r="F2" s="54" t="s">
        <v>52</v>
      </c>
    </row>
    <row r="3" spans="1:11" x14ac:dyDescent="0.2">
      <c r="A3" t="s">
        <v>23</v>
      </c>
      <c r="D3" s="54" t="s">
        <v>53</v>
      </c>
      <c r="E3" s="54" t="s">
        <v>54</v>
      </c>
      <c r="F3" s="54" t="s">
        <v>55</v>
      </c>
    </row>
    <row r="4" spans="1:11" ht="6" customHeight="1" x14ac:dyDescent="0.2">
      <c r="D4" s="54"/>
      <c r="E4" s="54"/>
      <c r="F4" s="54"/>
    </row>
    <row r="5" spans="1:11" x14ac:dyDescent="0.2">
      <c r="A5" t="s">
        <v>28</v>
      </c>
      <c r="D5" s="112" t="s">
        <v>93</v>
      </c>
      <c r="E5" s="112" t="s">
        <v>96</v>
      </c>
      <c r="F5" s="112" t="s">
        <v>99</v>
      </c>
      <c r="H5" t="s">
        <v>26</v>
      </c>
    </row>
    <row r="6" spans="1:11" x14ac:dyDescent="0.2">
      <c r="A6" t="s">
        <v>29</v>
      </c>
      <c r="D6" s="112" t="s">
        <v>94</v>
      </c>
      <c r="E6" s="114" t="s">
        <v>97</v>
      </c>
      <c r="F6" s="112" t="s">
        <v>100</v>
      </c>
      <c r="H6" t="s">
        <v>26</v>
      </c>
      <c r="J6" t="s">
        <v>31</v>
      </c>
    </row>
    <row r="7" spans="1:11" x14ac:dyDescent="0.2">
      <c r="A7" t="s">
        <v>56</v>
      </c>
      <c r="D7" s="112" t="s">
        <v>95</v>
      </c>
      <c r="E7" s="114" t="s">
        <v>98</v>
      </c>
      <c r="F7" s="112" t="s">
        <v>101</v>
      </c>
      <c r="H7" t="s">
        <v>27</v>
      </c>
    </row>
    <row r="8" spans="1:11" x14ac:dyDescent="0.2">
      <c r="A8" t="s">
        <v>124</v>
      </c>
      <c r="D8" s="113"/>
      <c r="E8" s="56" t="s">
        <v>120</v>
      </c>
      <c r="F8" s="113"/>
    </row>
    <row r="9" spans="1:11" x14ac:dyDescent="0.2">
      <c r="A9" t="s">
        <v>125</v>
      </c>
      <c r="D9" s="113"/>
      <c r="E9" s="114" t="s">
        <v>119</v>
      </c>
      <c r="F9" s="113"/>
      <c r="J9" t="s">
        <v>30</v>
      </c>
      <c r="K9" t="s">
        <v>57</v>
      </c>
    </row>
    <row r="10" spans="1:11" x14ac:dyDescent="0.2">
      <c r="D10" s="54"/>
      <c r="E10" s="80"/>
      <c r="F10" s="54"/>
    </row>
    <row r="11" spans="1:11" x14ac:dyDescent="0.2">
      <c r="A11" t="s">
        <v>24</v>
      </c>
      <c r="D11" s="54"/>
      <c r="E11" s="115" t="s">
        <v>25</v>
      </c>
      <c r="F11" s="54"/>
      <c r="J11" t="s">
        <v>32</v>
      </c>
      <c r="K11" t="s">
        <v>71</v>
      </c>
    </row>
    <row r="16" spans="1:11" ht="15.75" x14ac:dyDescent="0.25">
      <c r="A16" s="88" t="s">
        <v>104</v>
      </c>
    </row>
    <row r="17" spans="1:6" s="38" customFormat="1" x14ac:dyDescent="0.2">
      <c r="A17" s="38" t="s">
        <v>105</v>
      </c>
    </row>
    <row r="18" spans="1:6" s="38" customFormat="1" ht="7.5" customHeight="1" x14ac:dyDescent="0.2"/>
    <row r="19" spans="1:6" ht="15" x14ac:dyDescent="0.25">
      <c r="D19" s="91" t="s">
        <v>58</v>
      </c>
      <c r="E19" s="91" t="s">
        <v>59</v>
      </c>
      <c r="F19" s="91" t="s">
        <v>52</v>
      </c>
    </row>
    <row r="20" spans="1:6" x14ac:dyDescent="0.2">
      <c r="A20" s="41" t="s">
        <v>28</v>
      </c>
      <c r="B20" s="42"/>
      <c r="C20" s="92"/>
      <c r="D20" s="90">
        <f>+'DCF Variante "S small"'!D28/1000000</f>
        <v>0.87632942068708009</v>
      </c>
      <c r="E20" s="90">
        <f>+'DCF Variante "M medium"'!D28/1000000</f>
        <v>2.0284365429111415</v>
      </c>
      <c r="F20" s="90">
        <f>+'DCF Variante "L large"'!D28/1000000</f>
        <v>3.1639569214910597</v>
      </c>
    </row>
    <row r="21" spans="1:6" x14ac:dyDescent="0.2">
      <c r="A21" s="43" t="s">
        <v>29</v>
      </c>
      <c r="B21" s="44"/>
      <c r="C21" s="45"/>
      <c r="D21" s="90">
        <f>+'DCF Variante "S small"'!D51/1000000</f>
        <v>0.11028180727591366</v>
      </c>
      <c r="E21" s="90">
        <f>+'DCF Variante "M medium"'!D51/1000000</f>
        <v>1.2623889294999748</v>
      </c>
      <c r="F21" s="90">
        <f>+'DCF Variante "L large"'!D51/1000000</f>
        <v>2.4144960517240364</v>
      </c>
    </row>
    <row r="22" spans="1:6" x14ac:dyDescent="0.2">
      <c r="A22" s="93" t="s">
        <v>56</v>
      </c>
      <c r="B22" s="94"/>
      <c r="C22" s="95"/>
      <c r="D22" s="90">
        <f>+'DCF Variante "S small"'!D74/1000000</f>
        <v>0.97887809325345188</v>
      </c>
      <c r="E22" s="90">
        <f>+'DCF Variante "M medium"'!D74/1000000</f>
        <v>2.1309852154775131</v>
      </c>
      <c r="F22" s="90">
        <f>+'DCF Variante "L large"'!D74/1000000</f>
        <v>3.2539265897807077</v>
      </c>
    </row>
    <row r="23" spans="1:6" s="38" customFormat="1" x14ac:dyDescent="0.2">
      <c r="A23" s="93" t="s">
        <v>118</v>
      </c>
      <c r="B23" s="94"/>
      <c r="C23" s="95"/>
      <c r="D23" s="103"/>
      <c r="E23" s="105">
        <f>+'DCF Variante "M medium"'!D101/1000000</f>
        <v>3.3183599256477256</v>
      </c>
      <c r="F23" s="103"/>
    </row>
    <row r="24" spans="1:6" x14ac:dyDescent="0.2">
      <c r="A24" s="96" t="s">
        <v>107</v>
      </c>
      <c r="B24" s="97"/>
      <c r="C24" s="98"/>
      <c r="D24" s="89"/>
      <c r="E24" s="90">
        <f>+'DCF Variante "M medium"'!D129/1000000</f>
        <v>4.1252791435380312</v>
      </c>
      <c r="F24" s="89"/>
    </row>
    <row r="27" spans="1:6" ht="15.75" x14ac:dyDescent="0.25">
      <c r="A27" s="102" t="s">
        <v>106</v>
      </c>
    </row>
    <row r="29" spans="1:6" ht="15" x14ac:dyDescent="0.25">
      <c r="A29" s="38"/>
      <c r="B29" s="38"/>
      <c r="C29" s="38"/>
      <c r="D29" s="91" t="s">
        <v>58</v>
      </c>
      <c r="E29" s="91" t="s">
        <v>59</v>
      </c>
      <c r="F29" s="91" t="s">
        <v>52</v>
      </c>
    </row>
    <row r="30" spans="1:6" x14ac:dyDescent="0.2">
      <c r="A30" s="41" t="s">
        <v>28</v>
      </c>
      <c r="B30" s="42"/>
      <c r="C30" s="92"/>
      <c r="D30" s="99">
        <v>4</v>
      </c>
      <c r="E30" s="99">
        <v>4</v>
      </c>
      <c r="F30" s="99">
        <v>4</v>
      </c>
    </row>
    <row r="31" spans="1:6" x14ac:dyDescent="0.2">
      <c r="A31" s="43" t="s">
        <v>29</v>
      </c>
      <c r="B31" s="44"/>
      <c r="C31" s="45"/>
      <c r="D31" s="99">
        <v>4</v>
      </c>
      <c r="E31" s="99">
        <v>4</v>
      </c>
      <c r="F31" s="99">
        <v>4</v>
      </c>
    </row>
    <row r="32" spans="1:6" x14ac:dyDescent="0.2">
      <c r="A32" s="93" t="s">
        <v>56</v>
      </c>
      <c r="B32" s="94"/>
      <c r="C32" s="95"/>
      <c r="D32" s="99">
        <v>4</v>
      </c>
      <c r="E32" s="99">
        <v>4</v>
      </c>
      <c r="F32" s="99">
        <v>4</v>
      </c>
    </row>
    <row r="33" spans="1:6" s="38" customFormat="1" x14ac:dyDescent="0.2">
      <c r="A33" s="93" t="s">
        <v>118</v>
      </c>
      <c r="B33" s="94"/>
      <c r="C33" s="95"/>
      <c r="D33" s="104"/>
      <c r="E33" s="106">
        <v>4</v>
      </c>
      <c r="F33" s="104"/>
    </row>
    <row r="34" spans="1:6" x14ac:dyDescent="0.2">
      <c r="A34" s="96" t="s">
        <v>107</v>
      </c>
      <c r="B34" s="97"/>
      <c r="C34" s="98"/>
      <c r="D34" s="100"/>
      <c r="E34" s="106">
        <v>3</v>
      </c>
      <c r="F34" s="100"/>
    </row>
    <row r="37" spans="1:6" ht="15.75" x14ac:dyDescent="0.25">
      <c r="A37" s="102" t="s">
        <v>116</v>
      </c>
      <c r="B37" s="38"/>
      <c r="C37" s="38"/>
      <c r="D37" s="38"/>
      <c r="E37" s="38"/>
      <c r="F37" s="38"/>
    </row>
    <row r="38" spans="1:6" s="4" customFormat="1" x14ac:dyDescent="0.2">
      <c r="A38" s="38" t="s">
        <v>105</v>
      </c>
    </row>
    <row r="39" spans="1:6" ht="5.25" customHeight="1" x14ac:dyDescent="0.2">
      <c r="A39" s="38"/>
      <c r="B39" s="38"/>
      <c r="C39" s="38"/>
      <c r="D39" s="38"/>
      <c r="E39" s="38"/>
      <c r="F39" s="38"/>
    </row>
    <row r="40" spans="1:6" ht="15" x14ac:dyDescent="0.25">
      <c r="A40" s="38"/>
      <c r="B40" s="38"/>
      <c r="C40" s="38"/>
      <c r="D40" s="91" t="s">
        <v>58</v>
      </c>
      <c r="E40" s="91" t="s">
        <v>59</v>
      </c>
      <c r="F40" s="91" t="s">
        <v>52</v>
      </c>
    </row>
    <row r="41" spans="1:6" x14ac:dyDescent="0.2">
      <c r="A41" s="41" t="s">
        <v>28</v>
      </c>
      <c r="B41" s="42"/>
      <c r="C41" s="92"/>
      <c r="D41" s="107">
        <f>+'DCF Variante "S small"'!I21/1000000</f>
        <v>-1.4075</v>
      </c>
      <c r="E41" s="107">
        <f>+'DCF Variante "M medium"'!I21/1000000</f>
        <v>-1.4075</v>
      </c>
      <c r="F41" s="111">
        <f>+'DCF Variante "L large"'!I21/1000000</f>
        <v>-1.4075</v>
      </c>
    </row>
    <row r="42" spans="1:6" x14ac:dyDescent="0.2">
      <c r="A42" s="43" t="s">
        <v>29</v>
      </c>
      <c r="B42" s="44"/>
      <c r="C42" s="45"/>
      <c r="D42" s="107">
        <f>+'DCF Variante "S small"'!I45/1000000</f>
        <v>-1.6713499999999999</v>
      </c>
      <c r="E42" s="107">
        <f>+'DCF Variante "M medium"'!I45/1000000</f>
        <v>-1.6713499999999999</v>
      </c>
      <c r="F42" s="111">
        <f>+'DCF Variante "L large"'!I45/1000000</f>
        <v>-1.6713499999999999</v>
      </c>
    </row>
    <row r="43" spans="1:6" x14ac:dyDescent="0.2">
      <c r="A43" s="93" t="s">
        <v>56</v>
      </c>
      <c r="B43" s="94"/>
      <c r="C43" s="95"/>
      <c r="D43" s="107">
        <f>+'DCF Variante "S small"'!I68/1000000</f>
        <v>-1.29162</v>
      </c>
      <c r="E43" s="107">
        <f>+'DCF Variante "M medium"'!I68/1000000</f>
        <v>-1.29162</v>
      </c>
      <c r="F43" s="111">
        <f>+'DCF Variante "L large"'!I68/1000000</f>
        <v>-1.29162</v>
      </c>
    </row>
    <row r="44" spans="1:6" s="38" customFormat="1" x14ac:dyDescent="0.2">
      <c r="A44" s="93" t="s">
        <v>118</v>
      </c>
      <c r="B44" s="94"/>
      <c r="C44" s="95"/>
      <c r="D44" s="108"/>
      <c r="E44" s="111">
        <f>+'DCF Variante "M medium"'!I95/1000000</f>
        <v>-1.68435</v>
      </c>
      <c r="F44" s="109"/>
    </row>
    <row r="45" spans="1:6" x14ac:dyDescent="0.2">
      <c r="A45" s="96" t="s">
        <v>107</v>
      </c>
      <c r="B45" s="97"/>
      <c r="C45" s="98"/>
      <c r="D45" s="110"/>
      <c r="E45" s="111">
        <f>+'DCF Variante "M medium"'!I123/1000000</f>
        <v>-1.4298949999999999</v>
      </c>
      <c r="F45" s="110"/>
    </row>
  </sheetData>
  <pageMargins left="0.7" right="0.7" top="0.75" bottom="0.75" header="0.3" footer="0.3"/>
  <pageSetup paperSize="9" orientation="portrait" r:id="rId1"/>
  <headerFooter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78AD-6F0B-44D0-B690-9AE1C3E4EF17}">
  <dimension ref="A1:Y76"/>
  <sheetViews>
    <sheetView zoomScale="90" zoomScaleNormal="90" workbookViewId="0">
      <selection activeCell="A56" sqref="A56"/>
    </sheetView>
  </sheetViews>
  <sheetFormatPr defaultColWidth="8.625" defaultRowHeight="14.25" x14ac:dyDescent="0.2"/>
  <cols>
    <col min="1" max="1" width="8.375" customWidth="1"/>
    <col min="2" max="2" width="26.625" customWidth="1"/>
    <col min="3" max="3" width="5" customWidth="1"/>
    <col min="4" max="4" width="11.5" customWidth="1"/>
    <col min="5" max="5" width="11.625" customWidth="1"/>
    <col min="6" max="6" width="10.5" customWidth="1"/>
    <col min="7" max="7" width="11" customWidth="1"/>
    <col min="8" max="8" width="11.625" customWidth="1"/>
    <col min="9" max="9" width="12.375" customWidth="1"/>
    <col min="10" max="10" width="12.625" customWidth="1"/>
    <col min="11" max="11" width="9.625" customWidth="1"/>
    <col min="12" max="12" width="9.375" customWidth="1"/>
    <col min="13" max="13" width="8.875" customWidth="1"/>
    <col min="14" max="14" width="3.25" customWidth="1"/>
  </cols>
  <sheetData>
    <row r="1" spans="1:11" ht="15.75" x14ac:dyDescent="0.2">
      <c r="A1" s="6" t="s">
        <v>68</v>
      </c>
    </row>
    <row r="3" spans="1:11" x14ac:dyDescent="0.2">
      <c r="C3" s="4"/>
      <c r="F3" s="4"/>
      <c r="I3" s="4"/>
    </row>
    <row r="4" spans="1:11" s="10" customFormat="1" ht="15" x14ac:dyDescent="0.25">
      <c r="A4" s="14"/>
      <c r="B4" s="22" t="s">
        <v>13</v>
      </c>
      <c r="C4" s="87" t="s">
        <v>93</v>
      </c>
      <c r="D4" s="66" t="s">
        <v>43</v>
      </c>
      <c r="E4" s="66"/>
      <c r="F4" s="66"/>
      <c r="G4" s="66"/>
      <c r="H4" s="15"/>
      <c r="I4" s="23"/>
    </row>
    <row r="5" spans="1:11" x14ac:dyDescent="0.2">
      <c r="A5" s="16"/>
      <c r="B5" s="17"/>
      <c r="C5" s="17"/>
      <c r="D5" s="17"/>
      <c r="E5" s="17"/>
      <c r="F5" s="17"/>
      <c r="G5" s="17"/>
      <c r="H5" s="17"/>
      <c r="I5" s="18"/>
    </row>
    <row r="6" spans="1:11" s="10" customFormat="1" x14ac:dyDescent="0.2">
      <c r="A6" s="16" t="s">
        <v>11</v>
      </c>
      <c r="B6" s="17"/>
      <c r="C6" s="17"/>
      <c r="D6" s="74">
        <v>5000</v>
      </c>
      <c r="E6" s="74">
        <v>15000</v>
      </c>
      <c r="F6" s="74">
        <v>50000</v>
      </c>
      <c r="G6" s="74">
        <v>100000</v>
      </c>
      <c r="H6" s="74">
        <v>150000</v>
      </c>
      <c r="I6" s="75" t="s">
        <v>15</v>
      </c>
    </row>
    <row r="7" spans="1:11" s="10" customFormat="1" x14ac:dyDescent="0.2">
      <c r="A7" s="16" t="s">
        <v>12</v>
      </c>
      <c r="B7" s="17"/>
      <c r="C7" s="17"/>
      <c r="D7" s="74">
        <f>+D6</f>
        <v>5000</v>
      </c>
      <c r="E7" s="74">
        <f>+E6-D6</f>
        <v>10000</v>
      </c>
      <c r="F7" s="74">
        <f>+F6-E6</f>
        <v>35000</v>
      </c>
      <c r="G7" s="74">
        <f>+G6-F6</f>
        <v>50000</v>
      </c>
      <c r="H7" s="74">
        <f>+H6-G6</f>
        <v>50000</v>
      </c>
      <c r="I7" s="75" t="s">
        <v>16</v>
      </c>
    </row>
    <row r="8" spans="1:11" s="10" customFormat="1" x14ac:dyDescent="0.2">
      <c r="A8" s="16"/>
      <c r="B8" s="17"/>
      <c r="C8" s="17"/>
      <c r="D8" s="76"/>
      <c r="E8" s="76"/>
      <c r="F8" s="76"/>
      <c r="G8" s="76"/>
      <c r="H8" s="76"/>
      <c r="I8" s="75"/>
    </row>
    <row r="9" spans="1:11" x14ac:dyDescent="0.2">
      <c r="A9" s="16"/>
      <c r="B9" s="17"/>
      <c r="C9" s="17"/>
      <c r="D9" s="76" t="s">
        <v>3</v>
      </c>
      <c r="E9" s="76"/>
      <c r="F9" s="76"/>
      <c r="G9" s="76"/>
      <c r="H9" s="76"/>
      <c r="I9" s="75"/>
    </row>
    <row r="10" spans="1:11" x14ac:dyDescent="0.2">
      <c r="A10" s="16"/>
      <c r="B10" s="17"/>
      <c r="C10" s="17"/>
      <c r="D10" s="76">
        <v>1</v>
      </c>
      <c r="E10" s="76">
        <v>2</v>
      </c>
      <c r="F10" s="76">
        <v>3</v>
      </c>
      <c r="G10" s="76">
        <v>4</v>
      </c>
      <c r="H10" s="76">
        <v>5</v>
      </c>
      <c r="I10" s="25" t="s">
        <v>9</v>
      </c>
    </row>
    <row r="11" spans="1:11" x14ac:dyDescent="0.2">
      <c r="A11" s="16" t="s">
        <v>2</v>
      </c>
      <c r="B11" s="17"/>
      <c r="C11" s="17"/>
      <c r="D11" s="74">
        <f>+D6</f>
        <v>5000</v>
      </c>
      <c r="E11" s="74">
        <f t="shared" ref="E11:H11" si="0">+E6</f>
        <v>15000</v>
      </c>
      <c r="F11" s="74">
        <f t="shared" si="0"/>
        <v>50000</v>
      </c>
      <c r="G11" s="74">
        <f t="shared" si="0"/>
        <v>100000</v>
      </c>
      <c r="H11" s="74">
        <f t="shared" si="0"/>
        <v>150000</v>
      </c>
      <c r="I11" s="27">
        <f>H11</f>
        <v>150000</v>
      </c>
      <c r="J11" s="2"/>
      <c r="K11" s="2"/>
    </row>
    <row r="12" spans="1:11" ht="13.5" customHeight="1" x14ac:dyDescent="0.2">
      <c r="A12" s="16" t="s">
        <v>4</v>
      </c>
      <c r="B12" s="17"/>
      <c r="C12" s="26">
        <v>5.5</v>
      </c>
      <c r="D12" s="24"/>
      <c r="E12" s="24"/>
      <c r="F12" s="24"/>
      <c r="G12" s="24"/>
      <c r="H12" s="24"/>
      <c r="I12" s="27">
        <f t="shared" ref="I12:I24" si="1">H12</f>
        <v>0</v>
      </c>
      <c r="J12" s="2"/>
      <c r="K12" s="2"/>
    </row>
    <row r="13" spans="1:11" x14ac:dyDescent="0.2">
      <c r="A13" s="16" t="s">
        <v>5</v>
      </c>
      <c r="B13" s="17"/>
      <c r="C13" s="17"/>
      <c r="D13" s="24">
        <f>D11*$C$12</f>
        <v>27500</v>
      </c>
      <c r="E13" s="24">
        <f t="shared" ref="E13:H13" si="2">E11*$C$12</f>
        <v>82500</v>
      </c>
      <c r="F13" s="24">
        <f t="shared" si="2"/>
        <v>275000</v>
      </c>
      <c r="G13" s="24">
        <f t="shared" si="2"/>
        <v>550000</v>
      </c>
      <c r="H13" s="24">
        <f t="shared" si="2"/>
        <v>825000</v>
      </c>
      <c r="I13" s="27">
        <f t="shared" si="1"/>
        <v>825000</v>
      </c>
      <c r="J13" s="2"/>
      <c r="K13" s="2"/>
    </row>
    <row r="14" spans="1:11" x14ac:dyDescent="0.2">
      <c r="A14" s="16"/>
      <c r="B14" s="17"/>
      <c r="C14" s="17"/>
      <c r="D14" s="24"/>
      <c r="E14" s="24"/>
      <c r="F14" s="24"/>
      <c r="G14" s="24"/>
      <c r="H14" s="24"/>
      <c r="I14" s="27"/>
      <c r="J14" s="2"/>
      <c r="K14" s="2"/>
    </row>
    <row r="15" spans="1:11" ht="13.5" customHeight="1" x14ac:dyDescent="0.2">
      <c r="A15" s="77" t="s">
        <v>6</v>
      </c>
      <c r="B15" s="76"/>
      <c r="C15" s="76"/>
      <c r="D15" s="74">
        <f>-Kosten!B4</f>
        <v>-994400</v>
      </c>
      <c r="E15" s="74">
        <f>-Kosten!C4</f>
        <v>-407600</v>
      </c>
      <c r="F15" s="74">
        <f>-Kosten!D4</f>
        <v>-367400</v>
      </c>
      <c r="G15" s="74">
        <f>-Kosten!E4</f>
        <v>-331400</v>
      </c>
      <c r="H15" s="74">
        <f>-Kosten!F4</f>
        <v>-331400</v>
      </c>
      <c r="I15" s="27">
        <f>-Kosten!G4</f>
        <v>-331400</v>
      </c>
      <c r="J15" s="2"/>
      <c r="K15" s="2"/>
    </row>
    <row r="16" spans="1:11" x14ac:dyDescent="0.2">
      <c r="A16" s="47" t="s">
        <v>17</v>
      </c>
      <c r="B16" s="44"/>
      <c r="C16" s="44"/>
      <c r="D16" s="48">
        <f>D15/D6*-1</f>
        <v>198.88</v>
      </c>
      <c r="E16" s="48">
        <f t="shared" ref="E16:H16" si="3">E15/E6*-1</f>
        <v>27.173333333333332</v>
      </c>
      <c r="F16" s="48">
        <f t="shared" si="3"/>
        <v>7.3479999999999999</v>
      </c>
      <c r="G16" s="48">
        <f t="shared" si="3"/>
        <v>3.3140000000000001</v>
      </c>
      <c r="H16" s="48">
        <f t="shared" si="3"/>
        <v>2.2093333333333334</v>
      </c>
      <c r="I16" s="49">
        <f>+H16</f>
        <v>2.2093333333333334</v>
      </c>
      <c r="J16" s="2"/>
      <c r="K16" s="2"/>
    </row>
    <row r="17" spans="1:25" s="38" customFormat="1" x14ac:dyDescent="0.2">
      <c r="A17" s="47"/>
      <c r="B17" s="44"/>
      <c r="C17" s="44"/>
      <c r="D17" s="48"/>
      <c r="E17" s="48"/>
      <c r="F17" s="48"/>
      <c r="G17" s="48"/>
      <c r="H17" s="48"/>
      <c r="I17" s="27"/>
      <c r="J17" s="39"/>
      <c r="K17" s="39"/>
    </row>
    <row r="18" spans="1:25" x14ac:dyDescent="0.2">
      <c r="A18" s="16" t="s">
        <v>7</v>
      </c>
      <c r="B18" s="17"/>
      <c r="C18" s="17"/>
      <c r="D18" s="24">
        <f t="shared" ref="D18:I18" si="4">+D13+D15</f>
        <v>-966900</v>
      </c>
      <c r="E18" s="24">
        <f t="shared" si="4"/>
        <v>-325100</v>
      </c>
      <c r="F18" s="24">
        <f t="shared" si="4"/>
        <v>-92400</v>
      </c>
      <c r="G18" s="24">
        <f t="shared" si="4"/>
        <v>218600</v>
      </c>
      <c r="H18" s="24">
        <f t="shared" si="4"/>
        <v>493600</v>
      </c>
      <c r="I18" s="31">
        <f t="shared" si="4"/>
        <v>493600</v>
      </c>
      <c r="J18" s="2"/>
      <c r="K18" s="2"/>
    </row>
    <row r="19" spans="1:25" s="38" customFormat="1" x14ac:dyDescent="0.2">
      <c r="A19" s="69" t="s">
        <v>19</v>
      </c>
      <c r="B19" s="70"/>
      <c r="C19" s="71">
        <v>0.2</v>
      </c>
      <c r="D19" s="72"/>
      <c r="E19" s="72"/>
      <c r="F19" s="72"/>
      <c r="G19" s="72">
        <f>G30</f>
        <v>0</v>
      </c>
      <c r="H19" s="72"/>
      <c r="I19" s="73">
        <f>-I18*$C19</f>
        <v>-98720</v>
      </c>
      <c r="J19" s="39"/>
      <c r="K19" s="39"/>
    </row>
    <row r="20" spans="1:25" s="38" customFormat="1" x14ac:dyDescent="0.2">
      <c r="A20" s="50" t="s">
        <v>20</v>
      </c>
      <c r="B20" s="51"/>
      <c r="C20" s="51"/>
      <c r="D20" s="52">
        <f>D18+D19</f>
        <v>-966900</v>
      </c>
      <c r="E20" s="52">
        <f t="shared" ref="E20:H20" si="5">E18+E19</f>
        <v>-325100</v>
      </c>
      <c r="F20" s="52">
        <f t="shared" si="5"/>
        <v>-92400</v>
      </c>
      <c r="G20" s="52">
        <f t="shared" si="5"/>
        <v>218600</v>
      </c>
      <c r="H20" s="52">
        <f t="shared" si="5"/>
        <v>493600</v>
      </c>
      <c r="I20" s="53">
        <f>I18+I19</f>
        <v>394880</v>
      </c>
      <c r="J20" s="39"/>
      <c r="K20" s="39"/>
    </row>
    <row r="21" spans="1:25" s="38" customFormat="1" x14ac:dyDescent="0.2">
      <c r="A21" s="50" t="s">
        <v>115</v>
      </c>
      <c r="B21" s="51"/>
      <c r="C21" s="51"/>
      <c r="D21" s="52"/>
      <c r="E21" s="52"/>
      <c r="F21" s="52"/>
      <c r="G21" s="52"/>
      <c r="H21" s="52"/>
      <c r="I21" s="101">
        <f>+D18+E18+F18+0.25*F18</f>
        <v>-1407500</v>
      </c>
      <c r="J21" s="39"/>
      <c r="K21" s="39"/>
    </row>
    <row r="22" spans="1:25" x14ac:dyDescent="0.2">
      <c r="A22" s="16"/>
      <c r="B22" s="17"/>
      <c r="C22" s="17"/>
      <c r="D22" s="24"/>
      <c r="E22" s="24"/>
      <c r="F22" s="24"/>
      <c r="G22" s="24"/>
      <c r="H22" s="24"/>
      <c r="I22" s="27">
        <f t="shared" si="1"/>
        <v>0</v>
      </c>
      <c r="J22" s="2"/>
      <c r="K22" s="2"/>
    </row>
    <row r="23" spans="1:25" x14ac:dyDescent="0.2">
      <c r="A23" s="16"/>
      <c r="B23" s="17"/>
      <c r="C23" s="17"/>
      <c r="D23" s="32">
        <v>2020</v>
      </c>
      <c r="E23" s="32">
        <v>2021</v>
      </c>
      <c r="F23" s="32">
        <v>2022</v>
      </c>
      <c r="G23" s="32">
        <v>2023</v>
      </c>
      <c r="H23" s="32">
        <v>2024</v>
      </c>
      <c r="I23" s="27"/>
      <c r="J23" s="2"/>
      <c r="K23" s="2"/>
    </row>
    <row r="24" spans="1:25" x14ac:dyDescent="0.2">
      <c r="A24" s="16" t="s">
        <v>0</v>
      </c>
      <c r="B24" s="17"/>
      <c r="C24" s="17"/>
      <c r="D24" s="24">
        <f>D10</f>
        <v>1</v>
      </c>
      <c r="E24" s="24">
        <f>E10</f>
        <v>2</v>
      </c>
      <c r="F24" s="24">
        <f>F10</f>
        <v>3</v>
      </c>
      <c r="G24" s="24">
        <f>G10</f>
        <v>4</v>
      </c>
      <c r="H24" s="24">
        <f>H10</f>
        <v>5</v>
      </c>
      <c r="I24" s="27">
        <f t="shared" si="1"/>
        <v>5</v>
      </c>
      <c r="J24" s="2"/>
      <c r="K24" s="2"/>
    </row>
    <row r="25" spans="1:25" x14ac:dyDescent="0.2">
      <c r="A25" s="16" t="s">
        <v>8</v>
      </c>
      <c r="B25" s="17"/>
      <c r="C25" s="33">
        <v>1.1299999999999999</v>
      </c>
      <c r="D25" s="24"/>
      <c r="E25" s="24"/>
      <c r="F25" s="24"/>
      <c r="G25" s="24"/>
      <c r="H25" s="24"/>
      <c r="I25" s="27"/>
      <c r="J25" s="2"/>
      <c r="K25" s="2"/>
    </row>
    <row r="26" spans="1:25" x14ac:dyDescent="0.2">
      <c r="A26" s="16" t="s">
        <v>1</v>
      </c>
      <c r="B26" s="17"/>
      <c r="C26" s="17"/>
      <c r="D26" s="24">
        <f>D20/$C$25^D24</f>
        <v>-855663.71681415942</v>
      </c>
      <c r="E26" s="24">
        <f>E20/$C$25^E24</f>
        <v>-254600.98676482111</v>
      </c>
      <c r="F26" s="24">
        <f>F20/$C$25^F24</f>
        <v>-64037.834994459088</v>
      </c>
      <c r="G26" s="24">
        <f>G20/$C$25^G24</f>
        <v>134071.47387071178</v>
      </c>
      <c r="H26" s="24">
        <f>H20/$C$25^H24</f>
        <v>267906.3044093278</v>
      </c>
      <c r="I26" s="27">
        <f>(I20/(C25-1))/$C$25^I24</f>
        <v>1648654.1809804803</v>
      </c>
      <c r="J26" s="2"/>
      <c r="K26" s="2"/>
    </row>
    <row r="27" spans="1:25" x14ac:dyDescent="0.2">
      <c r="A27" s="16"/>
      <c r="B27" s="17"/>
      <c r="C27" s="17"/>
      <c r="D27" s="24"/>
      <c r="E27" s="24"/>
      <c r="F27" s="24"/>
      <c r="G27" s="24"/>
      <c r="H27" s="24"/>
      <c r="I27" s="31"/>
      <c r="J27" s="2"/>
      <c r="K27" s="2"/>
    </row>
    <row r="28" spans="1:25" s="1" customFormat="1" ht="15" x14ac:dyDescent="0.25">
      <c r="A28" s="34" t="s">
        <v>10</v>
      </c>
      <c r="B28" s="35"/>
      <c r="C28" s="35"/>
      <c r="D28" s="36">
        <f>SUM(D26:I26)</f>
        <v>876329.42068708013</v>
      </c>
      <c r="E28" s="36"/>
      <c r="F28" s="36"/>
      <c r="G28" s="36"/>
      <c r="H28" s="36"/>
      <c r="I28" s="79"/>
      <c r="J28" s="5"/>
      <c r="K28" s="5"/>
      <c r="Q28"/>
      <c r="R28"/>
      <c r="S28"/>
      <c r="T28"/>
      <c r="U28"/>
      <c r="V28"/>
      <c r="W28"/>
      <c r="X28"/>
      <c r="Y28"/>
    </row>
    <row r="29" spans="1:25" x14ac:dyDescent="0.2">
      <c r="B29" t="s">
        <v>21</v>
      </c>
      <c r="C29" s="3"/>
      <c r="D29" s="2">
        <f>D18</f>
        <v>-966900</v>
      </c>
      <c r="E29" s="39">
        <f>E18+D29</f>
        <v>-1292000</v>
      </c>
      <c r="F29" s="39">
        <f>F18+E29</f>
        <v>-1384400</v>
      </c>
      <c r="G29" s="39">
        <f>G18+F29</f>
        <v>-1165800</v>
      </c>
      <c r="H29" s="39">
        <f>H18+G29</f>
        <v>-672200</v>
      </c>
    </row>
    <row r="30" spans="1:25" x14ac:dyDescent="0.2">
      <c r="B30" t="s">
        <v>22</v>
      </c>
      <c r="C30" s="3"/>
      <c r="D30" s="2"/>
      <c r="G30" s="39"/>
    </row>
    <row r="32" spans="1:25" ht="15" x14ac:dyDescent="0.25">
      <c r="A32" s="1"/>
      <c r="C32" s="2"/>
    </row>
    <row r="33" spans="1:9" ht="15" x14ac:dyDescent="0.25">
      <c r="A33" s="41"/>
      <c r="B33" s="22" t="s">
        <v>13</v>
      </c>
      <c r="C33" s="87" t="s">
        <v>94</v>
      </c>
      <c r="D33" s="66" t="s">
        <v>44</v>
      </c>
      <c r="E33" s="65"/>
      <c r="F33" s="65"/>
      <c r="G33" s="65"/>
      <c r="H33" s="42"/>
      <c r="I33" s="23"/>
    </row>
    <row r="34" spans="1:9" x14ac:dyDescent="0.2">
      <c r="A34" s="43"/>
      <c r="B34" s="44"/>
      <c r="C34" s="44"/>
      <c r="D34" s="44"/>
      <c r="E34" s="44"/>
      <c r="F34" s="44"/>
      <c r="G34" s="44"/>
      <c r="H34" s="44"/>
      <c r="I34" s="45"/>
    </row>
    <row r="35" spans="1:9" x14ac:dyDescent="0.2">
      <c r="A35" s="43"/>
      <c r="B35" s="44"/>
      <c r="C35" s="44"/>
      <c r="D35" s="44" t="s">
        <v>3</v>
      </c>
      <c r="E35" s="44"/>
      <c r="F35" s="44"/>
      <c r="G35" s="44"/>
      <c r="H35" s="44"/>
      <c r="I35" s="45"/>
    </row>
    <row r="36" spans="1:9" x14ac:dyDescent="0.2">
      <c r="A36" s="77"/>
      <c r="B36" s="76"/>
      <c r="C36" s="76"/>
      <c r="D36" s="76">
        <v>1</v>
      </c>
      <c r="E36" s="76">
        <v>2</v>
      </c>
      <c r="F36" s="76">
        <v>3</v>
      </c>
      <c r="G36" s="76">
        <v>4</v>
      </c>
      <c r="H36" s="76">
        <v>5</v>
      </c>
      <c r="I36" s="25" t="s">
        <v>9</v>
      </c>
    </row>
    <row r="37" spans="1:9" x14ac:dyDescent="0.2">
      <c r="A37" s="43" t="s">
        <v>5</v>
      </c>
      <c r="B37" s="44"/>
      <c r="C37" s="44"/>
      <c r="D37" s="24">
        <f>+D13</f>
        <v>27500</v>
      </c>
      <c r="E37" s="24">
        <f t="shared" ref="E37:I37" si="6">+E13</f>
        <v>82500</v>
      </c>
      <c r="F37" s="24">
        <f t="shared" si="6"/>
        <v>275000</v>
      </c>
      <c r="G37" s="24">
        <f t="shared" si="6"/>
        <v>550000</v>
      </c>
      <c r="H37" s="24">
        <f t="shared" si="6"/>
        <v>825000</v>
      </c>
      <c r="I37" s="24">
        <f t="shared" si="6"/>
        <v>825000</v>
      </c>
    </row>
    <row r="38" spans="1:9" x14ac:dyDescent="0.2">
      <c r="A38" s="43"/>
      <c r="B38" s="44"/>
      <c r="C38" s="44"/>
      <c r="D38" s="24"/>
      <c r="E38" s="24"/>
      <c r="F38" s="24"/>
      <c r="G38" s="24"/>
      <c r="H38" s="24"/>
      <c r="I38" s="27"/>
    </row>
    <row r="39" spans="1:9" x14ac:dyDescent="0.2">
      <c r="A39" s="77" t="s">
        <v>6</v>
      </c>
      <c r="B39" s="76"/>
      <c r="C39" s="76"/>
      <c r="D39" s="74">
        <f>-Kosten!B7</f>
        <v>-989000</v>
      </c>
      <c r="E39" s="74">
        <f>-Kosten!C7</f>
        <v>-510600</v>
      </c>
      <c r="F39" s="74">
        <f>-Kosten!D7</f>
        <v>-500400</v>
      </c>
      <c r="G39" s="74">
        <f>-Kosten!E7</f>
        <v>-464400</v>
      </c>
      <c r="H39" s="74">
        <f>-Kosten!F7</f>
        <v>-464400</v>
      </c>
      <c r="I39" s="27">
        <f>-Kosten!G7</f>
        <v>-464400</v>
      </c>
    </row>
    <row r="40" spans="1:9" x14ac:dyDescent="0.2">
      <c r="A40" s="47" t="s">
        <v>17</v>
      </c>
      <c r="B40" s="44"/>
      <c r="C40" s="44"/>
      <c r="D40" s="48">
        <f>D39/D11*-1</f>
        <v>197.8</v>
      </c>
      <c r="E40" s="48">
        <f>E39/E11*-1</f>
        <v>34.04</v>
      </c>
      <c r="F40" s="48">
        <f>F39/F11*-1</f>
        <v>10.007999999999999</v>
      </c>
      <c r="G40" s="48">
        <f>G39/G11*-1</f>
        <v>4.6440000000000001</v>
      </c>
      <c r="H40" s="48">
        <f>H39/H11*-1</f>
        <v>3.0960000000000001</v>
      </c>
      <c r="I40" s="49">
        <f>+H40</f>
        <v>3.0960000000000001</v>
      </c>
    </row>
    <row r="41" spans="1:9" x14ac:dyDescent="0.2">
      <c r="A41" s="47"/>
      <c r="B41" s="44"/>
      <c r="C41" s="44"/>
      <c r="D41" s="48"/>
      <c r="E41" s="48"/>
      <c r="F41" s="48"/>
      <c r="G41" s="48"/>
      <c r="H41" s="48"/>
      <c r="I41" s="27"/>
    </row>
    <row r="42" spans="1:9" x14ac:dyDescent="0.2">
      <c r="A42" s="43" t="s">
        <v>7</v>
      </c>
      <c r="B42" s="44"/>
      <c r="C42" s="44"/>
      <c r="D42" s="24">
        <f t="shared" ref="D42:I42" si="7">+D37+D39</f>
        <v>-961500</v>
      </c>
      <c r="E42" s="24">
        <f t="shared" si="7"/>
        <v>-428100</v>
      </c>
      <c r="F42" s="24">
        <f t="shared" si="7"/>
        <v>-225400</v>
      </c>
      <c r="G42" s="24">
        <f t="shared" si="7"/>
        <v>85600</v>
      </c>
      <c r="H42" s="24">
        <f t="shared" si="7"/>
        <v>360600</v>
      </c>
      <c r="I42" s="31">
        <f t="shared" si="7"/>
        <v>360600</v>
      </c>
    </row>
    <row r="43" spans="1:9" x14ac:dyDescent="0.2">
      <c r="A43" s="69" t="s">
        <v>19</v>
      </c>
      <c r="B43" s="70"/>
      <c r="C43" s="71">
        <v>0.2</v>
      </c>
      <c r="D43" s="72"/>
      <c r="E43" s="72"/>
      <c r="F43" s="72"/>
      <c r="G43" s="72">
        <f>G53</f>
        <v>0</v>
      </c>
      <c r="H43" s="72"/>
      <c r="I43" s="73">
        <f>-I42*$C43</f>
        <v>-72120</v>
      </c>
    </row>
    <row r="44" spans="1:9" x14ac:dyDescent="0.2">
      <c r="A44" s="50" t="s">
        <v>20</v>
      </c>
      <c r="B44" s="51"/>
      <c r="C44" s="51"/>
      <c r="D44" s="52">
        <f>D42+D43</f>
        <v>-961500</v>
      </c>
      <c r="E44" s="52">
        <f t="shared" ref="E44:H44" si="8">E42+E43</f>
        <v>-428100</v>
      </c>
      <c r="F44" s="52">
        <f t="shared" si="8"/>
        <v>-225400</v>
      </c>
      <c r="G44" s="52">
        <f t="shared" si="8"/>
        <v>85600</v>
      </c>
      <c r="H44" s="52">
        <f t="shared" si="8"/>
        <v>360600</v>
      </c>
      <c r="I44" s="53">
        <f>I42+I43</f>
        <v>288480</v>
      </c>
    </row>
    <row r="45" spans="1:9" s="38" customFormat="1" x14ac:dyDescent="0.2">
      <c r="A45" s="50" t="s">
        <v>115</v>
      </c>
      <c r="B45" s="51"/>
      <c r="C45" s="51"/>
      <c r="D45" s="52"/>
      <c r="E45" s="52"/>
      <c r="F45" s="52"/>
      <c r="G45" s="52"/>
      <c r="H45" s="52"/>
      <c r="I45" s="101">
        <f>+D42+E42+F42+0.25*F42</f>
        <v>-1671350</v>
      </c>
    </row>
    <row r="46" spans="1:9" x14ac:dyDescent="0.2">
      <c r="A46" s="43"/>
      <c r="B46" s="44"/>
      <c r="C46" s="44"/>
      <c r="D46" s="24"/>
      <c r="E46" s="24"/>
      <c r="F46" s="24"/>
      <c r="G46" s="24"/>
      <c r="H46" s="24"/>
      <c r="I46" s="27">
        <f t="shared" ref="I46" si="9">H46</f>
        <v>0</v>
      </c>
    </row>
    <row r="47" spans="1:9" x14ac:dyDescent="0.2">
      <c r="A47" s="43"/>
      <c r="B47" s="44"/>
      <c r="C47" s="44"/>
      <c r="D47" s="32">
        <v>2020</v>
      </c>
      <c r="E47" s="32">
        <v>2021</v>
      </c>
      <c r="F47" s="32">
        <v>2022</v>
      </c>
      <c r="G47" s="32">
        <v>2023</v>
      </c>
      <c r="H47" s="32">
        <v>2024</v>
      </c>
      <c r="I47" s="27"/>
    </row>
    <row r="48" spans="1:9" x14ac:dyDescent="0.2">
      <c r="A48" s="43" t="s">
        <v>0</v>
      </c>
      <c r="B48" s="44"/>
      <c r="C48" s="44"/>
      <c r="D48" s="24">
        <f>D36</f>
        <v>1</v>
      </c>
      <c r="E48" s="24">
        <f>E36</f>
        <v>2</v>
      </c>
      <c r="F48" s="24">
        <f>F36</f>
        <v>3</v>
      </c>
      <c r="G48" s="24">
        <f>G36</f>
        <v>4</v>
      </c>
      <c r="H48" s="24">
        <f>H36</f>
        <v>5</v>
      </c>
      <c r="I48" s="27">
        <f t="shared" ref="I48" si="10">H48</f>
        <v>5</v>
      </c>
    </row>
    <row r="49" spans="1:9" x14ac:dyDescent="0.2">
      <c r="A49" s="43" t="s">
        <v>1</v>
      </c>
      <c r="B49" s="44"/>
      <c r="C49" s="44"/>
      <c r="D49" s="24">
        <f>D44/$C$25^D48</f>
        <v>-850884.95575221244</v>
      </c>
      <c r="E49" s="24">
        <f>E44/$C$25^E48</f>
        <v>-335265.09515232209</v>
      </c>
      <c r="F49" s="24">
        <f>F44/$C$25^F48</f>
        <v>-156213.50657739263</v>
      </c>
      <c r="G49" s="24">
        <f>G44/$C$25^G48</f>
        <v>52500.083089354659</v>
      </c>
      <c r="H49" s="24">
        <f>H44/$C$25^H48</f>
        <v>195719.23292140116</v>
      </c>
      <c r="I49" s="27">
        <f>(I44/(C25-1))/$C$25^I48</f>
        <v>1204426.048747085</v>
      </c>
    </row>
    <row r="50" spans="1:9" x14ac:dyDescent="0.2">
      <c r="A50" s="43"/>
      <c r="B50" s="44"/>
      <c r="C50" s="44"/>
      <c r="D50" s="24"/>
      <c r="E50" s="24"/>
      <c r="F50" s="24"/>
      <c r="G50" s="24"/>
      <c r="H50" s="24"/>
      <c r="I50" s="31"/>
    </row>
    <row r="51" spans="1:9" ht="15" x14ac:dyDescent="0.25">
      <c r="A51" s="34" t="s">
        <v>10</v>
      </c>
      <c r="B51" s="35"/>
      <c r="C51" s="35"/>
      <c r="D51" s="36">
        <f>SUM(D49:I49)</f>
        <v>110281.80727591366</v>
      </c>
      <c r="E51" s="36"/>
      <c r="F51" s="36"/>
      <c r="G51" s="36"/>
      <c r="H51" s="36"/>
      <c r="I51" s="79"/>
    </row>
    <row r="52" spans="1:9" s="38" customFormat="1" ht="15" x14ac:dyDescent="0.25">
      <c r="A52" s="67"/>
      <c r="B52" s="38" t="s">
        <v>21</v>
      </c>
      <c r="C52" s="40"/>
      <c r="D52" s="39">
        <f>D42</f>
        <v>-961500</v>
      </c>
      <c r="E52" s="39">
        <f>E42+D52</f>
        <v>-1389600</v>
      </c>
      <c r="F52" s="39">
        <f>F42+E52</f>
        <v>-1615000</v>
      </c>
      <c r="G52" s="39">
        <f>G42+F52</f>
        <v>-1529400</v>
      </c>
      <c r="H52" s="39">
        <f>H42+G52</f>
        <v>-1168800</v>
      </c>
      <c r="I52" s="68"/>
    </row>
    <row r="53" spans="1:9" s="38" customFormat="1" ht="15" x14ac:dyDescent="0.25">
      <c r="A53" s="67"/>
      <c r="B53" s="38" t="s">
        <v>22</v>
      </c>
      <c r="C53" s="40"/>
      <c r="D53" s="39"/>
      <c r="G53" s="39"/>
      <c r="H53" s="68">
        <v>0</v>
      </c>
      <c r="I53" s="68"/>
    </row>
    <row r="54" spans="1:9" x14ac:dyDescent="0.2">
      <c r="A54" s="7"/>
    </row>
    <row r="55" spans="1:9" x14ac:dyDescent="0.2">
      <c r="A55" s="7"/>
    </row>
    <row r="56" spans="1:9" ht="15" x14ac:dyDescent="0.25">
      <c r="A56" s="41"/>
      <c r="B56" s="22" t="s">
        <v>13</v>
      </c>
      <c r="C56" s="87" t="s">
        <v>95</v>
      </c>
      <c r="D56" s="66" t="s">
        <v>45</v>
      </c>
      <c r="E56" s="66"/>
      <c r="F56" s="66"/>
      <c r="G56" s="66"/>
      <c r="H56" s="42"/>
      <c r="I56" s="23"/>
    </row>
    <row r="57" spans="1:9" x14ac:dyDescent="0.2">
      <c r="A57" s="43"/>
      <c r="B57" s="44"/>
      <c r="C57" s="44"/>
      <c r="D57" s="44"/>
      <c r="E57" s="44"/>
      <c r="F57" s="44"/>
      <c r="G57" s="44"/>
      <c r="H57" s="44"/>
      <c r="I57" s="45"/>
    </row>
    <row r="58" spans="1:9" x14ac:dyDescent="0.2">
      <c r="A58" s="43"/>
      <c r="B58" s="44"/>
      <c r="C58" s="76"/>
      <c r="D58" s="76" t="s">
        <v>3</v>
      </c>
      <c r="E58" s="76"/>
      <c r="F58" s="76"/>
      <c r="G58" s="76"/>
      <c r="H58" s="76"/>
      <c r="I58" s="75"/>
    </row>
    <row r="59" spans="1:9" x14ac:dyDescent="0.2">
      <c r="A59" s="43"/>
      <c r="B59" s="44"/>
      <c r="C59" s="76"/>
      <c r="D59" s="76">
        <v>1</v>
      </c>
      <c r="E59" s="76">
        <v>2</v>
      </c>
      <c r="F59" s="76">
        <v>3</v>
      </c>
      <c r="G59" s="76">
        <v>4</v>
      </c>
      <c r="H59" s="76">
        <v>5</v>
      </c>
      <c r="I59" s="25" t="s">
        <v>9</v>
      </c>
    </row>
    <row r="60" spans="1:9" x14ac:dyDescent="0.2">
      <c r="A60" s="43" t="s">
        <v>5</v>
      </c>
      <c r="B60" s="44"/>
      <c r="C60" s="44"/>
      <c r="D60" s="24">
        <f>+D37</f>
        <v>27500</v>
      </c>
      <c r="E60" s="24">
        <f t="shared" ref="E60:I60" si="11">+E37</f>
        <v>82500</v>
      </c>
      <c r="F60" s="24">
        <f t="shared" si="11"/>
        <v>275000</v>
      </c>
      <c r="G60" s="24">
        <f t="shared" si="11"/>
        <v>550000</v>
      </c>
      <c r="H60" s="24">
        <f t="shared" si="11"/>
        <v>825000</v>
      </c>
      <c r="I60" s="24">
        <f t="shared" si="11"/>
        <v>825000</v>
      </c>
    </row>
    <row r="61" spans="1:9" x14ac:dyDescent="0.2">
      <c r="A61" s="43"/>
      <c r="B61" s="44"/>
      <c r="C61" s="44"/>
      <c r="D61" s="24"/>
      <c r="E61" s="24"/>
      <c r="F61" s="24"/>
      <c r="G61" s="24"/>
      <c r="H61" s="24"/>
      <c r="I61" s="27"/>
    </row>
    <row r="62" spans="1:9" x14ac:dyDescent="0.2">
      <c r="A62" s="77" t="s">
        <v>6</v>
      </c>
      <c r="B62" s="76"/>
      <c r="C62" s="76"/>
      <c r="D62" s="74">
        <f>-Kosten!B10</f>
        <v>-878520</v>
      </c>
      <c r="E62" s="74">
        <f>-Kosten!C10</f>
        <v>-407600</v>
      </c>
      <c r="F62" s="74">
        <f>-Kosten!D10</f>
        <v>-367400</v>
      </c>
      <c r="G62" s="74">
        <f>-Kosten!E10</f>
        <v>-331400</v>
      </c>
      <c r="H62" s="74">
        <f>-Kosten!F10</f>
        <v>-331400</v>
      </c>
      <c r="I62" s="27">
        <f>-Kosten!G10</f>
        <v>-331400</v>
      </c>
    </row>
    <row r="63" spans="1:9" x14ac:dyDescent="0.2">
      <c r="A63" s="47" t="s">
        <v>17</v>
      </c>
      <c r="B63" s="44"/>
      <c r="C63" s="44"/>
      <c r="D63" s="48">
        <f>D62/D11*-1</f>
        <v>175.70400000000001</v>
      </c>
      <c r="E63" s="48">
        <f>E62/E11*-1</f>
        <v>27.173333333333332</v>
      </c>
      <c r="F63" s="48">
        <f>F62/F11*-1</f>
        <v>7.3479999999999999</v>
      </c>
      <c r="G63" s="48">
        <f>G62/G11*-1</f>
        <v>3.3140000000000001</v>
      </c>
      <c r="H63" s="48">
        <f>H62/H11*-1</f>
        <v>2.2093333333333334</v>
      </c>
      <c r="I63" s="78">
        <f>+H63</f>
        <v>2.2093333333333334</v>
      </c>
    </row>
    <row r="64" spans="1:9" x14ac:dyDescent="0.2">
      <c r="A64" s="47"/>
      <c r="B64" s="44"/>
      <c r="C64" s="44"/>
      <c r="D64" s="48"/>
      <c r="E64" s="48"/>
      <c r="F64" s="48"/>
      <c r="G64" s="48"/>
      <c r="H64" s="48"/>
      <c r="I64" s="27"/>
    </row>
    <row r="65" spans="1:9" x14ac:dyDescent="0.2">
      <c r="A65" s="43" t="s">
        <v>7</v>
      </c>
      <c r="B65" s="44"/>
      <c r="C65" s="44"/>
      <c r="D65" s="24">
        <f>+D60+D62</f>
        <v>-851020</v>
      </c>
      <c r="E65" s="24">
        <f t="shared" ref="E65:I65" si="12">+E60+E62</f>
        <v>-325100</v>
      </c>
      <c r="F65" s="24">
        <f t="shared" si="12"/>
        <v>-92400</v>
      </c>
      <c r="G65" s="24">
        <f t="shared" si="12"/>
        <v>218600</v>
      </c>
      <c r="H65" s="24">
        <f t="shared" si="12"/>
        <v>493600</v>
      </c>
      <c r="I65" s="31">
        <f t="shared" si="12"/>
        <v>493600</v>
      </c>
    </row>
    <row r="66" spans="1:9" x14ac:dyDescent="0.2">
      <c r="A66" s="69" t="s">
        <v>19</v>
      </c>
      <c r="B66" s="70"/>
      <c r="C66" s="71">
        <v>0.2</v>
      </c>
      <c r="D66" s="72"/>
      <c r="E66" s="72"/>
      <c r="F66" s="72"/>
      <c r="G66" s="72"/>
      <c r="H66" s="72"/>
      <c r="I66" s="73">
        <f>-I65*$C66</f>
        <v>-98720</v>
      </c>
    </row>
    <row r="67" spans="1:9" x14ac:dyDescent="0.2">
      <c r="A67" s="50" t="s">
        <v>20</v>
      </c>
      <c r="B67" s="51"/>
      <c r="C67" s="51"/>
      <c r="D67" s="52">
        <f>D65+D66</f>
        <v>-851020</v>
      </c>
      <c r="E67" s="52">
        <f t="shared" ref="E67:H67" si="13">E65+E66</f>
        <v>-325100</v>
      </c>
      <c r="F67" s="52">
        <f t="shared" si="13"/>
        <v>-92400</v>
      </c>
      <c r="G67" s="52">
        <f t="shared" si="13"/>
        <v>218600</v>
      </c>
      <c r="H67" s="52">
        <f t="shared" si="13"/>
        <v>493600</v>
      </c>
      <c r="I67" s="53">
        <f>I65+I66</f>
        <v>394880</v>
      </c>
    </row>
    <row r="68" spans="1:9" s="38" customFormat="1" x14ac:dyDescent="0.2">
      <c r="A68" s="50" t="s">
        <v>115</v>
      </c>
      <c r="B68" s="51"/>
      <c r="C68" s="51"/>
      <c r="D68" s="52"/>
      <c r="E68" s="52"/>
      <c r="F68" s="52"/>
      <c r="G68" s="52"/>
      <c r="H68" s="52"/>
      <c r="I68" s="101">
        <f>+D65+E65+F65+0.25*F65</f>
        <v>-1291620</v>
      </c>
    </row>
    <row r="69" spans="1:9" x14ac:dyDescent="0.2">
      <c r="A69" s="43"/>
      <c r="B69" s="44"/>
      <c r="C69" s="44"/>
      <c r="D69" s="24"/>
      <c r="E69" s="24"/>
      <c r="F69" s="24"/>
      <c r="G69" s="24"/>
      <c r="H69" s="24"/>
      <c r="I69" s="27">
        <f t="shared" ref="I69" si="14">H69</f>
        <v>0</v>
      </c>
    </row>
    <row r="70" spans="1:9" x14ac:dyDescent="0.2">
      <c r="A70" s="43"/>
      <c r="B70" s="44"/>
      <c r="C70" s="44"/>
      <c r="D70" s="32">
        <v>2020</v>
      </c>
      <c r="E70" s="32">
        <v>2021</v>
      </c>
      <c r="F70" s="32">
        <v>2022</v>
      </c>
      <c r="G70" s="32">
        <v>2023</v>
      </c>
      <c r="H70" s="32">
        <v>2024</v>
      </c>
      <c r="I70" s="27"/>
    </row>
    <row r="71" spans="1:9" x14ac:dyDescent="0.2">
      <c r="A71" s="43" t="s">
        <v>0</v>
      </c>
      <c r="B71" s="44"/>
      <c r="C71" s="44"/>
      <c r="D71" s="24">
        <f>D59</f>
        <v>1</v>
      </c>
      <c r="E71" s="24">
        <f>E59</f>
        <v>2</v>
      </c>
      <c r="F71" s="24">
        <f>F59</f>
        <v>3</v>
      </c>
      <c r="G71" s="24">
        <f>G59</f>
        <v>4</v>
      </c>
      <c r="H71" s="24">
        <f>H59</f>
        <v>5</v>
      </c>
      <c r="I71" s="27">
        <f t="shared" ref="I71" si="15">H71</f>
        <v>5</v>
      </c>
    </row>
    <row r="72" spans="1:9" x14ac:dyDescent="0.2">
      <c r="A72" s="43" t="s">
        <v>1</v>
      </c>
      <c r="B72" s="44"/>
      <c r="C72" s="44"/>
      <c r="D72" s="24">
        <f>D67/$C$25^D71</f>
        <v>-753115.04424778768</v>
      </c>
      <c r="E72" s="24">
        <f>E67/$C$25^E71</f>
        <v>-254600.98676482111</v>
      </c>
      <c r="F72" s="24">
        <f>F67/$C$25^F71</f>
        <v>-64037.834994459088</v>
      </c>
      <c r="G72" s="24">
        <f>G67/$C$25^G71</f>
        <v>134071.47387071178</v>
      </c>
      <c r="H72" s="24">
        <f>H67/$C$25^H71</f>
        <v>267906.3044093278</v>
      </c>
      <c r="I72" s="27">
        <f>(I67/(C25-1))/$C$25^I71</f>
        <v>1648654.1809804803</v>
      </c>
    </row>
    <row r="73" spans="1:9" x14ac:dyDescent="0.2">
      <c r="A73" s="43"/>
      <c r="B73" s="44"/>
      <c r="C73" s="44"/>
      <c r="D73" s="24"/>
      <c r="E73" s="24"/>
      <c r="F73" s="24"/>
      <c r="G73" s="24"/>
      <c r="H73" s="24"/>
      <c r="I73" s="31"/>
    </row>
    <row r="74" spans="1:9" ht="15" x14ac:dyDescent="0.25">
      <c r="A74" s="34" t="s">
        <v>10</v>
      </c>
      <c r="B74" s="35"/>
      <c r="C74" s="35"/>
      <c r="D74" s="36">
        <f>SUM(D72:I72)</f>
        <v>978878.09325345187</v>
      </c>
      <c r="E74" s="36"/>
      <c r="F74" s="36"/>
      <c r="G74" s="36"/>
      <c r="H74" s="36"/>
      <c r="I74" s="79"/>
    </row>
    <row r="75" spans="1:9" x14ac:dyDescent="0.2">
      <c r="B75" s="38" t="s">
        <v>21</v>
      </c>
      <c r="C75" s="40"/>
      <c r="D75" s="39">
        <f>D65</f>
        <v>-851020</v>
      </c>
      <c r="E75" s="39">
        <f>E65+D75</f>
        <v>-1176120</v>
      </c>
      <c r="F75" s="39">
        <f>F65+E75</f>
        <v>-1268520</v>
      </c>
      <c r="G75" s="39">
        <f>G65+F75</f>
        <v>-1049920</v>
      </c>
      <c r="H75" s="39">
        <f>H65+G75</f>
        <v>-556320</v>
      </c>
    </row>
    <row r="76" spans="1:9" x14ac:dyDescent="0.2">
      <c r="B76" s="38" t="s">
        <v>22</v>
      </c>
      <c r="C76" s="40"/>
      <c r="D76" s="39"/>
      <c r="E76" s="38"/>
      <c r="F76" s="38"/>
      <c r="G76" s="39"/>
    </row>
  </sheetData>
  <pageMargins left="0.7" right="0.7" top="0.75" bottom="0.75" header="0.3" footer="0.3"/>
  <pageSetup paperSize="9" orientation="landscape" r:id="rId1"/>
  <headerFooter>
    <oddHeader>&amp;C&amp;G</oddHead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06CF-54AC-40B6-A8EB-206CE241E7A0}">
  <dimension ref="A1:Q131"/>
  <sheetViews>
    <sheetView topLeftCell="A94" zoomScale="90" zoomScaleNormal="90" workbookViewId="0">
      <selection activeCell="I95" sqref="I95"/>
    </sheetView>
  </sheetViews>
  <sheetFormatPr defaultColWidth="11" defaultRowHeight="14.25" x14ac:dyDescent="0.2"/>
  <cols>
    <col min="2" max="2" width="25.25" customWidth="1"/>
    <col min="3" max="3" width="5" customWidth="1"/>
    <col min="4" max="4" width="11.375" customWidth="1"/>
    <col min="5" max="5" width="11.125" customWidth="1"/>
    <col min="6" max="9" width="10.625" customWidth="1"/>
  </cols>
  <sheetData>
    <row r="1" spans="1:17" ht="15.75" x14ac:dyDescent="0.2">
      <c r="A1" s="46" t="s">
        <v>69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x14ac:dyDescent="0.2">
      <c r="A3" s="38"/>
      <c r="B3" s="38"/>
      <c r="C3" s="4"/>
      <c r="D3" s="38"/>
      <c r="E3" s="38"/>
      <c r="F3" s="4"/>
      <c r="G3" s="38"/>
      <c r="H3" s="38"/>
      <c r="I3" s="4"/>
      <c r="J3" s="38"/>
      <c r="K3" s="38"/>
      <c r="L3" s="38"/>
      <c r="M3" s="38"/>
      <c r="N3" s="38"/>
      <c r="O3" s="38"/>
      <c r="P3" s="38"/>
      <c r="Q3" s="38"/>
    </row>
    <row r="4" spans="1:17" ht="15" x14ac:dyDescent="0.25">
      <c r="A4" s="41"/>
      <c r="B4" s="22" t="s">
        <v>13</v>
      </c>
      <c r="C4" s="87" t="s">
        <v>96</v>
      </c>
      <c r="D4" s="66" t="s">
        <v>46</v>
      </c>
      <c r="E4" s="65"/>
      <c r="F4" s="65"/>
      <c r="G4" s="65"/>
      <c r="H4" s="42"/>
      <c r="I4" s="23"/>
      <c r="J4" s="38"/>
      <c r="K4" s="38"/>
      <c r="L4" s="38"/>
      <c r="M4" s="38"/>
      <c r="N4" s="38"/>
      <c r="O4" s="38"/>
      <c r="P4" s="38"/>
      <c r="Q4" s="38"/>
    </row>
    <row r="5" spans="1:17" x14ac:dyDescent="0.2">
      <c r="A5" s="43"/>
      <c r="B5" s="44"/>
      <c r="C5" s="44"/>
      <c r="D5" s="44"/>
      <c r="E5" s="44"/>
      <c r="F5" s="44"/>
      <c r="G5" s="44"/>
      <c r="H5" s="44"/>
      <c r="I5" s="45"/>
      <c r="J5" s="38"/>
      <c r="K5" s="38"/>
      <c r="L5" s="38"/>
      <c r="M5" s="38"/>
      <c r="N5" s="38"/>
      <c r="O5" s="38"/>
      <c r="P5" s="38"/>
      <c r="Q5" s="38"/>
    </row>
    <row r="6" spans="1:17" x14ac:dyDescent="0.2">
      <c r="A6" s="43" t="s">
        <v>11</v>
      </c>
      <c r="B6" s="44"/>
      <c r="C6" s="44"/>
      <c r="D6" s="74">
        <v>5000</v>
      </c>
      <c r="E6" s="74">
        <v>15000</v>
      </c>
      <c r="F6" s="74">
        <v>50000</v>
      </c>
      <c r="G6" s="74">
        <v>125000</v>
      </c>
      <c r="H6" s="74">
        <v>200000</v>
      </c>
      <c r="I6" s="75" t="s">
        <v>15</v>
      </c>
      <c r="J6" s="38"/>
      <c r="K6" s="38"/>
      <c r="L6" s="38"/>
      <c r="M6" s="38"/>
      <c r="N6" s="38"/>
      <c r="O6" s="38"/>
      <c r="P6" s="38"/>
      <c r="Q6" s="38"/>
    </row>
    <row r="7" spans="1:17" x14ac:dyDescent="0.2">
      <c r="A7" s="43" t="s">
        <v>12</v>
      </c>
      <c r="B7" s="44"/>
      <c r="C7" s="44"/>
      <c r="D7" s="74">
        <f>+D6</f>
        <v>5000</v>
      </c>
      <c r="E7" s="74">
        <f>+E6-D6</f>
        <v>10000</v>
      </c>
      <c r="F7" s="74">
        <f>+F6-E6</f>
        <v>35000</v>
      </c>
      <c r="G7" s="74">
        <f>+G6-F6</f>
        <v>75000</v>
      </c>
      <c r="H7" s="74">
        <f>+H6-G6</f>
        <v>75000</v>
      </c>
      <c r="I7" s="75" t="s">
        <v>16</v>
      </c>
      <c r="J7" s="38"/>
      <c r="K7" s="38"/>
      <c r="L7" s="38"/>
      <c r="M7" s="38"/>
      <c r="N7" s="38"/>
      <c r="O7" s="38"/>
      <c r="P7" s="38"/>
      <c r="Q7" s="38"/>
    </row>
    <row r="8" spans="1:17" x14ac:dyDescent="0.2">
      <c r="A8" s="43"/>
      <c r="B8" s="44"/>
      <c r="C8" s="44"/>
      <c r="D8" s="76"/>
      <c r="E8" s="76"/>
      <c r="F8" s="76"/>
      <c r="G8" s="76"/>
      <c r="H8" s="76"/>
      <c r="I8" s="75"/>
      <c r="J8" s="38"/>
      <c r="K8" s="38"/>
      <c r="L8" s="38"/>
      <c r="M8" s="38"/>
      <c r="N8" s="38"/>
      <c r="O8" s="38"/>
      <c r="P8" s="38"/>
      <c r="Q8" s="38"/>
    </row>
    <row r="9" spans="1:17" x14ac:dyDescent="0.2">
      <c r="A9" s="43"/>
      <c r="B9" s="44"/>
      <c r="C9" s="44"/>
      <c r="D9" s="76" t="s">
        <v>3</v>
      </c>
      <c r="E9" s="76"/>
      <c r="F9" s="76"/>
      <c r="G9" s="76"/>
      <c r="H9" s="76"/>
      <c r="I9" s="75"/>
      <c r="J9" s="38"/>
      <c r="K9" s="38"/>
      <c r="L9" s="38"/>
      <c r="M9" s="38"/>
      <c r="N9" s="38"/>
      <c r="O9" s="38"/>
      <c r="P9" s="38"/>
      <c r="Q9" s="38"/>
    </row>
    <row r="10" spans="1:17" x14ac:dyDescent="0.2">
      <c r="A10" s="43"/>
      <c r="B10" s="44"/>
      <c r="C10" s="44"/>
      <c r="D10" s="76">
        <v>1</v>
      </c>
      <c r="E10" s="76">
        <v>2</v>
      </c>
      <c r="F10" s="76">
        <v>3</v>
      </c>
      <c r="G10" s="76">
        <v>4</v>
      </c>
      <c r="H10" s="76">
        <v>5</v>
      </c>
      <c r="I10" s="25" t="s">
        <v>9</v>
      </c>
      <c r="J10" s="38"/>
      <c r="K10" s="38"/>
      <c r="L10" s="38"/>
      <c r="M10" s="38"/>
      <c r="N10" s="38"/>
      <c r="O10" s="38"/>
      <c r="P10" s="38"/>
      <c r="Q10" s="38"/>
    </row>
    <row r="11" spans="1:17" x14ac:dyDescent="0.2">
      <c r="A11" s="43" t="s">
        <v>2</v>
      </c>
      <c r="B11" s="44"/>
      <c r="C11" s="44"/>
      <c r="D11" s="74">
        <f>+D6</f>
        <v>5000</v>
      </c>
      <c r="E11" s="74">
        <f>+E6</f>
        <v>15000</v>
      </c>
      <c r="F11" s="74">
        <f>+F6</f>
        <v>50000</v>
      </c>
      <c r="G11" s="74">
        <f>+G6</f>
        <v>125000</v>
      </c>
      <c r="H11" s="74">
        <f>+H6</f>
        <v>200000</v>
      </c>
      <c r="I11" s="27">
        <f>H11</f>
        <v>200000</v>
      </c>
      <c r="J11" s="39"/>
      <c r="K11" s="39"/>
      <c r="L11" s="38"/>
      <c r="M11" s="38"/>
      <c r="N11" s="38"/>
      <c r="O11" s="38"/>
      <c r="P11" s="38"/>
      <c r="Q11" s="38"/>
    </row>
    <row r="12" spans="1:17" x14ac:dyDescent="0.2">
      <c r="A12" s="43" t="s">
        <v>4</v>
      </c>
      <c r="B12" s="44"/>
      <c r="C12" s="26">
        <v>5.5</v>
      </c>
      <c r="D12" s="24"/>
      <c r="E12" s="24"/>
      <c r="F12" s="24"/>
      <c r="G12" s="24"/>
      <c r="H12" s="24"/>
      <c r="I12" s="27">
        <f t="shared" ref="I12:I24" si="0">H12</f>
        <v>0</v>
      </c>
      <c r="J12" s="39"/>
      <c r="K12" s="39"/>
      <c r="L12" s="38"/>
      <c r="M12" s="38"/>
      <c r="N12" s="38"/>
      <c r="O12" s="38"/>
      <c r="P12" s="38"/>
      <c r="Q12" s="38"/>
    </row>
    <row r="13" spans="1:17" x14ac:dyDescent="0.2">
      <c r="A13" s="43" t="s">
        <v>5</v>
      </c>
      <c r="B13" s="44"/>
      <c r="C13" s="44"/>
      <c r="D13" s="24">
        <f>D11*$C$12</f>
        <v>27500</v>
      </c>
      <c r="E13" s="24">
        <f t="shared" ref="E13:H13" si="1">E11*$C$12</f>
        <v>82500</v>
      </c>
      <c r="F13" s="24">
        <f t="shared" si="1"/>
        <v>275000</v>
      </c>
      <c r="G13" s="24">
        <f t="shared" si="1"/>
        <v>687500</v>
      </c>
      <c r="H13" s="24">
        <f t="shared" si="1"/>
        <v>1100000</v>
      </c>
      <c r="I13" s="27">
        <f t="shared" si="0"/>
        <v>1100000</v>
      </c>
      <c r="J13" s="39"/>
      <c r="K13" s="39"/>
      <c r="L13" s="38"/>
      <c r="M13" s="38"/>
      <c r="N13" s="38"/>
      <c r="O13" s="38"/>
      <c r="P13" s="38"/>
      <c r="Q13" s="38"/>
    </row>
    <row r="14" spans="1:17" x14ac:dyDescent="0.2">
      <c r="A14" s="43"/>
      <c r="B14" s="44"/>
      <c r="C14" s="44"/>
      <c r="D14" s="24"/>
      <c r="E14" s="24"/>
      <c r="F14" s="24"/>
      <c r="G14" s="24"/>
      <c r="H14" s="24"/>
      <c r="I14" s="27"/>
      <c r="J14" s="39"/>
      <c r="K14" s="39"/>
      <c r="L14" s="38"/>
      <c r="M14" s="38"/>
      <c r="N14" s="38"/>
      <c r="O14" s="38"/>
      <c r="P14" s="38"/>
      <c r="Q14" s="38"/>
    </row>
    <row r="15" spans="1:17" x14ac:dyDescent="0.2">
      <c r="A15" s="28" t="s">
        <v>6</v>
      </c>
      <c r="B15" s="29"/>
      <c r="C15" s="29"/>
      <c r="D15" s="30">
        <f>-Kosten!B5</f>
        <v>-994400</v>
      </c>
      <c r="E15" s="30">
        <f>-Kosten!C5</f>
        <v>-407600</v>
      </c>
      <c r="F15" s="30">
        <f>-Kosten!D5</f>
        <v>-367400</v>
      </c>
      <c r="G15" s="30">
        <f>-Kosten!E5</f>
        <v>-331400</v>
      </c>
      <c r="H15" s="30">
        <f>-Kosten!F5</f>
        <v>-331400</v>
      </c>
      <c r="I15" s="30">
        <f>-Kosten!G5</f>
        <v>-331400</v>
      </c>
      <c r="J15" s="39"/>
      <c r="K15" s="39"/>
      <c r="L15" s="38"/>
      <c r="M15" s="38"/>
      <c r="N15" s="38"/>
      <c r="O15" s="38"/>
      <c r="P15" s="38"/>
      <c r="Q15" s="38"/>
    </row>
    <row r="16" spans="1:17" x14ac:dyDescent="0.2">
      <c r="A16" s="47" t="s">
        <v>17</v>
      </c>
      <c r="B16" s="44"/>
      <c r="C16" s="44"/>
      <c r="D16" s="48">
        <f>D15/D6*-1</f>
        <v>198.88</v>
      </c>
      <c r="E16" s="48">
        <f t="shared" ref="E16:H16" si="2">E15/E6*-1</f>
        <v>27.173333333333332</v>
      </c>
      <c r="F16" s="48">
        <f t="shared" si="2"/>
        <v>7.3479999999999999</v>
      </c>
      <c r="G16" s="48">
        <f t="shared" si="2"/>
        <v>2.6511999999999998</v>
      </c>
      <c r="H16" s="48">
        <f t="shared" si="2"/>
        <v>1.657</v>
      </c>
      <c r="I16" s="49">
        <f>+H16</f>
        <v>1.657</v>
      </c>
      <c r="J16" s="39"/>
      <c r="K16" s="39"/>
      <c r="L16" s="38"/>
      <c r="M16" s="38"/>
      <c r="N16" s="38"/>
      <c r="O16" s="38"/>
      <c r="P16" s="38"/>
      <c r="Q16" s="38"/>
    </row>
    <row r="17" spans="1:17" x14ac:dyDescent="0.2">
      <c r="A17" s="47"/>
      <c r="B17" s="44"/>
      <c r="C17" s="44"/>
      <c r="D17" s="48"/>
      <c r="E17" s="48"/>
      <c r="F17" s="48"/>
      <c r="G17" s="48"/>
      <c r="H17" s="48"/>
      <c r="I17" s="27"/>
      <c r="J17" s="39"/>
      <c r="K17" s="39"/>
      <c r="L17" s="38"/>
      <c r="M17" s="38"/>
      <c r="N17" s="38"/>
      <c r="O17" s="38"/>
      <c r="P17" s="38"/>
      <c r="Q17" s="38"/>
    </row>
    <row r="18" spans="1:17" x14ac:dyDescent="0.2">
      <c r="A18" s="43" t="s">
        <v>7</v>
      </c>
      <c r="B18" s="44"/>
      <c r="C18" s="44"/>
      <c r="D18" s="24">
        <f t="shared" ref="D18:I18" si="3">+D13+D15</f>
        <v>-966900</v>
      </c>
      <c r="E18" s="24">
        <f t="shared" si="3"/>
        <v>-325100</v>
      </c>
      <c r="F18" s="24">
        <f t="shared" si="3"/>
        <v>-92400</v>
      </c>
      <c r="G18" s="24">
        <f t="shared" si="3"/>
        <v>356100</v>
      </c>
      <c r="H18" s="24">
        <f t="shared" si="3"/>
        <v>768600</v>
      </c>
      <c r="I18" s="31">
        <f t="shared" si="3"/>
        <v>768600</v>
      </c>
      <c r="J18" s="39"/>
      <c r="K18" s="39"/>
      <c r="L18" s="38"/>
      <c r="M18" s="38"/>
      <c r="N18" s="38"/>
      <c r="O18" s="38"/>
      <c r="P18" s="38"/>
      <c r="Q18" s="38"/>
    </row>
    <row r="19" spans="1:17" x14ac:dyDescent="0.2">
      <c r="A19" s="69" t="s">
        <v>19</v>
      </c>
      <c r="B19" s="70"/>
      <c r="C19" s="71">
        <v>0.2</v>
      </c>
      <c r="D19" s="72"/>
      <c r="E19" s="72"/>
      <c r="F19" s="72"/>
      <c r="G19" s="72"/>
      <c r="H19" s="72"/>
      <c r="I19" s="73">
        <f>-I18*$C19</f>
        <v>-153720</v>
      </c>
      <c r="J19" s="39"/>
      <c r="K19" s="39"/>
      <c r="L19" s="38"/>
      <c r="M19" s="38"/>
      <c r="N19" s="38"/>
      <c r="O19" s="38"/>
      <c r="P19" s="38"/>
      <c r="Q19" s="38"/>
    </row>
    <row r="20" spans="1:17" x14ac:dyDescent="0.2">
      <c r="A20" s="50" t="s">
        <v>20</v>
      </c>
      <c r="B20" s="51"/>
      <c r="C20" s="51"/>
      <c r="D20" s="52">
        <f>D18+D19</f>
        <v>-966900</v>
      </c>
      <c r="E20" s="52">
        <f t="shared" ref="E20:H20" si="4">E18+E19</f>
        <v>-325100</v>
      </c>
      <c r="F20" s="52">
        <f t="shared" si="4"/>
        <v>-92400</v>
      </c>
      <c r="G20" s="52">
        <f t="shared" si="4"/>
        <v>356100</v>
      </c>
      <c r="H20" s="52">
        <f t="shared" si="4"/>
        <v>768600</v>
      </c>
      <c r="I20" s="53">
        <f>I18+I19</f>
        <v>614880</v>
      </c>
      <c r="J20" s="39"/>
      <c r="K20" s="39"/>
      <c r="L20" s="38"/>
      <c r="M20" s="38"/>
      <c r="N20" s="38"/>
      <c r="O20" s="38"/>
      <c r="P20" s="38"/>
      <c r="Q20" s="38"/>
    </row>
    <row r="21" spans="1:17" s="38" customFormat="1" x14ac:dyDescent="0.2">
      <c r="A21" s="50" t="s">
        <v>115</v>
      </c>
      <c r="B21" s="51"/>
      <c r="C21" s="51"/>
      <c r="D21" s="52"/>
      <c r="E21" s="52"/>
      <c r="F21" s="52"/>
      <c r="G21" s="52"/>
      <c r="H21" s="52"/>
      <c r="I21" s="101">
        <f>+D18+E18+F18+0.25*F18</f>
        <v>-1407500</v>
      </c>
      <c r="J21" s="39"/>
      <c r="K21" s="39"/>
    </row>
    <row r="22" spans="1:17" x14ac:dyDescent="0.2">
      <c r="A22" s="43"/>
      <c r="B22" s="44"/>
      <c r="C22" s="44"/>
      <c r="D22" s="24"/>
      <c r="E22" s="24"/>
      <c r="F22" s="24"/>
      <c r="G22" s="24"/>
      <c r="H22" s="24"/>
      <c r="I22" s="27">
        <f t="shared" si="0"/>
        <v>0</v>
      </c>
      <c r="J22" s="39"/>
      <c r="K22" s="39"/>
      <c r="L22" s="38"/>
      <c r="M22" s="38"/>
      <c r="N22" s="38"/>
      <c r="O22" s="38"/>
      <c r="P22" s="38"/>
      <c r="Q22" s="38"/>
    </row>
    <row r="23" spans="1:17" x14ac:dyDescent="0.2">
      <c r="A23" s="43"/>
      <c r="B23" s="44"/>
      <c r="C23" s="44"/>
      <c r="D23" s="32">
        <v>2020</v>
      </c>
      <c r="E23" s="32">
        <v>2021</v>
      </c>
      <c r="F23" s="32">
        <v>2022</v>
      </c>
      <c r="G23" s="32">
        <v>2023</v>
      </c>
      <c r="H23" s="32">
        <v>2024</v>
      </c>
      <c r="I23" s="27"/>
      <c r="J23" s="39"/>
      <c r="K23" s="39"/>
      <c r="L23" s="38"/>
      <c r="M23" s="38"/>
      <c r="N23" s="38"/>
      <c r="O23" s="38"/>
      <c r="P23" s="38"/>
      <c r="Q23" s="38"/>
    </row>
    <row r="24" spans="1:17" x14ac:dyDescent="0.2">
      <c r="A24" s="43" t="s">
        <v>0</v>
      </c>
      <c r="B24" s="44"/>
      <c r="C24" s="44"/>
      <c r="D24" s="24">
        <f>D10</f>
        <v>1</v>
      </c>
      <c r="E24" s="24">
        <f>E10</f>
        <v>2</v>
      </c>
      <c r="F24" s="24">
        <f>F10</f>
        <v>3</v>
      </c>
      <c r="G24" s="24">
        <f>G10</f>
        <v>4</v>
      </c>
      <c r="H24" s="24">
        <f>H10</f>
        <v>5</v>
      </c>
      <c r="I24" s="27">
        <f t="shared" si="0"/>
        <v>5</v>
      </c>
      <c r="J24" s="39"/>
      <c r="K24" s="39"/>
      <c r="L24" s="38"/>
      <c r="M24" s="38"/>
      <c r="N24" s="38"/>
      <c r="O24" s="38"/>
      <c r="P24" s="38"/>
      <c r="Q24" s="38"/>
    </row>
    <row r="25" spans="1:17" x14ac:dyDescent="0.2">
      <c r="A25" s="43" t="s">
        <v>8</v>
      </c>
      <c r="B25" s="44"/>
      <c r="C25" s="33">
        <v>1.1299999999999999</v>
      </c>
      <c r="D25" s="24"/>
      <c r="E25" s="24"/>
      <c r="F25" s="24"/>
      <c r="G25" s="24"/>
      <c r="H25" s="24"/>
      <c r="I25" s="27"/>
      <c r="J25" s="39"/>
      <c r="K25" s="39"/>
      <c r="L25" s="38"/>
      <c r="M25" s="38"/>
      <c r="N25" s="38"/>
      <c r="O25" s="38"/>
      <c r="P25" s="38"/>
      <c r="Q25" s="38"/>
    </row>
    <row r="26" spans="1:17" x14ac:dyDescent="0.2">
      <c r="A26" s="43" t="s">
        <v>1</v>
      </c>
      <c r="B26" s="44"/>
      <c r="C26" s="44"/>
      <c r="D26" s="24">
        <f>D20/$C$25^D24</f>
        <v>-855663.71681415942</v>
      </c>
      <c r="E26" s="24">
        <f>E20/$C$25^E24</f>
        <v>-254600.98676482111</v>
      </c>
      <c r="F26" s="24">
        <f>F20/$C$25^F24</f>
        <v>-64037.834994459088</v>
      </c>
      <c r="G26" s="24">
        <f>G20/$C$25^G24</f>
        <v>218402.7989266261</v>
      </c>
      <c r="H26" s="24">
        <f>H20/$C$25^H24</f>
        <v>417165.28680917621</v>
      </c>
      <c r="I26" s="27">
        <f>(I20/(C25-1))/$C$25^I24</f>
        <v>2567170.9957487788</v>
      </c>
      <c r="J26" s="39"/>
      <c r="K26" s="39"/>
      <c r="L26" s="38"/>
      <c r="M26" s="38"/>
      <c r="N26" s="38"/>
      <c r="O26" s="38"/>
      <c r="P26" s="38"/>
      <c r="Q26" s="38"/>
    </row>
    <row r="27" spans="1:17" x14ac:dyDescent="0.2">
      <c r="A27" s="43"/>
      <c r="B27" s="44"/>
      <c r="C27" s="44"/>
      <c r="D27" s="24"/>
      <c r="E27" s="24"/>
      <c r="F27" s="24"/>
      <c r="G27" s="24"/>
      <c r="H27" s="24"/>
      <c r="I27" s="31"/>
      <c r="J27" s="39"/>
      <c r="K27" s="39"/>
      <c r="L27" s="38"/>
      <c r="M27" s="38"/>
      <c r="N27" s="38"/>
      <c r="O27" s="38"/>
      <c r="P27" s="38"/>
      <c r="Q27" s="38"/>
    </row>
    <row r="28" spans="1:17" ht="15" x14ac:dyDescent="0.25">
      <c r="A28" s="34" t="s">
        <v>10</v>
      </c>
      <c r="B28" s="35"/>
      <c r="C28" s="35"/>
      <c r="D28" s="36">
        <f>SUM(D26:I26)</f>
        <v>2028436.5429111414</v>
      </c>
      <c r="E28" s="36"/>
      <c r="F28" s="36"/>
      <c r="G28" s="36"/>
      <c r="H28" s="36"/>
      <c r="I28" s="79"/>
      <c r="J28" s="13"/>
      <c r="K28" s="13"/>
      <c r="L28" s="11"/>
      <c r="M28" s="11"/>
      <c r="N28" s="11"/>
      <c r="O28" s="11"/>
      <c r="P28" s="11"/>
      <c r="Q28" s="38"/>
    </row>
    <row r="29" spans="1:17" x14ac:dyDescent="0.2">
      <c r="A29" s="38"/>
      <c r="B29" s="38" t="s">
        <v>21</v>
      </c>
      <c r="C29" s="40"/>
      <c r="D29" s="39">
        <f>D18</f>
        <v>-966900</v>
      </c>
      <c r="E29" s="39">
        <f>E18+D29</f>
        <v>-1292000</v>
      </c>
      <c r="F29" s="39">
        <f>F18+E29</f>
        <v>-1384400</v>
      </c>
      <c r="G29" s="39">
        <f>G18+F29</f>
        <v>-1028300</v>
      </c>
      <c r="H29" s="39">
        <f>H18+G29</f>
        <v>-259700</v>
      </c>
      <c r="I29" s="38"/>
      <c r="J29" s="38"/>
      <c r="K29" s="38"/>
      <c r="L29" s="38"/>
      <c r="M29" s="38"/>
      <c r="N29" s="38"/>
      <c r="O29" s="38"/>
      <c r="P29" s="38"/>
      <c r="Q29" s="38"/>
    </row>
    <row r="30" spans="1:17" x14ac:dyDescent="0.2">
      <c r="A30" s="38"/>
      <c r="B30" s="38" t="s">
        <v>22</v>
      </c>
      <c r="C30" s="40"/>
      <c r="D30" s="39"/>
      <c r="E30" s="38"/>
      <c r="F30" s="38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3" spans="1:9" ht="15" x14ac:dyDescent="0.25">
      <c r="A33" s="41"/>
      <c r="B33" s="22" t="s">
        <v>13</v>
      </c>
      <c r="C33" s="87" t="s">
        <v>97</v>
      </c>
      <c r="D33" s="66" t="s">
        <v>47</v>
      </c>
      <c r="E33" s="65"/>
      <c r="F33" s="65"/>
      <c r="G33" s="65"/>
      <c r="H33" s="42"/>
      <c r="I33" s="23"/>
    </row>
    <row r="34" spans="1:9" x14ac:dyDescent="0.2">
      <c r="A34" s="43"/>
      <c r="B34" s="44"/>
      <c r="C34" s="44"/>
      <c r="D34" s="44"/>
      <c r="E34" s="44"/>
      <c r="F34" s="44"/>
      <c r="G34" s="44"/>
      <c r="H34" s="44"/>
      <c r="I34" s="45"/>
    </row>
    <row r="35" spans="1:9" x14ac:dyDescent="0.2">
      <c r="A35" s="43"/>
      <c r="B35" s="44"/>
      <c r="C35" s="44"/>
      <c r="D35" s="44" t="s">
        <v>3</v>
      </c>
      <c r="E35" s="44"/>
      <c r="F35" s="44"/>
      <c r="G35" s="44"/>
      <c r="H35" s="44"/>
      <c r="I35" s="45"/>
    </row>
    <row r="36" spans="1:9" x14ac:dyDescent="0.2">
      <c r="A36" s="77"/>
      <c r="B36" s="76"/>
      <c r="C36" s="76"/>
      <c r="D36" s="76">
        <v>1</v>
      </c>
      <c r="E36" s="76">
        <v>2</v>
      </c>
      <c r="F36" s="76">
        <v>3</v>
      </c>
      <c r="G36" s="76">
        <v>4</v>
      </c>
      <c r="H36" s="76">
        <v>5</v>
      </c>
      <c r="I36" s="25" t="s">
        <v>9</v>
      </c>
    </row>
    <row r="37" spans="1:9" x14ac:dyDescent="0.2">
      <c r="A37" s="43" t="s">
        <v>5</v>
      </c>
      <c r="B37" s="44"/>
      <c r="C37" s="44"/>
      <c r="D37" s="24">
        <f>+D13</f>
        <v>27500</v>
      </c>
      <c r="E37" s="24">
        <f t="shared" ref="E37:I37" si="5">+E13</f>
        <v>82500</v>
      </c>
      <c r="F37" s="24">
        <f t="shared" si="5"/>
        <v>275000</v>
      </c>
      <c r="G37" s="24">
        <f t="shared" si="5"/>
        <v>687500</v>
      </c>
      <c r="H37" s="24">
        <f>+H13</f>
        <v>1100000</v>
      </c>
      <c r="I37" s="24">
        <f t="shared" si="5"/>
        <v>1100000</v>
      </c>
    </row>
    <row r="38" spans="1:9" x14ac:dyDescent="0.2">
      <c r="A38" s="43"/>
      <c r="B38" s="44"/>
      <c r="C38" s="44"/>
      <c r="D38" s="24"/>
      <c r="E38" s="24"/>
      <c r="F38" s="24"/>
      <c r="G38" s="24"/>
      <c r="H38" s="24"/>
      <c r="I38" s="27"/>
    </row>
    <row r="39" spans="1:9" x14ac:dyDescent="0.2">
      <c r="A39" s="77" t="s">
        <v>6</v>
      </c>
      <c r="B39" s="76"/>
      <c r="C39" s="76"/>
      <c r="D39" s="74">
        <f>-Kosten!B8</f>
        <v>-989000</v>
      </c>
      <c r="E39" s="74">
        <f>-Kosten!C8</f>
        <v>-510600</v>
      </c>
      <c r="F39" s="74">
        <f>-Kosten!D8</f>
        <v>-500400</v>
      </c>
      <c r="G39" s="74">
        <f>-Kosten!E8</f>
        <v>-464400</v>
      </c>
      <c r="H39" s="74">
        <f>-Kosten!F8</f>
        <v>-464400</v>
      </c>
      <c r="I39" s="74">
        <f>-Kosten!G8</f>
        <v>-464400</v>
      </c>
    </row>
    <row r="40" spans="1:9" x14ac:dyDescent="0.2">
      <c r="A40" s="47" t="s">
        <v>17</v>
      </c>
      <c r="B40" s="44"/>
      <c r="C40" s="44"/>
      <c r="D40" s="48">
        <f>D39/D11*-1</f>
        <v>197.8</v>
      </c>
      <c r="E40" s="48">
        <f>E39/E11*-1</f>
        <v>34.04</v>
      </c>
      <c r="F40" s="48">
        <f>F39/F11*-1</f>
        <v>10.007999999999999</v>
      </c>
      <c r="G40" s="48">
        <f>G39/G11*-1</f>
        <v>3.7151999999999998</v>
      </c>
      <c r="H40" s="48">
        <f>H39/H11*-1</f>
        <v>2.3220000000000001</v>
      </c>
      <c r="I40" s="49">
        <f>+H40</f>
        <v>2.3220000000000001</v>
      </c>
    </row>
    <row r="41" spans="1:9" x14ac:dyDescent="0.2">
      <c r="A41" s="47"/>
      <c r="B41" s="44"/>
      <c r="C41" s="44"/>
      <c r="D41" s="48"/>
      <c r="E41" s="48"/>
      <c r="F41" s="48"/>
      <c r="G41" s="48"/>
      <c r="H41" s="48"/>
      <c r="I41" s="27"/>
    </row>
    <row r="42" spans="1:9" x14ac:dyDescent="0.2">
      <c r="A42" s="43" t="s">
        <v>7</v>
      </c>
      <c r="B42" s="44"/>
      <c r="C42" s="44"/>
      <c r="D42" s="24">
        <f>+D37+D39</f>
        <v>-961500</v>
      </c>
      <c r="E42" s="24">
        <f t="shared" ref="D42:I42" si="6">+E37+E39</f>
        <v>-428100</v>
      </c>
      <c r="F42" s="24">
        <f t="shared" si="6"/>
        <v>-225400</v>
      </c>
      <c r="G42" s="24">
        <f t="shared" si="6"/>
        <v>223100</v>
      </c>
      <c r="H42" s="24">
        <f>+H37+H39</f>
        <v>635600</v>
      </c>
      <c r="I42" s="31">
        <f t="shared" si="6"/>
        <v>635600</v>
      </c>
    </row>
    <row r="43" spans="1:9" x14ac:dyDescent="0.2">
      <c r="A43" s="69" t="s">
        <v>19</v>
      </c>
      <c r="B43" s="70"/>
      <c r="C43" s="71">
        <v>0.2</v>
      </c>
      <c r="D43" s="72"/>
      <c r="E43" s="72"/>
      <c r="F43" s="72"/>
      <c r="G43" s="72">
        <f>G53</f>
        <v>0</v>
      </c>
      <c r="H43" s="72"/>
      <c r="I43" s="73">
        <f>-I42*$C43</f>
        <v>-127120</v>
      </c>
    </row>
    <row r="44" spans="1:9" x14ac:dyDescent="0.2">
      <c r="A44" s="50" t="s">
        <v>20</v>
      </c>
      <c r="B44" s="51"/>
      <c r="C44" s="51"/>
      <c r="D44" s="52">
        <f>D42+D43</f>
        <v>-961500</v>
      </c>
      <c r="E44" s="52">
        <f t="shared" ref="E44:H44" si="7">E42+E43</f>
        <v>-428100</v>
      </c>
      <c r="F44" s="52">
        <f t="shared" si="7"/>
        <v>-225400</v>
      </c>
      <c r="G44" s="52">
        <f t="shared" si="7"/>
        <v>223100</v>
      </c>
      <c r="H44" s="52">
        <f t="shared" si="7"/>
        <v>635600</v>
      </c>
      <c r="I44" s="53">
        <f>I42+I43</f>
        <v>508480</v>
      </c>
    </row>
    <row r="45" spans="1:9" s="38" customFormat="1" x14ac:dyDescent="0.2">
      <c r="A45" s="50" t="s">
        <v>115</v>
      </c>
      <c r="B45" s="51"/>
      <c r="C45" s="51"/>
      <c r="D45" s="52"/>
      <c r="E45" s="52"/>
      <c r="F45" s="52"/>
      <c r="G45" s="52"/>
      <c r="H45" s="52"/>
      <c r="I45" s="101">
        <f>+D42+E42+F42+0.25*F42</f>
        <v>-1671350</v>
      </c>
    </row>
    <row r="46" spans="1:9" x14ac:dyDescent="0.2">
      <c r="A46" s="43"/>
      <c r="B46" s="44"/>
      <c r="C46" s="44"/>
      <c r="D46" s="24"/>
      <c r="E46" s="24"/>
      <c r="F46" s="24"/>
      <c r="G46" s="24"/>
      <c r="H46" s="24"/>
      <c r="I46" s="27">
        <f t="shared" ref="I46" si="8">H46</f>
        <v>0</v>
      </c>
    </row>
    <row r="47" spans="1:9" x14ac:dyDescent="0.2">
      <c r="A47" s="43"/>
      <c r="B47" s="44"/>
      <c r="C47" s="44"/>
      <c r="D47" s="32">
        <v>2020</v>
      </c>
      <c r="E47" s="32">
        <v>2021</v>
      </c>
      <c r="F47" s="32">
        <v>2022</v>
      </c>
      <c r="G47" s="32">
        <v>2023</v>
      </c>
      <c r="H47" s="32">
        <v>2024</v>
      </c>
      <c r="I47" s="27"/>
    </row>
    <row r="48" spans="1:9" x14ac:dyDescent="0.2">
      <c r="A48" s="43" t="s">
        <v>0</v>
      </c>
      <c r="B48" s="44"/>
      <c r="C48" s="44"/>
      <c r="D48" s="24">
        <f>D36</f>
        <v>1</v>
      </c>
      <c r="E48" s="24">
        <f>E36</f>
        <v>2</v>
      </c>
      <c r="F48" s="24">
        <f>F36</f>
        <v>3</v>
      </c>
      <c r="G48" s="24">
        <f>G36</f>
        <v>4</v>
      </c>
      <c r="H48" s="24">
        <f>H36</f>
        <v>5</v>
      </c>
      <c r="I48" s="27">
        <f t="shared" ref="I48" si="9">H48</f>
        <v>5</v>
      </c>
    </row>
    <row r="49" spans="1:9" x14ac:dyDescent="0.2">
      <c r="A49" s="43" t="s">
        <v>1</v>
      </c>
      <c r="B49" s="44"/>
      <c r="C49" s="44"/>
      <c r="D49" s="24">
        <f>D44/$C$25^D48</f>
        <v>-850884.95575221244</v>
      </c>
      <c r="E49" s="24">
        <f>E44/$C$25^E48</f>
        <v>-335265.09515232209</v>
      </c>
      <c r="F49" s="24">
        <f>F44/$C$25^F48</f>
        <v>-156213.50657739263</v>
      </c>
      <c r="G49" s="24">
        <f>G44/$C$25^G48</f>
        <v>136831.40814526897</v>
      </c>
      <c r="H49" s="24">
        <f>H44/$C$25^H48</f>
        <v>344978.2153212495</v>
      </c>
      <c r="I49" s="27">
        <f>(I44/(C25-1))/$C$25^I48</f>
        <v>2122942.8635153836</v>
      </c>
    </row>
    <row r="50" spans="1:9" x14ac:dyDescent="0.2">
      <c r="A50" s="43"/>
      <c r="B50" s="44"/>
      <c r="C50" s="44"/>
      <c r="D50" s="24"/>
      <c r="E50" s="24"/>
      <c r="F50" s="24"/>
      <c r="G50" s="24"/>
      <c r="H50" s="24"/>
      <c r="I50" s="31"/>
    </row>
    <row r="51" spans="1:9" ht="15" x14ac:dyDescent="0.25">
      <c r="A51" s="34" t="s">
        <v>10</v>
      </c>
      <c r="B51" s="35"/>
      <c r="C51" s="35"/>
      <c r="D51" s="36">
        <f>SUM(D49:I49)</f>
        <v>1262388.9294999749</v>
      </c>
      <c r="E51" s="36"/>
      <c r="F51" s="36"/>
      <c r="G51" s="36"/>
      <c r="H51" s="36"/>
      <c r="I51" s="79"/>
    </row>
    <row r="52" spans="1:9" ht="15" x14ac:dyDescent="0.25">
      <c r="A52" s="67"/>
      <c r="B52" s="38" t="s">
        <v>21</v>
      </c>
      <c r="C52" s="40"/>
      <c r="D52" s="39">
        <f>D42</f>
        <v>-961500</v>
      </c>
      <c r="E52" s="39">
        <f>E42+D52</f>
        <v>-1389600</v>
      </c>
      <c r="F52" s="39">
        <f>F42+E52</f>
        <v>-1615000</v>
      </c>
      <c r="G52" s="39">
        <f>G42+F52</f>
        <v>-1391900</v>
      </c>
      <c r="H52" s="39">
        <f>H42+G52</f>
        <v>-756300</v>
      </c>
      <c r="I52" s="68"/>
    </row>
    <row r="53" spans="1:9" ht="15" x14ac:dyDescent="0.25">
      <c r="A53" s="67"/>
      <c r="B53" s="38" t="s">
        <v>22</v>
      </c>
      <c r="C53" s="40"/>
      <c r="D53" s="39"/>
      <c r="E53" s="38"/>
      <c r="F53" s="38"/>
      <c r="G53" s="39">
        <v>0</v>
      </c>
      <c r="H53" s="68">
        <v>0</v>
      </c>
      <c r="I53" s="68"/>
    </row>
    <row r="56" spans="1:9" ht="15" x14ac:dyDescent="0.25">
      <c r="A56" s="41"/>
      <c r="B56" s="22" t="s">
        <v>13</v>
      </c>
      <c r="C56" s="87" t="s">
        <v>98</v>
      </c>
      <c r="D56" s="66" t="s">
        <v>48</v>
      </c>
      <c r="E56" s="66"/>
      <c r="F56" s="66"/>
      <c r="G56" s="66"/>
      <c r="H56" s="42"/>
      <c r="I56" s="23"/>
    </row>
    <row r="57" spans="1:9" x14ac:dyDescent="0.2">
      <c r="A57" s="43"/>
      <c r="B57" s="44"/>
      <c r="C57" s="44"/>
      <c r="D57" s="44"/>
      <c r="E57" s="44"/>
      <c r="F57" s="44"/>
      <c r="G57" s="44"/>
      <c r="H57" s="44"/>
      <c r="I57" s="45"/>
    </row>
    <row r="58" spans="1:9" x14ac:dyDescent="0.2">
      <c r="A58" s="43"/>
      <c r="B58" s="44"/>
      <c r="C58" s="76"/>
      <c r="D58" s="76" t="s">
        <v>3</v>
      </c>
      <c r="E58" s="76"/>
      <c r="F58" s="76"/>
      <c r="G58" s="76"/>
      <c r="H58" s="76"/>
      <c r="I58" s="75"/>
    </row>
    <row r="59" spans="1:9" x14ac:dyDescent="0.2">
      <c r="A59" s="43"/>
      <c r="B59" s="44"/>
      <c r="C59" s="76"/>
      <c r="D59" s="76">
        <v>1</v>
      </c>
      <c r="E59" s="76">
        <v>2</v>
      </c>
      <c r="F59" s="76">
        <v>3</v>
      </c>
      <c r="G59" s="76">
        <v>4</v>
      </c>
      <c r="H59" s="76">
        <v>5</v>
      </c>
      <c r="I59" s="25" t="s">
        <v>9</v>
      </c>
    </row>
    <row r="60" spans="1:9" x14ac:dyDescent="0.2">
      <c r="A60" s="43" t="s">
        <v>5</v>
      </c>
      <c r="B60" s="44"/>
      <c r="C60" s="44"/>
      <c r="D60" s="24">
        <f>+D37</f>
        <v>27500</v>
      </c>
      <c r="E60" s="24">
        <f t="shared" ref="E60:I60" si="10">+E37</f>
        <v>82500</v>
      </c>
      <c r="F60" s="24">
        <f t="shared" si="10"/>
        <v>275000</v>
      </c>
      <c r="G60" s="24">
        <f t="shared" si="10"/>
        <v>687500</v>
      </c>
      <c r="H60" s="24">
        <f t="shared" si="10"/>
        <v>1100000</v>
      </c>
      <c r="I60" s="31">
        <f t="shared" si="10"/>
        <v>1100000</v>
      </c>
    </row>
    <row r="61" spans="1:9" x14ac:dyDescent="0.2">
      <c r="A61" s="43"/>
      <c r="B61" s="44"/>
      <c r="C61" s="44"/>
      <c r="D61" s="24"/>
      <c r="E61" s="24"/>
      <c r="F61" s="24"/>
      <c r="G61" s="24"/>
      <c r="H61" s="24"/>
      <c r="I61" s="27"/>
    </row>
    <row r="62" spans="1:9" x14ac:dyDescent="0.2">
      <c r="A62" s="77" t="s">
        <v>6</v>
      </c>
      <c r="B62" s="76"/>
      <c r="C62" s="76"/>
      <c r="D62" s="74">
        <f>-Kosten!B11</f>
        <v>-878520</v>
      </c>
      <c r="E62" s="74">
        <f>-Kosten!C11</f>
        <v>-407600</v>
      </c>
      <c r="F62" s="74">
        <f>-Kosten!D11</f>
        <v>-367400</v>
      </c>
      <c r="G62" s="74">
        <f>-Kosten!E11</f>
        <v>-331400</v>
      </c>
      <c r="H62" s="74">
        <f>-Kosten!F11</f>
        <v>-331400</v>
      </c>
      <c r="I62" s="27">
        <f>-Kosten!G11</f>
        <v>-331400</v>
      </c>
    </row>
    <row r="63" spans="1:9" x14ac:dyDescent="0.2">
      <c r="A63" s="47" t="s">
        <v>17</v>
      </c>
      <c r="B63" s="44"/>
      <c r="C63" s="44"/>
      <c r="D63" s="48">
        <f>D62/D11*-1</f>
        <v>175.70400000000001</v>
      </c>
      <c r="E63" s="48">
        <f>E62/E11*-1</f>
        <v>27.173333333333332</v>
      </c>
      <c r="F63" s="48">
        <f>F62/F11*-1</f>
        <v>7.3479999999999999</v>
      </c>
      <c r="G63" s="48">
        <f>G62/G11*-1</f>
        <v>2.6511999999999998</v>
      </c>
      <c r="H63" s="48">
        <f>H62/H11*-1</f>
        <v>1.657</v>
      </c>
      <c r="I63" s="78">
        <f>+H63</f>
        <v>1.657</v>
      </c>
    </row>
    <row r="64" spans="1:9" x14ac:dyDescent="0.2">
      <c r="A64" s="47"/>
      <c r="B64" s="44"/>
      <c r="C64" s="44"/>
      <c r="D64" s="48"/>
      <c r="E64" s="48"/>
      <c r="F64" s="48"/>
      <c r="G64" s="48"/>
      <c r="H64" s="48"/>
      <c r="I64" s="27"/>
    </row>
    <row r="65" spans="1:9" x14ac:dyDescent="0.2">
      <c r="A65" s="43" t="s">
        <v>7</v>
      </c>
      <c r="B65" s="44"/>
      <c r="C65" s="44"/>
      <c r="D65" s="24">
        <f>+D60+D62</f>
        <v>-851020</v>
      </c>
      <c r="E65" s="24">
        <f t="shared" ref="E65:I65" si="11">+E60+E62</f>
        <v>-325100</v>
      </c>
      <c r="F65" s="24">
        <f t="shared" si="11"/>
        <v>-92400</v>
      </c>
      <c r="G65" s="24">
        <f t="shared" si="11"/>
        <v>356100</v>
      </c>
      <c r="H65" s="24">
        <f t="shared" si="11"/>
        <v>768600</v>
      </c>
      <c r="I65" s="31">
        <f t="shared" si="11"/>
        <v>768600</v>
      </c>
    </row>
    <row r="66" spans="1:9" x14ac:dyDescent="0.2">
      <c r="A66" s="69" t="s">
        <v>19</v>
      </c>
      <c r="B66" s="70"/>
      <c r="C66" s="71">
        <v>0.2</v>
      </c>
      <c r="D66" s="72"/>
      <c r="E66" s="72"/>
      <c r="F66" s="72"/>
      <c r="G66" s="72">
        <f>G76</f>
        <v>0</v>
      </c>
      <c r="H66" s="72"/>
      <c r="I66" s="73">
        <f>-I65*$C66</f>
        <v>-153720</v>
      </c>
    </row>
    <row r="67" spans="1:9" x14ac:dyDescent="0.2">
      <c r="A67" s="50" t="s">
        <v>20</v>
      </c>
      <c r="B67" s="51"/>
      <c r="C67" s="51"/>
      <c r="D67" s="52">
        <f>D65+D66</f>
        <v>-851020</v>
      </c>
      <c r="E67" s="52">
        <f t="shared" ref="E67:H67" si="12">E65+E66</f>
        <v>-325100</v>
      </c>
      <c r="F67" s="52">
        <f t="shared" si="12"/>
        <v>-92400</v>
      </c>
      <c r="G67" s="52">
        <f t="shared" si="12"/>
        <v>356100</v>
      </c>
      <c r="H67" s="52">
        <f t="shared" si="12"/>
        <v>768600</v>
      </c>
      <c r="I67" s="53">
        <f>I65+I66</f>
        <v>614880</v>
      </c>
    </row>
    <row r="68" spans="1:9" s="38" customFormat="1" x14ac:dyDescent="0.2">
      <c r="A68" s="50" t="s">
        <v>115</v>
      </c>
      <c r="B68" s="51"/>
      <c r="C68" s="51"/>
      <c r="D68" s="52"/>
      <c r="E68" s="52"/>
      <c r="F68" s="52"/>
      <c r="G68" s="52"/>
      <c r="H68" s="52"/>
      <c r="I68" s="101">
        <f>+D65+E65+F65+0.25*F65</f>
        <v>-1291620</v>
      </c>
    </row>
    <row r="69" spans="1:9" x14ac:dyDescent="0.2">
      <c r="A69" s="43"/>
      <c r="B69" s="44"/>
      <c r="C69" s="44"/>
      <c r="D69" s="24"/>
      <c r="E69" s="24"/>
      <c r="F69" s="24"/>
      <c r="G69" s="24"/>
      <c r="H69" s="24"/>
      <c r="I69" s="27">
        <f t="shared" ref="I69" si="13">H69</f>
        <v>0</v>
      </c>
    </row>
    <row r="70" spans="1:9" x14ac:dyDescent="0.2">
      <c r="A70" s="43"/>
      <c r="B70" s="44"/>
      <c r="C70" s="44"/>
      <c r="D70" s="32">
        <v>2020</v>
      </c>
      <c r="E70" s="32">
        <v>2021</v>
      </c>
      <c r="F70" s="32">
        <v>2022</v>
      </c>
      <c r="G70" s="32">
        <v>2023</v>
      </c>
      <c r="H70" s="32">
        <v>2024</v>
      </c>
      <c r="I70" s="27"/>
    </row>
    <row r="71" spans="1:9" x14ac:dyDescent="0.2">
      <c r="A71" s="43" t="s">
        <v>0</v>
      </c>
      <c r="B71" s="44"/>
      <c r="C71" s="44"/>
      <c r="D71" s="24">
        <f>D59</f>
        <v>1</v>
      </c>
      <c r="E71" s="24">
        <f>E59</f>
        <v>2</v>
      </c>
      <c r="F71" s="24">
        <f>F59</f>
        <v>3</v>
      </c>
      <c r="G71" s="24">
        <f>G59</f>
        <v>4</v>
      </c>
      <c r="H71" s="24">
        <f>H59</f>
        <v>5</v>
      </c>
      <c r="I71" s="27">
        <f t="shared" ref="I71" si="14">H71</f>
        <v>5</v>
      </c>
    </row>
    <row r="72" spans="1:9" x14ac:dyDescent="0.2">
      <c r="A72" s="43" t="s">
        <v>1</v>
      </c>
      <c r="B72" s="44"/>
      <c r="C72" s="44"/>
      <c r="D72" s="24">
        <f>D67/$C$25^D71</f>
        <v>-753115.04424778768</v>
      </c>
      <c r="E72" s="24">
        <f>E67/$C$25^E71</f>
        <v>-254600.98676482111</v>
      </c>
      <c r="F72" s="24">
        <f>F67/$C$25^F71</f>
        <v>-64037.834994459088</v>
      </c>
      <c r="G72" s="24">
        <f>G67/$C$25^G71</f>
        <v>218402.7989266261</v>
      </c>
      <c r="H72" s="24">
        <f>H67/$C$25^H71</f>
        <v>417165.28680917621</v>
      </c>
      <c r="I72" s="27">
        <f>(I67/(C25-1))/$C$25^I71</f>
        <v>2567170.9957487788</v>
      </c>
    </row>
    <row r="73" spans="1:9" x14ac:dyDescent="0.2">
      <c r="A73" s="43"/>
      <c r="B73" s="44"/>
      <c r="C73" s="44"/>
      <c r="D73" s="24"/>
      <c r="E73" s="24"/>
      <c r="F73" s="24"/>
      <c r="G73" s="24"/>
      <c r="H73" s="24"/>
      <c r="I73" s="31"/>
    </row>
    <row r="74" spans="1:9" ht="15" x14ac:dyDescent="0.25">
      <c r="A74" s="34" t="s">
        <v>10</v>
      </c>
      <c r="B74" s="35"/>
      <c r="C74" s="35"/>
      <c r="D74" s="36">
        <f>SUM(D72:I72)</f>
        <v>2130985.2154775131</v>
      </c>
      <c r="E74" s="36"/>
      <c r="F74" s="36"/>
      <c r="G74" s="36"/>
      <c r="H74" s="36"/>
      <c r="I74" s="79"/>
    </row>
    <row r="75" spans="1:9" x14ac:dyDescent="0.2">
      <c r="A75" s="38"/>
      <c r="B75" s="38" t="s">
        <v>21</v>
      </c>
      <c r="C75" s="40"/>
      <c r="D75" s="39">
        <f>D65</f>
        <v>-851020</v>
      </c>
      <c r="E75" s="39">
        <f>E65+D75</f>
        <v>-1176120</v>
      </c>
      <c r="F75" s="39">
        <f>F65+E75</f>
        <v>-1268520</v>
      </c>
      <c r="G75" s="39">
        <f>G65+F75</f>
        <v>-912420</v>
      </c>
      <c r="H75" s="39">
        <f>H65+G75</f>
        <v>-143820</v>
      </c>
      <c r="I75" s="38"/>
    </row>
    <row r="76" spans="1:9" x14ac:dyDescent="0.2">
      <c r="A76" s="38"/>
      <c r="B76" s="38" t="s">
        <v>22</v>
      </c>
      <c r="C76" s="40"/>
      <c r="D76" s="39"/>
      <c r="E76" s="38"/>
      <c r="F76" s="38"/>
      <c r="G76" s="39"/>
      <c r="H76" s="38"/>
      <c r="I76" s="38"/>
    </row>
    <row r="79" spans="1:9" s="38" customFormat="1" ht="15" x14ac:dyDescent="0.25">
      <c r="A79" s="41"/>
      <c r="B79" s="22" t="s">
        <v>13</v>
      </c>
      <c r="C79" s="87" t="s">
        <v>120</v>
      </c>
      <c r="D79" s="66" t="s">
        <v>121</v>
      </c>
      <c r="E79" s="66"/>
      <c r="F79" s="66"/>
      <c r="G79" s="66"/>
      <c r="H79" s="65"/>
      <c r="I79" s="81"/>
    </row>
    <row r="80" spans="1:9" s="38" customFormat="1" x14ac:dyDescent="0.2">
      <c r="A80" s="43"/>
      <c r="B80" s="44"/>
      <c r="C80" s="44"/>
      <c r="D80" s="44"/>
      <c r="E80" s="44"/>
      <c r="F80" s="44"/>
      <c r="G80" s="44"/>
      <c r="H80" s="44"/>
      <c r="I80" s="45"/>
    </row>
    <row r="81" spans="1:9" s="38" customFormat="1" x14ac:dyDescent="0.2">
      <c r="A81" s="43"/>
      <c r="B81" s="44"/>
      <c r="C81" s="76"/>
      <c r="D81" s="76" t="s">
        <v>3</v>
      </c>
      <c r="E81" s="76"/>
      <c r="F81" s="76"/>
      <c r="G81" s="76"/>
      <c r="H81" s="76"/>
      <c r="I81" s="75"/>
    </row>
    <row r="82" spans="1:9" s="38" customFormat="1" x14ac:dyDescent="0.2">
      <c r="A82" s="43"/>
      <c r="B82" s="44"/>
      <c r="C82" s="76"/>
      <c r="D82" s="76">
        <v>1</v>
      </c>
      <c r="E82" s="76">
        <v>2</v>
      </c>
      <c r="F82" s="76">
        <v>3</v>
      </c>
      <c r="G82" s="76">
        <v>4</v>
      </c>
      <c r="H82" s="76">
        <v>5</v>
      </c>
      <c r="I82" s="25" t="s">
        <v>9</v>
      </c>
    </row>
    <row r="83" spans="1:9" s="38" customFormat="1" x14ac:dyDescent="0.2">
      <c r="A83" s="43" t="s">
        <v>122</v>
      </c>
      <c r="B83" s="44"/>
      <c r="C83" s="76"/>
      <c r="D83" s="74">
        <f>D37</f>
        <v>27500</v>
      </c>
      <c r="E83" s="74">
        <f t="shared" ref="E83:I83" si="15">E37</f>
        <v>82500</v>
      </c>
      <c r="F83" s="74">
        <f t="shared" si="15"/>
        <v>275000</v>
      </c>
      <c r="G83" s="74">
        <f t="shared" si="15"/>
        <v>687500</v>
      </c>
      <c r="H83" s="74">
        <f t="shared" si="15"/>
        <v>1100000</v>
      </c>
      <c r="I83" s="74">
        <f t="shared" si="15"/>
        <v>1100000</v>
      </c>
    </row>
    <row r="84" spans="1:9" s="38" customFormat="1" x14ac:dyDescent="0.2">
      <c r="A84" s="43" t="s">
        <v>65</v>
      </c>
      <c r="B84" s="44"/>
      <c r="C84" s="76">
        <v>2.5</v>
      </c>
      <c r="D84" s="82"/>
      <c r="E84" s="82"/>
      <c r="F84" s="82">
        <f>40000*C84</f>
        <v>100000</v>
      </c>
      <c r="G84" s="82">
        <f>100000*C84</f>
        <v>250000</v>
      </c>
      <c r="H84" s="82">
        <f>200000*C84</f>
        <v>500000</v>
      </c>
      <c r="I84" s="84">
        <f>+H84</f>
        <v>500000</v>
      </c>
    </row>
    <row r="85" spans="1:9" s="38" customFormat="1" x14ac:dyDescent="0.2">
      <c r="A85" s="43" t="s">
        <v>5</v>
      </c>
      <c r="B85" s="44"/>
      <c r="C85" s="44"/>
      <c r="D85" s="24">
        <f>SUM(D83:D84)</f>
        <v>27500</v>
      </c>
      <c r="E85" s="24">
        <f t="shared" ref="E85:I85" si="16">SUM(E83:E84)</f>
        <v>82500</v>
      </c>
      <c r="F85" s="24">
        <f t="shared" si="16"/>
        <v>375000</v>
      </c>
      <c r="G85" s="24">
        <f t="shared" si="16"/>
        <v>937500</v>
      </c>
      <c r="H85" s="24">
        <f t="shared" si="16"/>
        <v>1600000</v>
      </c>
      <c r="I85" s="31">
        <f t="shared" si="16"/>
        <v>1600000</v>
      </c>
    </row>
    <row r="86" spans="1:9" s="38" customFormat="1" x14ac:dyDescent="0.2">
      <c r="A86" s="43"/>
      <c r="B86" s="44"/>
      <c r="C86" s="44"/>
      <c r="D86" s="24"/>
      <c r="E86" s="24"/>
      <c r="F86" s="24"/>
      <c r="G86" s="24"/>
      <c r="H86" s="24"/>
      <c r="I86" s="27"/>
    </row>
    <row r="87" spans="1:9" s="38" customFormat="1" x14ac:dyDescent="0.2">
      <c r="A87" s="43" t="s">
        <v>123</v>
      </c>
      <c r="B87" s="44"/>
      <c r="C87" s="44"/>
      <c r="D87" s="24">
        <f>+D39</f>
        <v>-989000</v>
      </c>
      <c r="E87" s="24">
        <f t="shared" ref="E87:I87" si="17">+E39</f>
        <v>-510600</v>
      </c>
      <c r="F87" s="24">
        <f t="shared" si="17"/>
        <v>-500400</v>
      </c>
      <c r="G87" s="24">
        <f t="shared" si="17"/>
        <v>-464400</v>
      </c>
      <c r="H87" s="24">
        <f t="shared" si="17"/>
        <v>-464400</v>
      </c>
      <c r="I87" s="24">
        <f t="shared" si="17"/>
        <v>-464400</v>
      </c>
    </row>
    <row r="88" spans="1:9" s="38" customFormat="1" x14ac:dyDescent="0.2">
      <c r="A88" s="43" t="s">
        <v>66</v>
      </c>
      <c r="B88" s="44"/>
      <c r="C88" s="44"/>
      <c r="D88" s="83">
        <f>-Kosten!B13</f>
        <v>0</v>
      </c>
      <c r="E88" s="83">
        <f>-Kosten!C13</f>
        <v>-138000</v>
      </c>
      <c r="F88" s="83">
        <f>-Kosten!D13</f>
        <v>0</v>
      </c>
      <c r="G88" s="83">
        <f>-Kosten!E13</f>
        <v>0</v>
      </c>
      <c r="H88" s="83">
        <f>-Kosten!F13</f>
        <v>0</v>
      </c>
      <c r="I88" s="83">
        <f>-Kosten!G13</f>
        <v>0</v>
      </c>
    </row>
    <row r="89" spans="1:9" s="38" customFormat="1" x14ac:dyDescent="0.2">
      <c r="A89" s="77" t="s">
        <v>67</v>
      </c>
      <c r="B89" s="76"/>
      <c r="C89" s="76"/>
      <c r="D89" s="74">
        <f>SUM(D87:D88)</f>
        <v>-989000</v>
      </c>
      <c r="E89" s="74">
        <f t="shared" ref="E89:I89" si="18">SUM(E87:E88)</f>
        <v>-648600</v>
      </c>
      <c r="F89" s="74">
        <f t="shared" si="18"/>
        <v>-500400</v>
      </c>
      <c r="G89" s="74">
        <f t="shared" si="18"/>
        <v>-464400</v>
      </c>
      <c r="H89" s="74">
        <f t="shared" si="18"/>
        <v>-464400</v>
      </c>
      <c r="I89" s="27">
        <f t="shared" si="18"/>
        <v>-464400</v>
      </c>
    </row>
    <row r="90" spans="1:9" s="38" customFormat="1" x14ac:dyDescent="0.2">
      <c r="A90" s="47" t="s">
        <v>17</v>
      </c>
      <c r="B90" s="44"/>
      <c r="C90" s="44"/>
      <c r="D90" s="48">
        <f>D89/D11*-1</f>
        <v>197.8</v>
      </c>
      <c r="E90" s="48">
        <f t="shared" ref="E90:I90" si="19">E89/E11*-1</f>
        <v>43.24</v>
      </c>
      <c r="F90" s="48">
        <f t="shared" si="19"/>
        <v>10.007999999999999</v>
      </c>
      <c r="G90" s="48">
        <f t="shared" si="19"/>
        <v>3.7151999999999998</v>
      </c>
      <c r="H90" s="48">
        <f t="shared" si="19"/>
        <v>2.3220000000000001</v>
      </c>
      <c r="I90" s="48">
        <f t="shared" si="19"/>
        <v>2.3220000000000001</v>
      </c>
    </row>
    <row r="91" spans="1:9" s="38" customFormat="1" x14ac:dyDescent="0.2">
      <c r="A91" s="47"/>
      <c r="B91" s="44"/>
      <c r="C91" s="44"/>
      <c r="D91" s="48"/>
      <c r="E91" s="48"/>
      <c r="F91" s="48"/>
      <c r="G91" s="48"/>
      <c r="H91" s="48"/>
      <c r="I91" s="27"/>
    </row>
    <row r="92" spans="1:9" s="38" customFormat="1" x14ac:dyDescent="0.2">
      <c r="A92" s="43" t="s">
        <v>7</v>
      </c>
      <c r="B92" s="44"/>
      <c r="C92" s="44"/>
      <c r="D92" s="24">
        <f>+D85+D89</f>
        <v>-961500</v>
      </c>
      <c r="E92" s="24">
        <f t="shared" ref="E92:I92" si="20">+E85+E89</f>
        <v>-566100</v>
      </c>
      <c r="F92" s="24">
        <f t="shared" si="20"/>
        <v>-125400</v>
      </c>
      <c r="G92" s="24">
        <f t="shared" si="20"/>
        <v>473100</v>
      </c>
      <c r="H92" s="24">
        <f t="shared" si="20"/>
        <v>1135600</v>
      </c>
      <c r="I92" s="31">
        <f t="shared" si="20"/>
        <v>1135600</v>
      </c>
    </row>
    <row r="93" spans="1:9" s="38" customFormat="1" x14ac:dyDescent="0.2">
      <c r="A93" s="69" t="s">
        <v>19</v>
      </c>
      <c r="B93" s="70"/>
      <c r="C93" s="71">
        <v>0.2</v>
      </c>
      <c r="D93" s="72"/>
      <c r="E93" s="72"/>
      <c r="F93" s="72"/>
      <c r="G93" s="72">
        <f>G103</f>
        <v>0</v>
      </c>
      <c r="H93" s="72">
        <v>0</v>
      </c>
      <c r="I93" s="73">
        <f>-I92*$C93</f>
        <v>-227120</v>
      </c>
    </row>
    <row r="94" spans="1:9" s="38" customFormat="1" x14ac:dyDescent="0.2">
      <c r="A94" s="50" t="s">
        <v>20</v>
      </c>
      <c r="B94" s="51"/>
      <c r="C94" s="51"/>
      <c r="D94" s="52">
        <f>D92+D93</f>
        <v>-961500</v>
      </c>
      <c r="E94" s="52">
        <f t="shared" ref="E94:H94" si="21">E92+E93</f>
        <v>-566100</v>
      </c>
      <c r="F94" s="52">
        <f t="shared" si="21"/>
        <v>-125400</v>
      </c>
      <c r="G94" s="52">
        <f t="shared" si="21"/>
        <v>473100</v>
      </c>
      <c r="H94" s="52">
        <f t="shared" si="21"/>
        <v>1135600</v>
      </c>
      <c r="I94" s="53">
        <f>I92+I93</f>
        <v>908480</v>
      </c>
    </row>
    <row r="95" spans="1:9" s="38" customFormat="1" x14ac:dyDescent="0.2">
      <c r="A95" s="50" t="s">
        <v>115</v>
      </c>
      <c r="B95" s="51"/>
      <c r="C95" s="51"/>
      <c r="D95" s="52"/>
      <c r="E95" s="52"/>
      <c r="F95" s="52"/>
      <c r="G95" s="52"/>
      <c r="H95" s="52"/>
      <c r="I95" s="101">
        <f>+D92+E92+F92+0.25*F92</f>
        <v>-1684350</v>
      </c>
    </row>
    <row r="96" spans="1:9" s="38" customFormat="1" x14ac:dyDescent="0.2">
      <c r="A96" s="43"/>
      <c r="B96" s="44"/>
      <c r="C96" s="44"/>
      <c r="D96" s="24"/>
      <c r="E96" s="24"/>
      <c r="F96" s="24"/>
      <c r="G96" s="24"/>
      <c r="H96" s="24"/>
      <c r="I96" s="27">
        <f t="shared" ref="I96" si="22">H96</f>
        <v>0</v>
      </c>
    </row>
    <row r="97" spans="1:9" s="38" customFormat="1" x14ac:dyDescent="0.2">
      <c r="A97" s="43"/>
      <c r="B97" s="44"/>
      <c r="C97" s="44"/>
      <c r="D97" s="32">
        <v>2020</v>
      </c>
      <c r="E97" s="32">
        <v>2021</v>
      </c>
      <c r="F97" s="32">
        <v>2022</v>
      </c>
      <c r="G97" s="32">
        <v>2023</v>
      </c>
      <c r="H97" s="32">
        <v>2024</v>
      </c>
      <c r="I97" s="27"/>
    </row>
    <row r="98" spans="1:9" s="38" customFormat="1" x14ac:dyDescent="0.2">
      <c r="A98" s="43" t="s">
        <v>0</v>
      </c>
      <c r="B98" s="44"/>
      <c r="C98" s="44"/>
      <c r="D98" s="24">
        <f>D82</f>
        <v>1</v>
      </c>
      <c r="E98" s="24">
        <f>E82</f>
        <v>2</v>
      </c>
      <c r="F98" s="24">
        <f>F82</f>
        <v>3</v>
      </c>
      <c r="G98" s="24">
        <f>G82</f>
        <v>4</v>
      </c>
      <c r="H98" s="24">
        <f>H82</f>
        <v>5</v>
      </c>
      <c r="I98" s="27">
        <f t="shared" ref="I98" si="23">H98</f>
        <v>5</v>
      </c>
    </row>
    <row r="99" spans="1:9" s="38" customFormat="1" x14ac:dyDescent="0.2">
      <c r="A99" s="43" t="s">
        <v>1</v>
      </c>
      <c r="B99" s="44"/>
      <c r="C99" s="44"/>
      <c r="D99" s="24">
        <f>D94/$C$25^D98</f>
        <v>-850884.95575221244</v>
      </c>
      <c r="E99" s="24">
        <f>E94/$C$25^E98</f>
        <v>-443339.33745790599</v>
      </c>
      <c r="F99" s="24">
        <f>F94/$C$25^F98</f>
        <v>-86908.490349623054</v>
      </c>
      <c r="G99" s="24">
        <f>G94/$C$25^G98</f>
        <v>290161.09006511315</v>
      </c>
      <c r="H99" s="24">
        <f>H94/$C$25^H98</f>
        <v>616358.18332097388</v>
      </c>
      <c r="I99" s="27">
        <f>(I94/(C25-1))/$C$25^I98</f>
        <v>3792973.4358213805</v>
      </c>
    </row>
    <row r="100" spans="1:9" s="38" customFormat="1" x14ac:dyDescent="0.2">
      <c r="A100" s="43"/>
      <c r="B100" s="44"/>
      <c r="C100" s="44"/>
      <c r="D100" s="24"/>
      <c r="E100" s="24"/>
      <c r="F100" s="24"/>
      <c r="G100" s="24"/>
      <c r="H100" s="24"/>
      <c r="I100" s="31"/>
    </row>
    <row r="101" spans="1:9" s="38" customFormat="1" ht="15" x14ac:dyDescent="0.25">
      <c r="A101" s="34" t="s">
        <v>10</v>
      </c>
      <c r="B101" s="35"/>
      <c r="C101" s="35"/>
      <c r="D101" s="36">
        <f>SUM(D99:I99)</f>
        <v>3318359.9256477258</v>
      </c>
      <c r="E101" s="36"/>
      <c r="F101" s="36"/>
      <c r="G101" s="36"/>
      <c r="H101" s="36"/>
      <c r="I101" s="79"/>
    </row>
    <row r="102" spans="1:9" s="38" customFormat="1" x14ac:dyDescent="0.2">
      <c r="B102" s="38" t="s">
        <v>21</v>
      </c>
      <c r="C102" s="40"/>
      <c r="D102" s="39">
        <f>D92</f>
        <v>-961500</v>
      </c>
      <c r="E102" s="39">
        <f>E92+D102</f>
        <v>-1527600</v>
      </c>
      <c r="F102" s="39">
        <f>F92+E102</f>
        <v>-1653000</v>
      </c>
      <c r="G102" s="39">
        <f>G92+F102</f>
        <v>-1179900</v>
      </c>
      <c r="H102" s="39">
        <f>H92+G102</f>
        <v>-44300</v>
      </c>
    </row>
    <row r="103" spans="1:9" s="38" customFormat="1" x14ac:dyDescent="0.2">
      <c r="B103" s="38" t="s">
        <v>22</v>
      </c>
      <c r="C103" s="40"/>
      <c r="D103" s="39"/>
      <c r="G103" s="39"/>
    </row>
    <row r="104" spans="1:9" s="38" customFormat="1" x14ac:dyDescent="0.2"/>
    <row r="105" spans="1:9" s="38" customFormat="1" x14ac:dyDescent="0.2"/>
    <row r="106" spans="1:9" s="38" customFormat="1" x14ac:dyDescent="0.2"/>
    <row r="107" spans="1:9" ht="15" x14ac:dyDescent="0.25">
      <c r="A107" s="41"/>
      <c r="B107" s="22" t="s">
        <v>13</v>
      </c>
      <c r="C107" s="87" t="s">
        <v>119</v>
      </c>
      <c r="D107" s="66" t="s">
        <v>62</v>
      </c>
      <c r="E107" s="66"/>
      <c r="F107" s="66"/>
      <c r="G107" s="66"/>
      <c r="H107" s="65"/>
      <c r="I107" s="81"/>
    </row>
    <row r="108" spans="1:9" x14ac:dyDescent="0.2">
      <c r="A108" s="43"/>
      <c r="B108" s="44"/>
      <c r="C108" s="44"/>
      <c r="D108" s="44"/>
      <c r="E108" s="44"/>
      <c r="F108" s="44"/>
      <c r="G108" s="44"/>
      <c r="H108" s="44"/>
      <c r="I108" s="45"/>
    </row>
    <row r="109" spans="1:9" x14ac:dyDescent="0.2">
      <c r="A109" s="43"/>
      <c r="B109" s="44"/>
      <c r="C109" s="76"/>
      <c r="D109" s="76" t="s">
        <v>3</v>
      </c>
      <c r="E109" s="76"/>
      <c r="F109" s="76"/>
      <c r="G109" s="76"/>
      <c r="H109" s="76"/>
      <c r="I109" s="75"/>
    </row>
    <row r="110" spans="1:9" x14ac:dyDescent="0.2">
      <c r="A110" s="43"/>
      <c r="B110" s="44"/>
      <c r="C110" s="76"/>
      <c r="D110" s="76">
        <v>1</v>
      </c>
      <c r="E110" s="76">
        <v>2</v>
      </c>
      <c r="F110" s="76">
        <v>3</v>
      </c>
      <c r="G110" s="76">
        <v>4</v>
      </c>
      <c r="H110" s="76">
        <v>5</v>
      </c>
      <c r="I110" s="25" t="s">
        <v>9</v>
      </c>
    </row>
    <row r="111" spans="1:9" s="38" customFormat="1" x14ac:dyDescent="0.2">
      <c r="A111" s="43" t="s">
        <v>63</v>
      </c>
      <c r="B111" s="44"/>
      <c r="C111" s="76"/>
      <c r="D111" s="74">
        <f>D60</f>
        <v>27500</v>
      </c>
      <c r="E111" s="74">
        <f t="shared" ref="E111:I111" si="24">E60</f>
        <v>82500</v>
      </c>
      <c r="F111" s="74">
        <f t="shared" si="24"/>
        <v>275000</v>
      </c>
      <c r="G111" s="74">
        <f t="shared" si="24"/>
        <v>687500</v>
      </c>
      <c r="H111" s="74">
        <f t="shared" si="24"/>
        <v>1100000</v>
      </c>
      <c r="I111" s="27">
        <f t="shared" si="24"/>
        <v>1100000</v>
      </c>
    </row>
    <row r="112" spans="1:9" s="38" customFormat="1" x14ac:dyDescent="0.2">
      <c r="A112" s="43" t="s">
        <v>65</v>
      </c>
      <c r="B112" s="44"/>
      <c r="C112" s="76">
        <v>2.5</v>
      </c>
      <c r="D112" s="82"/>
      <c r="E112" s="82"/>
      <c r="F112" s="82">
        <f>40000*C112</f>
        <v>100000</v>
      </c>
      <c r="G112" s="82">
        <f>100000*C112</f>
        <v>250000</v>
      </c>
      <c r="H112" s="82">
        <f>200000*C112</f>
        <v>500000</v>
      </c>
      <c r="I112" s="84">
        <f>+H112</f>
        <v>500000</v>
      </c>
    </row>
    <row r="113" spans="1:12" x14ac:dyDescent="0.2">
      <c r="A113" s="43" t="s">
        <v>5</v>
      </c>
      <c r="B113" s="44"/>
      <c r="C113" s="44"/>
      <c r="D113" s="24">
        <f>SUM(D111:D112)</f>
        <v>27500</v>
      </c>
      <c r="E113" s="24">
        <f t="shared" ref="E113:I113" si="25">SUM(E111:E112)</f>
        <v>82500</v>
      </c>
      <c r="F113" s="24">
        <f t="shared" si="25"/>
        <v>375000</v>
      </c>
      <c r="G113" s="24">
        <f t="shared" si="25"/>
        <v>937500</v>
      </c>
      <c r="H113" s="24">
        <f t="shared" si="25"/>
        <v>1600000</v>
      </c>
      <c r="I113" s="31">
        <f t="shared" si="25"/>
        <v>1600000</v>
      </c>
    </row>
    <row r="114" spans="1:12" x14ac:dyDescent="0.2">
      <c r="A114" s="43"/>
      <c r="B114" s="44"/>
      <c r="C114" s="44"/>
      <c r="D114" s="24"/>
      <c r="E114" s="24"/>
      <c r="F114" s="24"/>
      <c r="G114" s="24"/>
      <c r="H114" s="24"/>
      <c r="I114" s="27"/>
    </row>
    <row r="115" spans="1:12" s="38" customFormat="1" x14ac:dyDescent="0.2">
      <c r="A115" s="43" t="s">
        <v>64</v>
      </c>
      <c r="B115" s="44"/>
      <c r="C115" s="44"/>
      <c r="D115" s="24">
        <f>+D62</f>
        <v>-878520</v>
      </c>
      <c r="E115" s="24">
        <f t="shared" ref="E115:I115" si="26">+E62</f>
        <v>-407600</v>
      </c>
      <c r="F115" s="24">
        <f t="shared" si="26"/>
        <v>-367400</v>
      </c>
      <c r="G115" s="24">
        <f t="shared" si="26"/>
        <v>-331400</v>
      </c>
      <c r="H115" s="24">
        <f t="shared" si="26"/>
        <v>-331400</v>
      </c>
      <c r="I115" s="31">
        <f t="shared" si="26"/>
        <v>-331400</v>
      </c>
    </row>
    <row r="116" spans="1:12" s="38" customFormat="1" x14ac:dyDescent="0.2">
      <c r="A116" s="43" t="s">
        <v>66</v>
      </c>
      <c r="B116" s="44"/>
      <c r="C116" s="44"/>
      <c r="D116" s="83">
        <f>-Kosten!B13</f>
        <v>0</v>
      </c>
      <c r="E116" s="83">
        <f>-Kosten!C13</f>
        <v>-138000</v>
      </c>
      <c r="F116" s="83">
        <f>-Kosten!D13</f>
        <v>0</v>
      </c>
      <c r="G116" s="83">
        <f>-Kosten!E13</f>
        <v>0</v>
      </c>
      <c r="H116" s="83">
        <f>-Kosten!F13</f>
        <v>0</v>
      </c>
      <c r="I116" s="85">
        <f>-Kosten!G13</f>
        <v>0</v>
      </c>
    </row>
    <row r="117" spans="1:12" x14ac:dyDescent="0.2">
      <c r="A117" s="77" t="s">
        <v>67</v>
      </c>
      <c r="B117" s="76"/>
      <c r="C117" s="76"/>
      <c r="D117" s="74">
        <f>SUM(D115:D116)</f>
        <v>-878520</v>
      </c>
      <c r="E117" s="74">
        <f t="shared" ref="E117:I117" si="27">SUM(E115:E116)</f>
        <v>-545600</v>
      </c>
      <c r="F117" s="74">
        <f t="shared" si="27"/>
        <v>-367400</v>
      </c>
      <c r="G117" s="74">
        <f t="shared" si="27"/>
        <v>-331400</v>
      </c>
      <c r="H117" s="74">
        <f t="shared" si="27"/>
        <v>-331400</v>
      </c>
      <c r="I117" s="27">
        <f t="shared" si="27"/>
        <v>-331400</v>
      </c>
    </row>
    <row r="118" spans="1:12" x14ac:dyDescent="0.2">
      <c r="A118" s="47" t="s">
        <v>17</v>
      </c>
      <c r="B118" s="44"/>
      <c r="C118" s="44"/>
      <c r="D118" s="48">
        <f>D117/D11*-1</f>
        <v>175.70400000000001</v>
      </c>
      <c r="E118" s="48">
        <f t="shared" ref="E118:I118" si="28">E117/E11*-1</f>
        <v>36.373333333333335</v>
      </c>
      <c r="F118" s="48">
        <f t="shared" si="28"/>
        <v>7.3479999999999999</v>
      </c>
      <c r="G118" s="48">
        <f t="shared" si="28"/>
        <v>2.6511999999999998</v>
      </c>
      <c r="H118" s="48">
        <f t="shared" si="28"/>
        <v>1.657</v>
      </c>
      <c r="I118" s="78">
        <f t="shared" si="28"/>
        <v>1.657</v>
      </c>
    </row>
    <row r="119" spans="1:12" x14ac:dyDescent="0.2">
      <c r="A119" s="47"/>
      <c r="B119" s="44"/>
      <c r="C119" s="44"/>
      <c r="D119" s="48"/>
      <c r="E119" s="48"/>
      <c r="F119" s="48"/>
      <c r="G119" s="48"/>
      <c r="H119" s="48"/>
      <c r="I119" s="27"/>
    </row>
    <row r="120" spans="1:12" x14ac:dyDescent="0.2">
      <c r="A120" s="43" t="s">
        <v>7</v>
      </c>
      <c r="B120" s="44"/>
      <c r="C120" s="44"/>
      <c r="D120" s="24">
        <f>+D113+D117</f>
        <v>-851020</v>
      </c>
      <c r="E120" s="24">
        <f t="shared" ref="E120:I120" si="29">+E113+E117</f>
        <v>-463100</v>
      </c>
      <c r="F120" s="24">
        <f t="shared" si="29"/>
        <v>7600</v>
      </c>
      <c r="G120" s="24">
        <f t="shared" si="29"/>
        <v>606100</v>
      </c>
      <c r="H120" s="24">
        <f t="shared" si="29"/>
        <v>1268600</v>
      </c>
      <c r="I120" s="31">
        <f t="shared" si="29"/>
        <v>1268600</v>
      </c>
    </row>
    <row r="121" spans="1:12" x14ac:dyDescent="0.2">
      <c r="A121" s="69" t="s">
        <v>19</v>
      </c>
      <c r="B121" s="70"/>
      <c r="C121" s="71">
        <v>0.2</v>
      </c>
      <c r="D121" s="72"/>
      <c r="E121" s="72"/>
      <c r="F121" s="72"/>
      <c r="G121" s="72">
        <f>G131</f>
        <v>0</v>
      </c>
      <c r="H121" s="72">
        <f>-H131</f>
        <v>-113636</v>
      </c>
      <c r="I121" s="73">
        <f>-I120*$C121</f>
        <v>-253720</v>
      </c>
    </row>
    <row r="122" spans="1:12" x14ac:dyDescent="0.2">
      <c r="A122" s="50" t="s">
        <v>20</v>
      </c>
      <c r="B122" s="51"/>
      <c r="C122" s="51"/>
      <c r="D122" s="52">
        <f>D120+D121</f>
        <v>-851020</v>
      </c>
      <c r="E122" s="52">
        <f t="shared" ref="E122:H122" si="30">E120+E121</f>
        <v>-463100</v>
      </c>
      <c r="F122" s="52">
        <f t="shared" si="30"/>
        <v>7600</v>
      </c>
      <c r="G122" s="52">
        <f t="shared" si="30"/>
        <v>606100</v>
      </c>
      <c r="H122" s="52">
        <f t="shared" si="30"/>
        <v>1154964</v>
      </c>
      <c r="I122" s="53">
        <f>I120+I121</f>
        <v>1014880</v>
      </c>
    </row>
    <row r="123" spans="1:12" s="38" customFormat="1" x14ac:dyDescent="0.2">
      <c r="A123" s="50" t="s">
        <v>115</v>
      </c>
      <c r="B123" s="51"/>
      <c r="C123" s="51"/>
      <c r="D123" s="52"/>
      <c r="E123" s="52"/>
      <c r="F123" s="52"/>
      <c r="G123" s="52"/>
      <c r="H123" s="52"/>
      <c r="I123" s="101">
        <f>+D120+E120+0.25*E120</f>
        <v>-1429895</v>
      </c>
    </row>
    <row r="124" spans="1:12" x14ac:dyDescent="0.2">
      <c r="A124" s="43"/>
      <c r="B124" s="44"/>
      <c r="C124" s="44"/>
      <c r="D124" s="24"/>
      <c r="E124" s="24"/>
      <c r="F124" s="24"/>
      <c r="G124" s="24"/>
      <c r="H124" s="24"/>
      <c r="I124" s="27">
        <f t="shared" ref="I124" si="31">H124</f>
        <v>0</v>
      </c>
    </row>
    <row r="125" spans="1:12" x14ac:dyDescent="0.2">
      <c r="A125" s="43"/>
      <c r="B125" s="44"/>
      <c r="C125" s="44"/>
      <c r="D125" s="32">
        <v>2020</v>
      </c>
      <c r="E125" s="32">
        <v>2021</v>
      </c>
      <c r="F125" s="32">
        <v>2022</v>
      </c>
      <c r="G125" s="32">
        <v>2023</v>
      </c>
      <c r="H125" s="32">
        <v>2024</v>
      </c>
      <c r="I125" s="27"/>
    </row>
    <row r="126" spans="1:12" x14ac:dyDescent="0.2">
      <c r="A126" s="43" t="s">
        <v>0</v>
      </c>
      <c r="B126" s="44"/>
      <c r="C126" s="44"/>
      <c r="D126" s="24">
        <f>D110</f>
        <v>1</v>
      </c>
      <c r="E126" s="24">
        <f>E110</f>
        <v>2</v>
      </c>
      <c r="F126" s="24">
        <f>F110</f>
        <v>3</v>
      </c>
      <c r="G126" s="24">
        <f>G110</f>
        <v>4</v>
      </c>
      <c r="H126" s="24">
        <f>H110</f>
        <v>5</v>
      </c>
      <c r="I126" s="27">
        <f t="shared" ref="I126" si="32">H126</f>
        <v>5</v>
      </c>
      <c r="L126" t="s">
        <v>117</v>
      </c>
    </row>
    <row r="127" spans="1:12" x14ac:dyDescent="0.2">
      <c r="A127" s="43" t="s">
        <v>1</v>
      </c>
      <c r="B127" s="44"/>
      <c r="C127" s="44"/>
      <c r="D127" s="24">
        <f>D122/$C$25^D126</f>
        <v>-753115.04424778768</v>
      </c>
      <c r="E127" s="24">
        <f>E122/$C$25^E126</f>
        <v>-362675.22907040495</v>
      </c>
      <c r="F127" s="24">
        <f>F122/$C$25^F126</f>
        <v>5267.1812333104881</v>
      </c>
      <c r="G127" s="24">
        <f>G122/$C$25^G126</f>
        <v>371732.48084647028</v>
      </c>
      <c r="H127" s="24">
        <f>H122/$C$25^H126</f>
        <v>626868.18672166718</v>
      </c>
      <c r="I127" s="27">
        <f>(I122/(C25-1))/$C$25^I126</f>
        <v>4237201.5680547757</v>
      </c>
    </row>
    <row r="128" spans="1:12" x14ac:dyDescent="0.2">
      <c r="A128" s="43"/>
      <c r="B128" s="44"/>
      <c r="C128" s="44"/>
      <c r="D128" s="24"/>
      <c r="E128" s="24"/>
      <c r="F128" s="24"/>
      <c r="G128" s="24"/>
      <c r="H128" s="24"/>
      <c r="I128" s="31"/>
    </row>
    <row r="129" spans="1:9" ht="15" x14ac:dyDescent="0.25">
      <c r="A129" s="34" t="s">
        <v>10</v>
      </c>
      <c r="B129" s="35"/>
      <c r="C129" s="35"/>
      <c r="D129" s="36">
        <f>SUM(D127:I127)</f>
        <v>4125279.1435380308</v>
      </c>
      <c r="E129" s="36"/>
      <c r="F129" s="36"/>
      <c r="G129" s="36"/>
      <c r="H129" s="36"/>
      <c r="I129" s="79"/>
    </row>
    <row r="130" spans="1:9" x14ac:dyDescent="0.2">
      <c r="A130" s="38"/>
      <c r="B130" s="38" t="s">
        <v>21</v>
      </c>
      <c r="C130" s="40"/>
      <c r="D130" s="39">
        <f>D120</f>
        <v>-851020</v>
      </c>
      <c r="E130" s="39">
        <f>E120+D130</f>
        <v>-1314120</v>
      </c>
      <c r="F130" s="39">
        <f>F120+E130</f>
        <v>-1306520</v>
      </c>
      <c r="G130" s="39">
        <f>G120+F130</f>
        <v>-700420</v>
      </c>
      <c r="H130" s="39">
        <f>H120+G130</f>
        <v>568180</v>
      </c>
      <c r="I130" s="38"/>
    </row>
    <row r="131" spans="1:9" x14ac:dyDescent="0.2">
      <c r="A131" s="38"/>
      <c r="B131" s="38" t="s">
        <v>22</v>
      </c>
      <c r="C131" s="40"/>
      <c r="D131" s="39"/>
      <c r="E131" s="38"/>
      <c r="F131" s="38"/>
      <c r="G131" s="39"/>
      <c r="H131" s="38">
        <f>+H130*C121</f>
        <v>113636</v>
      </c>
      <c r="I131" s="38"/>
    </row>
  </sheetData>
  <pageMargins left="0.7" right="0.7" top="0.78740157499999996" bottom="0.78740157499999996" header="0.3" footer="0.3"/>
  <pageSetup paperSize="9" orientation="landscape" r:id="rId1"/>
  <headerFooter>
    <oddHeader>&amp;C&amp;G</oddHead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9E10-D929-4125-9486-858B22D61650}">
  <dimension ref="A1:T76"/>
  <sheetViews>
    <sheetView topLeftCell="A37" zoomScale="90" zoomScaleNormal="90" workbookViewId="0">
      <selection activeCell="A56" sqref="A56:I76"/>
    </sheetView>
  </sheetViews>
  <sheetFormatPr defaultColWidth="11" defaultRowHeight="14.25" x14ac:dyDescent="0.2"/>
  <cols>
    <col min="1" max="1" width="9.625" customWidth="1"/>
    <col min="2" max="2" width="25.625" customWidth="1"/>
    <col min="3" max="3" width="5.125" customWidth="1"/>
    <col min="4" max="4" width="11.625" customWidth="1"/>
    <col min="5" max="5" width="12.625" customWidth="1"/>
    <col min="14" max="14" width="3.625" customWidth="1"/>
  </cols>
  <sheetData>
    <row r="1" spans="1:20" ht="15.75" x14ac:dyDescent="0.2">
      <c r="A1" s="46" t="s">
        <v>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">
      <c r="A3" s="10"/>
      <c r="B3" s="10"/>
      <c r="C3" s="4"/>
      <c r="D3" s="10"/>
      <c r="E3" s="10"/>
      <c r="F3" s="4"/>
      <c r="G3" s="10"/>
      <c r="H3" s="10"/>
      <c r="I3" s="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15" x14ac:dyDescent="0.25">
      <c r="A4" s="14"/>
      <c r="B4" s="22" t="s">
        <v>13</v>
      </c>
      <c r="C4" s="87" t="s">
        <v>99</v>
      </c>
      <c r="D4" s="66" t="s">
        <v>49</v>
      </c>
      <c r="E4" s="65"/>
      <c r="F4" s="65"/>
      <c r="G4" s="65"/>
      <c r="H4" s="15"/>
      <c r="I4" s="23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">
      <c r="A5" s="16"/>
      <c r="B5" s="17"/>
      <c r="C5" s="17"/>
      <c r="D5" s="17"/>
      <c r="E5" s="17"/>
      <c r="F5" s="17"/>
      <c r="G5" s="17"/>
      <c r="H5" s="17"/>
      <c r="I5" s="1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x14ac:dyDescent="0.2">
      <c r="A6" s="16" t="s">
        <v>11</v>
      </c>
      <c r="B6" s="17"/>
      <c r="C6" s="17"/>
      <c r="D6" s="74">
        <v>5000</v>
      </c>
      <c r="E6" s="74">
        <v>15000</v>
      </c>
      <c r="F6" s="74">
        <v>50000</v>
      </c>
      <c r="G6" s="74">
        <v>150000</v>
      </c>
      <c r="H6" s="74">
        <v>250000</v>
      </c>
      <c r="I6" s="75" t="s">
        <v>15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x14ac:dyDescent="0.2">
      <c r="A7" s="16" t="s">
        <v>12</v>
      </c>
      <c r="B7" s="17"/>
      <c r="C7" s="17"/>
      <c r="D7" s="74">
        <f>+D6</f>
        <v>5000</v>
      </c>
      <c r="E7" s="74">
        <f>+E6-D6</f>
        <v>10000</v>
      </c>
      <c r="F7" s="74">
        <f>+F6-E6</f>
        <v>35000</v>
      </c>
      <c r="G7" s="74">
        <f>+G6-F6</f>
        <v>100000</v>
      </c>
      <c r="H7" s="74">
        <f>+H6-G6</f>
        <v>100000</v>
      </c>
      <c r="I7" s="75" t="s">
        <v>16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">
      <c r="A8" s="16"/>
      <c r="B8" s="17"/>
      <c r="C8" s="17"/>
      <c r="D8" s="76"/>
      <c r="E8" s="76"/>
      <c r="F8" s="76"/>
      <c r="G8" s="76"/>
      <c r="H8" s="76"/>
      <c r="I8" s="7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">
      <c r="A9" s="16"/>
      <c r="B9" s="17"/>
      <c r="C9" s="17"/>
      <c r="D9" s="76" t="s">
        <v>3</v>
      </c>
      <c r="E9" s="76"/>
      <c r="F9" s="76"/>
      <c r="G9" s="76"/>
      <c r="H9" s="76"/>
      <c r="I9" s="7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">
      <c r="A10" s="16"/>
      <c r="B10" s="17"/>
      <c r="C10" s="17"/>
      <c r="D10" s="76">
        <v>1</v>
      </c>
      <c r="E10" s="76">
        <v>2</v>
      </c>
      <c r="F10" s="76">
        <v>3</v>
      </c>
      <c r="G10" s="76">
        <v>4</v>
      </c>
      <c r="H10" s="76">
        <v>5</v>
      </c>
      <c r="I10" s="25" t="s">
        <v>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x14ac:dyDescent="0.2">
      <c r="A11" s="16" t="s">
        <v>2</v>
      </c>
      <c r="B11" s="17"/>
      <c r="C11" s="17"/>
      <c r="D11" s="74">
        <f>+D6</f>
        <v>5000</v>
      </c>
      <c r="E11" s="74">
        <f>+E6</f>
        <v>15000</v>
      </c>
      <c r="F11" s="74">
        <f>+F6</f>
        <v>50000</v>
      </c>
      <c r="G11" s="74">
        <f>+G6</f>
        <v>150000</v>
      </c>
      <c r="H11" s="74">
        <f>+H6</f>
        <v>250000</v>
      </c>
      <c r="I11" s="27">
        <f>H11</f>
        <v>250000</v>
      </c>
      <c r="J11" s="12"/>
      <c r="K11" s="12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">
      <c r="A12" s="16" t="s">
        <v>4</v>
      </c>
      <c r="B12" s="17"/>
      <c r="C12" s="26">
        <v>5.5</v>
      </c>
      <c r="D12" s="74"/>
      <c r="E12" s="74"/>
      <c r="F12" s="74"/>
      <c r="G12" s="74"/>
      <c r="H12" s="74"/>
      <c r="I12" s="27">
        <f t="shared" ref="I12:I24" si="0">H12</f>
        <v>0</v>
      </c>
      <c r="J12" s="12"/>
      <c r="K12" s="12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">
      <c r="A13" s="16" t="s">
        <v>5</v>
      </c>
      <c r="B13" s="17"/>
      <c r="C13" s="17"/>
      <c r="D13" s="74">
        <f>D11*$C$12</f>
        <v>27500</v>
      </c>
      <c r="E13" s="74">
        <f t="shared" ref="E13:H13" si="1">E11*$C$12</f>
        <v>82500</v>
      </c>
      <c r="F13" s="74">
        <f t="shared" si="1"/>
        <v>275000</v>
      </c>
      <c r="G13" s="74">
        <f t="shared" si="1"/>
        <v>825000</v>
      </c>
      <c r="H13" s="74">
        <f t="shared" si="1"/>
        <v>1375000</v>
      </c>
      <c r="I13" s="27">
        <f t="shared" si="0"/>
        <v>1375000</v>
      </c>
      <c r="J13" s="12"/>
      <c r="K13" s="12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">
      <c r="A14" s="16"/>
      <c r="B14" s="17"/>
      <c r="C14" s="17"/>
      <c r="D14" s="24"/>
      <c r="E14" s="24"/>
      <c r="F14" s="24"/>
      <c r="G14" s="24"/>
      <c r="H14" s="24"/>
      <c r="I14" s="27"/>
      <c r="J14" s="12"/>
      <c r="K14" s="12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">
      <c r="A15" s="28" t="s">
        <v>6</v>
      </c>
      <c r="B15" s="29"/>
      <c r="C15" s="29"/>
      <c r="D15" s="30">
        <f>-Kosten!B6</f>
        <v>-994400</v>
      </c>
      <c r="E15" s="30">
        <f>-Kosten!C6</f>
        <v>-407600</v>
      </c>
      <c r="F15" s="30">
        <f>-Kosten!D6</f>
        <v>-367400</v>
      </c>
      <c r="G15" s="30">
        <f>-Kosten!E6</f>
        <v>-331400</v>
      </c>
      <c r="H15" s="30">
        <f>-Kosten!F6</f>
        <v>-331400</v>
      </c>
      <c r="I15" s="30">
        <f>-Kosten!G6</f>
        <v>-331400</v>
      </c>
      <c r="J15" s="12"/>
      <c r="K15" s="12"/>
      <c r="L15" s="10"/>
      <c r="M15" s="10"/>
      <c r="N15" s="10"/>
      <c r="O15" s="10"/>
      <c r="P15" s="10"/>
      <c r="Q15" s="10"/>
      <c r="R15" s="10"/>
      <c r="S15" s="10"/>
      <c r="T15" s="10"/>
    </row>
    <row r="16" spans="1:20" x14ac:dyDescent="0.2">
      <c r="A16" s="47" t="s">
        <v>17</v>
      </c>
      <c r="B16" s="17"/>
      <c r="C16" s="17"/>
      <c r="D16" s="48">
        <f>D15/D6*-1</f>
        <v>198.88</v>
      </c>
      <c r="E16" s="48">
        <f t="shared" ref="E16:H16" si="2">E15/E6*-1</f>
        <v>27.173333333333332</v>
      </c>
      <c r="F16" s="48">
        <f t="shared" si="2"/>
        <v>7.3479999999999999</v>
      </c>
      <c r="G16" s="48">
        <f t="shared" si="2"/>
        <v>2.2093333333333334</v>
      </c>
      <c r="H16" s="48">
        <f t="shared" si="2"/>
        <v>1.3255999999999999</v>
      </c>
      <c r="I16" s="49">
        <f>+H16</f>
        <v>1.3255999999999999</v>
      </c>
      <c r="J16" s="12"/>
      <c r="K16" s="12"/>
      <c r="L16" s="10"/>
      <c r="M16" s="10"/>
      <c r="N16" s="10"/>
      <c r="O16" s="10"/>
      <c r="P16" s="10"/>
      <c r="Q16" s="10"/>
      <c r="R16" s="10"/>
      <c r="S16" s="10"/>
      <c r="T16" s="10"/>
    </row>
    <row r="17" spans="1:20" s="38" customFormat="1" x14ac:dyDescent="0.2">
      <c r="A17" s="47"/>
      <c r="B17" s="44"/>
      <c r="C17" s="44"/>
      <c r="D17" s="48"/>
      <c r="E17" s="48"/>
      <c r="F17" s="48"/>
      <c r="G17" s="48"/>
      <c r="H17" s="48"/>
      <c r="I17" s="27"/>
      <c r="J17" s="39"/>
      <c r="K17" s="39"/>
    </row>
    <row r="18" spans="1:20" x14ac:dyDescent="0.2">
      <c r="A18" s="16" t="s">
        <v>7</v>
      </c>
      <c r="B18" s="17"/>
      <c r="C18" s="17"/>
      <c r="D18" s="24">
        <f t="shared" ref="D18:I18" si="3">+D13+D15</f>
        <v>-966900</v>
      </c>
      <c r="E18" s="24">
        <f t="shared" si="3"/>
        <v>-325100</v>
      </c>
      <c r="F18" s="24">
        <f t="shared" si="3"/>
        <v>-92400</v>
      </c>
      <c r="G18" s="24">
        <f t="shared" si="3"/>
        <v>493600</v>
      </c>
      <c r="H18" s="24">
        <f t="shared" si="3"/>
        <v>1043600</v>
      </c>
      <c r="I18" s="31">
        <f t="shared" si="3"/>
        <v>1043600</v>
      </c>
      <c r="J18" s="12"/>
      <c r="K18" s="12"/>
      <c r="L18" s="10"/>
      <c r="M18" s="10"/>
      <c r="N18" s="10"/>
      <c r="O18" s="10"/>
      <c r="P18" s="10"/>
      <c r="Q18" s="10"/>
      <c r="R18" s="10"/>
      <c r="S18" s="10"/>
      <c r="T18" s="10"/>
    </row>
    <row r="19" spans="1:20" s="38" customFormat="1" x14ac:dyDescent="0.2">
      <c r="A19" s="69" t="s">
        <v>19</v>
      </c>
      <c r="B19" s="70"/>
      <c r="C19" s="71">
        <v>0.2</v>
      </c>
      <c r="D19" s="72"/>
      <c r="E19" s="72"/>
      <c r="F19" s="72"/>
      <c r="G19" s="72">
        <f>G30</f>
        <v>0</v>
      </c>
      <c r="H19" s="72">
        <f>+H30</f>
        <v>-30560</v>
      </c>
      <c r="I19" s="73">
        <f>-I18*$C19</f>
        <v>-208720</v>
      </c>
      <c r="J19" s="39"/>
      <c r="K19" s="39"/>
    </row>
    <row r="20" spans="1:20" s="38" customFormat="1" x14ac:dyDescent="0.2">
      <c r="A20" s="50" t="s">
        <v>20</v>
      </c>
      <c r="B20" s="51"/>
      <c r="C20" s="51"/>
      <c r="D20" s="52">
        <f>D18+D19</f>
        <v>-966900</v>
      </c>
      <c r="E20" s="52">
        <f t="shared" ref="E20:H20" si="4">E18+E19</f>
        <v>-325100</v>
      </c>
      <c r="F20" s="52">
        <f t="shared" si="4"/>
        <v>-92400</v>
      </c>
      <c r="G20" s="52">
        <f t="shared" si="4"/>
        <v>493600</v>
      </c>
      <c r="H20" s="52">
        <f t="shared" si="4"/>
        <v>1013040</v>
      </c>
      <c r="I20" s="53">
        <f>I18+I19</f>
        <v>834880</v>
      </c>
      <c r="J20" s="39"/>
      <c r="K20" s="39"/>
    </row>
    <row r="21" spans="1:20" s="38" customFormat="1" x14ac:dyDescent="0.2">
      <c r="A21" s="50" t="s">
        <v>115</v>
      </c>
      <c r="B21" s="51"/>
      <c r="C21" s="51"/>
      <c r="D21" s="52"/>
      <c r="E21" s="52"/>
      <c r="F21" s="52"/>
      <c r="G21" s="52"/>
      <c r="H21" s="52"/>
      <c r="I21" s="101">
        <f>+D18+E18+F18+0.25*F18</f>
        <v>-1407500</v>
      </c>
      <c r="J21" s="39"/>
      <c r="K21" s="39"/>
    </row>
    <row r="22" spans="1:20" x14ac:dyDescent="0.2">
      <c r="A22" s="16"/>
      <c r="B22" s="17"/>
      <c r="C22" s="17"/>
      <c r="D22" s="24"/>
      <c r="E22" s="24"/>
      <c r="F22" s="24"/>
      <c r="G22" s="24"/>
      <c r="H22" s="24"/>
      <c r="I22" s="27">
        <f t="shared" si="0"/>
        <v>0</v>
      </c>
      <c r="J22" s="12"/>
      <c r="K22" s="12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">
      <c r="A23" s="16"/>
      <c r="B23" s="17"/>
      <c r="C23" s="17"/>
      <c r="D23" s="32">
        <v>2020</v>
      </c>
      <c r="E23" s="32">
        <v>2021</v>
      </c>
      <c r="F23" s="32">
        <v>2022</v>
      </c>
      <c r="G23" s="32">
        <v>2023</v>
      </c>
      <c r="H23" s="32">
        <v>2024</v>
      </c>
      <c r="I23" s="27"/>
      <c r="J23" s="12"/>
      <c r="K23" s="12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">
      <c r="A24" s="16" t="s">
        <v>0</v>
      </c>
      <c r="B24" s="17"/>
      <c r="C24" s="17"/>
      <c r="D24" s="24">
        <f>D10</f>
        <v>1</v>
      </c>
      <c r="E24" s="24">
        <f>E10</f>
        <v>2</v>
      </c>
      <c r="F24" s="24">
        <f>F10</f>
        <v>3</v>
      </c>
      <c r="G24" s="24">
        <f>G10</f>
        <v>4</v>
      </c>
      <c r="H24" s="24">
        <f>H10</f>
        <v>5</v>
      </c>
      <c r="I24" s="27">
        <f t="shared" si="0"/>
        <v>5</v>
      </c>
      <c r="J24" s="12"/>
      <c r="K24" s="12"/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2">
      <c r="A25" s="16" t="s">
        <v>8</v>
      </c>
      <c r="B25" s="17"/>
      <c r="C25" s="33">
        <v>1.1299999999999999</v>
      </c>
      <c r="D25" s="24"/>
      <c r="E25" s="24"/>
      <c r="F25" s="24"/>
      <c r="G25" s="24"/>
      <c r="H25" s="24"/>
      <c r="I25" s="27"/>
      <c r="J25" s="12"/>
      <c r="K25" s="12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">
      <c r="A26" s="16" t="s">
        <v>1</v>
      </c>
      <c r="B26" s="17"/>
      <c r="C26" s="17"/>
      <c r="D26" s="24">
        <f>D20/$C$25^D24</f>
        <v>-855663.71681415942</v>
      </c>
      <c r="E26" s="24">
        <f>E20/$C$25^E24</f>
        <v>-254600.98676482111</v>
      </c>
      <c r="F26" s="24">
        <f>F20/$C$25^F24</f>
        <v>-64037.834994459088</v>
      </c>
      <c r="G26" s="24">
        <f>G20/$C$25^G24</f>
        <v>302734.12398254039</v>
      </c>
      <c r="H26" s="24">
        <f>H20/$C$25^H24</f>
        <v>549837.52556488139</v>
      </c>
      <c r="I26" s="27">
        <f>(I20/(C25-1))/$C$25^I24</f>
        <v>3485687.8105170773</v>
      </c>
      <c r="J26" s="12"/>
      <c r="K26" s="12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">
      <c r="A27" s="16"/>
      <c r="B27" s="17"/>
      <c r="C27" s="17"/>
      <c r="D27" s="24"/>
      <c r="E27" s="24"/>
      <c r="F27" s="24"/>
      <c r="G27" s="24"/>
      <c r="H27" s="24"/>
      <c r="I27" s="31"/>
      <c r="J27" s="12"/>
      <c r="K27" s="12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" x14ac:dyDescent="0.25">
      <c r="A28" s="34" t="s">
        <v>10</v>
      </c>
      <c r="B28" s="35"/>
      <c r="C28" s="35"/>
      <c r="D28" s="36">
        <f>SUM(D26:I26)</f>
        <v>3163956.9214910595</v>
      </c>
      <c r="E28" s="36"/>
      <c r="F28" s="36"/>
      <c r="G28" s="36"/>
      <c r="H28" s="36"/>
      <c r="I28" s="37"/>
      <c r="J28" s="13"/>
      <c r="K28" s="13"/>
      <c r="L28" s="11"/>
      <c r="M28" s="11"/>
      <c r="N28" s="11"/>
      <c r="O28" s="11"/>
      <c r="P28" s="11"/>
      <c r="Q28" s="10"/>
      <c r="R28" s="10"/>
      <c r="S28" s="10"/>
      <c r="T28" s="10"/>
    </row>
    <row r="29" spans="1:20" x14ac:dyDescent="0.2">
      <c r="A29" s="10"/>
      <c r="B29" s="38" t="s">
        <v>21</v>
      </c>
      <c r="C29" s="40"/>
      <c r="D29" s="39">
        <f>D18</f>
        <v>-966900</v>
      </c>
      <c r="E29" s="39">
        <f>E18+D29</f>
        <v>-1292000</v>
      </c>
      <c r="F29" s="39">
        <f>F18+E29</f>
        <v>-1384400</v>
      </c>
      <c r="G29" s="39">
        <f>G18+F29</f>
        <v>-890800</v>
      </c>
      <c r="H29" s="39">
        <f>H18+G29</f>
        <v>152800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">
      <c r="B30" s="38" t="s">
        <v>22</v>
      </c>
      <c r="C30" s="40"/>
      <c r="D30" s="39"/>
      <c r="E30" s="38"/>
      <c r="F30" s="38"/>
      <c r="G30" s="39"/>
      <c r="H30" s="39">
        <f>+H29*C19*-1</f>
        <v>-30560</v>
      </c>
    </row>
    <row r="33" spans="1:9" ht="15" x14ac:dyDescent="0.25">
      <c r="A33" s="41"/>
      <c r="B33" s="22" t="s">
        <v>13</v>
      </c>
      <c r="C33" s="87" t="s">
        <v>100</v>
      </c>
      <c r="D33" s="66" t="s">
        <v>50</v>
      </c>
      <c r="E33" s="65"/>
      <c r="F33" s="65"/>
      <c r="G33" s="65"/>
      <c r="H33" s="42"/>
      <c r="I33" s="23"/>
    </row>
    <row r="34" spans="1:9" x14ac:dyDescent="0.2">
      <c r="A34" s="43"/>
      <c r="B34" s="44"/>
      <c r="C34" s="44"/>
      <c r="D34" s="44"/>
      <c r="E34" s="44"/>
      <c r="F34" s="44"/>
      <c r="G34" s="44"/>
      <c r="H34" s="44"/>
      <c r="I34" s="45"/>
    </row>
    <row r="35" spans="1:9" x14ac:dyDescent="0.2">
      <c r="A35" s="43"/>
      <c r="B35" s="44"/>
      <c r="C35" s="44"/>
      <c r="D35" s="44" t="s">
        <v>3</v>
      </c>
      <c r="E35" s="44"/>
      <c r="F35" s="44"/>
      <c r="G35" s="44"/>
      <c r="H35" s="44"/>
      <c r="I35" s="45"/>
    </row>
    <row r="36" spans="1:9" x14ac:dyDescent="0.2">
      <c r="A36" s="77"/>
      <c r="B36" s="76"/>
      <c r="C36" s="76"/>
      <c r="D36" s="76">
        <v>1</v>
      </c>
      <c r="E36" s="76">
        <v>2</v>
      </c>
      <c r="F36" s="76">
        <v>3</v>
      </c>
      <c r="G36" s="76">
        <v>4</v>
      </c>
      <c r="H36" s="76">
        <v>5</v>
      </c>
      <c r="I36" s="25" t="s">
        <v>9</v>
      </c>
    </row>
    <row r="37" spans="1:9" x14ac:dyDescent="0.2">
      <c r="A37" s="43" t="s">
        <v>5</v>
      </c>
      <c r="B37" s="44"/>
      <c r="C37" s="44"/>
      <c r="D37" s="24">
        <f>+D13</f>
        <v>27500</v>
      </c>
      <c r="E37" s="24">
        <f t="shared" ref="E37:I37" si="5">+E13</f>
        <v>82500</v>
      </c>
      <c r="F37" s="24">
        <f t="shared" si="5"/>
        <v>275000</v>
      </c>
      <c r="G37" s="24">
        <f t="shared" si="5"/>
        <v>825000</v>
      </c>
      <c r="H37" s="24">
        <f>+H13</f>
        <v>1375000</v>
      </c>
      <c r="I37" s="24">
        <f t="shared" si="5"/>
        <v>1375000</v>
      </c>
    </row>
    <row r="38" spans="1:9" x14ac:dyDescent="0.2">
      <c r="A38" s="43"/>
      <c r="B38" s="44"/>
      <c r="C38" s="44"/>
      <c r="D38" s="24"/>
      <c r="E38" s="24"/>
      <c r="F38" s="24"/>
      <c r="G38" s="24"/>
      <c r="H38" s="24"/>
      <c r="I38" s="27"/>
    </row>
    <row r="39" spans="1:9" x14ac:dyDescent="0.2">
      <c r="A39" s="77" t="s">
        <v>6</v>
      </c>
      <c r="B39" s="76"/>
      <c r="C39" s="76"/>
      <c r="D39" s="74">
        <f>-Kosten!B9</f>
        <v>-989000</v>
      </c>
      <c r="E39" s="74">
        <f>-Kosten!C9</f>
        <v>-510600</v>
      </c>
      <c r="F39" s="74">
        <f>-Kosten!D9</f>
        <v>-500400</v>
      </c>
      <c r="G39" s="74">
        <f>-Kosten!E9</f>
        <v>-464400</v>
      </c>
      <c r="H39" s="74">
        <f>-Kosten!F9</f>
        <v>-464400</v>
      </c>
      <c r="I39" s="74">
        <f>-Kosten!G9</f>
        <v>-464400</v>
      </c>
    </row>
    <row r="40" spans="1:9" x14ac:dyDescent="0.2">
      <c r="A40" s="47" t="s">
        <v>17</v>
      </c>
      <c r="B40" s="44"/>
      <c r="C40" s="44"/>
      <c r="D40" s="48">
        <f>D39/D11*-1</f>
        <v>197.8</v>
      </c>
      <c r="E40" s="48">
        <f>E39/E11*-1</f>
        <v>34.04</v>
      </c>
      <c r="F40" s="48">
        <f>F39/F11*-1</f>
        <v>10.007999999999999</v>
      </c>
      <c r="G40" s="48">
        <f>G39/G11*-1</f>
        <v>3.0960000000000001</v>
      </c>
      <c r="H40" s="48">
        <f>H39/H11*-1</f>
        <v>1.8575999999999999</v>
      </c>
      <c r="I40" s="49">
        <f>+H40</f>
        <v>1.8575999999999999</v>
      </c>
    </row>
    <row r="41" spans="1:9" x14ac:dyDescent="0.2">
      <c r="A41" s="47"/>
      <c r="B41" s="44"/>
      <c r="C41" s="44"/>
      <c r="D41" s="48"/>
      <c r="E41" s="48"/>
      <c r="F41" s="48"/>
      <c r="G41" s="48"/>
      <c r="H41" s="48"/>
      <c r="I41" s="27"/>
    </row>
    <row r="42" spans="1:9" x14ac:dyDescent="0.2">
      <c r="A42" s="43" t="s">
        <v>7</v>
      </c>
      <c r="B42" s="44"/>
      <c r="C42" s="44"/>
      <c r="D42" s="24">
        <f t="shared" ref="D42:I42" si="6">+D37+D39</f>
        <v>-961500</v>
      </c>
      <c r="E42" s="24">
        <f t="shared" si="6"/>
        <v>-428100</v>
      </c>
      <c r="F42" s="24">
        <f t="shared" si="6"/>
        <v>-225400</v>
      </c>
      <c r="G42" s="24">
        <f t="shared" si="6"/>
        <v>360600</v>
      </c>
      <c r="H42" s="24">
        <f t="shared" si="6"/>
        <v>910600</v>
      </c>
      <c r="I42" s="31">
        <f t="shared" si="6"/>
        <v>910600</v>
      </c>
    </row>
    <row r="43" spans="1:9" x14ac:dyDescent="0.2">
      <c r="A43" s="69" t="s">
        <v>19</v>
      </c>
      <c r="B43" s="70"/>
      <c r="C43" s="71">
        <v>0.2</v>
      </c>
      <c r="D43" s="72"/>
      <c r="E43" s="72"/>
      <c r="F43" s="72"/>
      <c r="G43" s="72"/>
      <c r="H43" s="72"/>
      <c r="I43" s="73">
        <f>-I42*$C43</f>
        <v>-182120</v>
      </c>
    </row>
    <row r="44" spans="1:9" x14ac:dyDescent="0.2">
      <c r="A44" s="50" t="s">
        <v>20</v>
      </c>
      <c r="B44" s="51"/>
      <c r="C44" s="51"/>
      <c r="D44" s="52">
        <f>D42+D43</f>
        <v>-961500</v>
      </c>
      <c r="E44" s="52">
        <f t="shared" ref="E44:H44" si="7">E42+E43</f>
        <v>-428100</v>
      </c>
      <c r="F44" s="52">
        <f t="shared" si="7"/>
        <v>-225400</v>
      </c>
      <c r="G44" s="52">
        <f t="shared" si="7"/>
        <v>360600</v>
      </c>
      <c r="H44" s="52">
        <f t="shared" si="7"/>
        <v>910600</v>
      </c>
      <c r="I44" s="53">
        <f>I42+I43</f>
        <v>728480</v>
      </c>
    </row>
    <row r="45" spans="1:9" s="38" customFormat="1" x14ac:dyDescent="0.2">
      <c r="A45" s="50" t="s">
        <v>115</v>
      </c>
      <c r="B45" s="51"/>
      <c r="C45" s="51"/>
      <c r="D45" s="52"/>
      <c r="E45" s="52"/>
      <c r="F45" s="52"/>
      <c r="G45" s="52"/>
      <c r="H45" s="52"/>
      <c r="I45" s="101">
        <f>+D42+E42+F42+0.25*F42</f>
        <v>-1671350</v>
      </c>
    </row>
    <row r="46" spans="1:9" x14ac:dyDescent="0.2">
      <c r="A46" s="43"/>
      <c r="B46" s="44"/>
      <c r="C46" s="44"/>
      <c r="D46" s="24"/>
      <c r="E46" s="24"/>
      <c r="F46" s="24"/>
      <c r="G46" s="24"/>
      <c r="H46" s="24"/>
      <c r="I46" s="27">
        <f t="shared" ref="I46" si="8">H46</f>
        <v>0</v>
      </c>
    </row>
    <row r="47" spans="1:9" x14ac:dyDescent="0.2">
      <c r="A47" s="43"/>
      <c r="B47" s="44"/>
      <c r="C47" s="44"/>
      <c r="D47" s="32">
        <v>2020</v>
      </c>
      <c r="E47" s="32">
        <v>2021</v>
      </c>
      <c r="F47" s="32">
        <v>2022</v>
      </c>
      <c r="G47" s="32">
        <v>2023</v>
      </c>
      <c r="H47" s="32">
        <v>2024</v>
      </c>
      <c r="I47" s="27"/>
    </row>
    <row r="48" spans="1:9" x14ac:dyDescent="0.2">
      <c r="A48" s="43" t="s">
        <v>0</v>
      </c>
      <c r="B48" s="44"/>
      <c r="C48" s="44"/>
      <c r="D48" s="24">
        <f>D36</f>
        <v>1</v>
      </c>
      <c r="E48" s="24">
        <f>E36</f>
        <v>2</v>
      </c>
      <c r="F48" s="24">
        <f>F36</f>
        <v>3</v>
      </c>
      <c r="G48" s="24">
        <f>G36</f>
        <v>4</v>
      </c>
      <c r="H48" s="24">
        <f>H36</f>
        <v>5</v>
      </c>
      <c r="I48" s="27">
        <f t="shared" ref="I48" si="9">H48</f>
        <v>5</v>
      </c>
    </row>
    <row r="49" spans="1:9" x14ac:dyDescent="0.2">
      <c r="A49" s="43" t="s">
        <v>1</v>
      </c>
      <c r="B49" s="44"/>
      <c r="C49" s="44"/>
      <c r="D49" s="24">
        <f>D44/$C$25^D48</f>
        <v>-850884.95575221244</v>
      </c>
      <c r="E49" s="24">
        <f>E44/$C$25^E48</f>
        <v>-335265.09515232209</v>
      </c>
      <c r="F49" s="24">
        <f>F44/$C$25^F48</f>
        <v>-156213.50657739263</v>
      </c>
      <c r="G49" s="24">
        <f>G44/$C$25^G48</f>
        <v>221162.73320118329</v>
      </c>
      <c r="H49" s="24">
        <f>H44/$C$25^H48</f>
        <v>494237.19772109791</v>
      </c>
      <c r="I49" s="27">
        <f>(I44/(C25-1))/$C$25^I48</f>
        <v>3041459.6782836821</v>
      </c>
    </row>
    <row r="50" spans="1:9" x14ac:dyDescent="0.2">
      <c r="A50" s="43"/>
      <c r="B50" s="44"/>
      <c r="C50" s="44"/>
      <c r="D50" s="24"/>
      <c r="E50" s="24"/>
      <c r="F50" s="24"/>
      <c r="G50" s="24"/>
      <c r="H50" s="24"/>
      <c r="I50" s="31"/>
    </row>
    <row r="51" spans="1:9" ht="15" x14ac:dyDescent="0.25">
      <c r="A51" s="34" t="s">
        <v>10</v>
      </c>
      <c r="B51" s="35"/>
      <c r="C51" s="35"/>
      <c r="D51" s="36">
        <f>SUM(D49:I49)</f>
        <v>2414496.0517240362</v>
      </c>
      <c r="E51" s="36"/>
      <c r="F51" s="36"/>
      <c r="G51" s="36"/>
      <c r="H51" s="36"/>
      <c r="I51" s="79"/>
    </row>
    <row r="52" spans="1:9" ht="15" x14ac:dyDescent="0.25">
      <c r="A52" s="67"/>
      <c r="B52" s="38" t="s">
        <v>21</v>
      </c>
      <c r="C52" s="40"/>
      <c r="D52" s="39">
        <f>D42</f>
        <v>-961500</v>
      </c>
      <c r="E52" s="39">
        <f>E42+D52</f>
        <v>-1389600</v>
      </c>
      <c r="F52" s="39">
        <f>F42+E52</f>
        <v>-1615000</v>
      </c>
      <c r="G52" s="39">
        <f>G42+F52</f>
        <v>-1254400</v>
      </c>
      <c r="H52" s="39">
        <f>H42+G52</f>
        <v>-343800</v>
      </c>
      <c r="I52" s="68"/>
    </row>
    <row r="53" spans="1:9" ht="15" x14ac:dyDescent="0.25">
      <c r="A53" s="67"/>
      <c r="B53" s="38" t="s">
        <v>22</v>
      </c>
      <c r="C53" s="40"/>
      <c r="D53" s="39"/>
      <c r="E53" s="38"/>
      <c r="F53" s="38"/>
      <c r="G53" s="39"/>
      <c r="H53" s="68"/>
      <c r="I53" s="68"/>
    </row>
    <row r="56" spans="1:9" ht="15" x14ac:dyDescent="0.25">
      <c r="A56" s="41"/>
      <c r="B56" s="22" t="s">
        <v>13</v>
      </c>
      <c r="C56" s="87" t="s">
        <v>101</v>
      </c>
      <c r="D56" s="66" t="s">
        <v>51</v>
      </c>
      <c r="E56" s="66"/>
      <c r="F56" s="66"/>
      <c r="G56" s="66"/>
      <c r="H56" s="42"/>
      <c r="I56" s="23"/>
    </row>
    <row r="57" spans="1:9" x14ac:dyDescent="0.2">
      <c r="A57" s="43"/>
      <c r="B57" s="44"/>
      <c r="C57" s="44"/>
      <c r="D57" s="44"/>
      <c r="E57" s="44"/>
      <c r="F57" s="44"/>
      <c r="G57" s="44"/>
      <c r="H57" s="44"/>
      <c r="I57" s="45"/>
    </row>
    <row r="58" spans="1:9" x14ac:dyDescent="0.2">
      <c r="A58" s="43"/>
      <c r="B58" s="44"/>
      <c r="C58" s="76"/>
      <c r="D58" s="76" t="s">
        <v>3</v>
      </c>
      <c r="E58" s="76"/>
      <c r="F58" s="76"/>
      <c r="G58" s="76"/>
      <c r="H58" s="76"/>
      <c r="I58" s="75"/>
    </row>
    <row r="59" spans="1:9" x14ac:dyDescent="0.2">
      <c r="A59" s="43"/>
      <c r="B59" s="44"/>
      <c r="C59" s="76"/>
      <c r="D59" s="76">
        <v>1</v>
      </c>
      <c r="E59" s="76">
        <v>2</v>
      </c>
      <c r="F59" s="76">
        <v>3</v>
      </c>
      <c r="G59" s="76">
        <v>4</v>
      </c>
      <c r="H59" s="76">
        <v>5</v>
      </c>
      <c r="I59" s="25" t="s">
        <v>9</v>
      </c>
    </row>
    <row r="60" spans="1:9" x14ac:dyDescent="0.2">
      <c r="A60" s="43" t="s">
        <v>5</v>
      </c>
      <c r="B60" s="44"/>
      <c r="C60" s="44"/>
      <c r="D60" s="24">
        <f>+D37</f>
        <v>27500</v>
      </c>
      <c r="E60" s="24">
        <f t="shared" ref="E60:I60" si="10">+E37</f>
        <v>82500</v>
      </c>
      <c r="F60" s="24">
        <f t="shared" si="10"/>
        <v>275000</v>
      </c>
      <c r="G60" s="24">
        <f t="shared" si="10"/>
        <v>825000</v>
      </c>
      <c r="H60" s="24">
        <f t="shared" si="10"/>
        <v>1375000</v>
      </c>
      <c r="I60" s="31">
        <f t="shared" si="10"/>
        <v>1375000</v>
      </c>
    </row>
    <row r="61" spans="1:9" x14ac:dyDescent="0.2">
      <c r="A61" s="43"/>
      <c r="B61" s="44"/>
      <c r="C61" s="44"/>
      <c r="D61" s="24"/>
      <c r="E61" s="24"/>
      <c r="F61" s="24"/>
      <c r="G61" s="24"/>
      <c r="H61" s="24"/>
      <c r="I61" s="27"/>
    </row>
    <row r="62" spans="1:9" x14ac:dyDescent="0.2">
      <c r="A62" s="77" t="s">
        <v>6</v>
      </c>
      <c r="B62" s="76"/>
      <c r="C62" s="76"/>
      <c r="D62" s="74">
        <f>-Kosten!B12</f>
        <v>-878520</v>
      </c>
      <c r="E62" s="74">
        <f>-Kosten!C12</f>
        <v>-407600</v>
      </c>
      <c r="F62" s="74">
        <f>-Kosten!D12</f>
        <v>-367400</v>
      </c>
      <c r="G62" s="74">
        <f>-Kosten!E12</f>
        <v>-331400</v>
      </c>
      <c r="H62" s="74">
        <f>-Kosten!F12</f>
        <v>-331400</v>
      </c>
      <c r="I62" s="27">
        <f>-Kosten!G12</f>
        <v>-331400</v>
      </c>
    </row>
    <row r="63" spans="1:9" x14ac:dyDescent="0.2">
      <c r="A63" s="47" t="s">
        <v>17</v>
      </c>
      <c r="B63" s="44"/>
      <c r="C63" s="44"/>
      <c r="D63" s="48">
        <f>D62/D11*-1</f>
        <v>175.70400000000001</v>
      </c>
      <c r="E63" s="48">
        <f>E62/E11*-1</f>
        <v>27.173333333333332</v>
      </c>
      <c r="F63" s="48">
        <f>F62/F11*-1</f>
        <v>7.3479999999999999</v>
      </c>
      <c r="G63" s="48">
        <f>G62/G11*-1</f>
        <v>2.2093333333333334</v>
      </c>
      <c r="H63" s="48">
        <f>H62/H11*-1</f>
        <v>1.3255999999999999</v>
      </c>
      <c r="I63" s="78">
        <f>+H63</f>
        <v>1.3255999999999999</v>
      </c>
    </row>
    <row r="64" spans="1:9" x14ac:dyDescent="0.2">
      <c r="A64" s="47"/>
      <c r="B64" s="44"/>
      <c r="C64" s="44"/>
      <c r="D64" s="48"/>
      <c r="E64" s="48"/>
      <c r="F64" s="48"/>
      <c r="G64" s="48"/>
      <c r="H64" s="48"/>
      <c r="I64" s="27"/>
    </row>
    <row r="65" spans="1:9" x14ac:dyDescent="0.2">
      <c r="A65" s="43" t="s">
        <v>7</v>
      </c>
      <c r="B65" s="44"/>
      <c r="C65" s="44"/>
      <c r="D65" s="24">
        <f>+D60+D62</f>
        <v>-851020</v>
      </c>
      <c r="E65" s="24">
        <f t="shared" ref="E65:I65" si="11">+E60+E62</f>
        <v>-325100</v>
      </c>
      <c r="F65" s="24">
        <f t="shared" si="11"/>
        <v>-92400</v>
      </c>
      <c r="G65" s="24">
        <f t="shared" si="11"/>
        <v>493600</v>
      </c>
      <c r="H65" s="24">
        <f t="shared" si="11"/>
        <v>1043600</v>
      </c>
      <c r="I65" s="31">
        <f t="shared" si="11"/>
        <v>1043600</v>
      </c>
    </row>
    <row r="66" spans="1:9" x14ac:dyDescent="0.2">
      <c r="A66" s="69" t="s">
        <v>19</v>
      </c>
      <c r="B66" s="70"/>
      <c r="C66" s="71">
        <v>0.2</v>
      </c>
      <c r="D66" s="72"/>
      <c r="E66" s="72"/>
      <c r="F66" s="72"/>
      <c r="G66" s="72">
        <f>G76</f>
        <v>0</v>
      </c>
      <c r="H66" s="72">
        <f>-H76</f>
        <v>-53736</v>
      </c>
      <c r="I66" s="73">
        <f>-I65*$C66</f>
        <v>-208720</v>
      </c>
    </row>
    <row r="67" spans="1:9" x14ac:dyDescent="0.2">
      <c r="A67" s="50" t="s">
        <v>20</v>
      </c>
      <c r="B67" s="51"/>
      <c r="C67" s="51"/>
      <c r="D67" s="52">
        <f>D65+D66</f>
        <v>-851020</v>
      </c>
      <c r="E67" s="52">
        <f t="shared" ref="E67:H67" si="12">E65+E66</f>
        <v>-325100</v>
      </c>
      <c r="F67" s="52">
        <f t="shared" si="12"/>
        <v>-92400</v>
      </c>
      <c r="G67" s="52">
        <f t="shared" si="12"/>
        <v>493600</v>
      </c>
      <c r="H67" s="52">
        <f t="shared" si="12"/>
        <v>989864</v>
      </c>
      <c r="I67" s="53">
        <f>I65+I66</f>
        <v>834880</v>
      </c>
    </row>
    <row r="68" spans="1:9" s="38" customFormat="1" x14ac:dyDescent="0.2">
      <c r="A68" s="50" t="s">
        <v>115</v>
      </c>
      <c r="B68" s="51"/>
      <c r="C68" s="51"/>
      <c r="D68" s="52"/>
      <c r="E68" s="52"/>
      <c r="F68" s="52"/>
      <c r="G68" s="52"/>
      <c r="H68" s="52"/>
      <c r="I68" s="101">
        <f>+D65+E65+F65+0.25*F65</f>
        <v>-1291620</v>
      </c>
    </row>
    <row r="69" spans="1:9" x14ac:dyDescent="0.2">
      <c r="A69" s="43"/>
      <c r="B69" s="44"/>
      <c r="C69" s="44"/>
      <c r="D69" s="24"/>
      <c r="E69" s="24"/>
      <c r="F69" s="24"/>
      <c r="G69" s="24"/>
      <c r="H69" s="24"/>
      <c r="I69" s="27">
        <f t="shared" ref="I69" si="13">H69</f>
        <v>0</v>
      </c>
    </row>
    <row r="70" spans="1:9" x14ac:dyDescent="0.2">
      <c r="A70" s="43"/>
      <c r="B70" s="44"/>
      <c r="C70" s="44"/>
      <c r="D70" s="32">
        <v>2020</v>
      </c>
      <c r="E70" s="32">
        <v>2021</v>
      </c>
      <c r="F70" s="32">
        <v>2022</v>
      </c>
      <c r="G70" s="32">
        <v>2023</v>
      </c>
      <c r="H70" s="32">
        <v>2024</v>
      </c>
      <c r="I70" s="27"/>
    </row>
    <row r="71" spans="1:9" x14ac:dyDescent="0.2">
      <c r="A71" s="43" t="s">
        <v>0</v>
      </c>
      <c r="B71" s="44"/>
      <c r="C71" s="44"/>
      <c r="D71" s="24">
        <f>D59</f>
        <v>1</v>
      </c>
      <c r="E71" s="24">
        <f>E59</f>
        <v>2</v>
      </c>
      <c r="F71" s="24">
        <f>F59</f>
        <v>3</v>
      </c>
      <c r="G71" s="24">
        <f>G59</f>
        <v>4</v>
      </c>
      <c r="H71" s="24">
        <f>H59</f>
        <v>5</v>
      </c>
      <c r="I71" s="27">
        <f t="shared" ref="I71" si="14">H71</f>
        <v>5</v>
      </c>
    </row>
    <row r="72" spans="1:9" x14ac:dyDescent="0.2">
      <c r="A72" s="43" t="s">
        <v>1</v>
      </c>
      <c r="B72" s="44"/>
      <c r="C72" s="44"/>
      <c r="D72" s="24">
        <f>D67/$C$25^D71</f>
        <v>-753115.04424778768</v>
      </c>
      <c r="E72" s="24">
        <f>E67/$C$25^E71</f>
        <v>-254600.98676482111</v>
      </c>
      <c r="F72" s="24">
        <f>F67/$C$25^F71</f>
        <v>-64037.834994459088</v>
      </c>
      <c r="G72" s="24">
        <f>G67/$C$25^G71</f>
        <v>302734.12398254039</v>
      </c>
      <c r="H72" s="24">
        <f>H67/$C$25^H71</f>
        <v>537258.52128815814</v>
      </c>
      <c r="I72" s="27">
        <f>(I67/(C25-1))/$C$25^I71</f>
        <v>3485687.8105170773</v>
      </c>
    </row>
    <row r="73" spans="1:9" x14ac:dyDescent="0.2">
      <c r="A73" s="43"/>
      <c r="B73" s="44"/>
      <c r="C73" s="44"/>
      <c r="D73" s="24"/>
      <c r="E73" s="24"/>
      <c r="F73" s="24"/>
      <c r="G73" s="24"/>
      <c r="H73" s="24"/>
      <c r="I73" s="31"/>
    </row>
    <row r="74" spans="1:9" ht="15" x14ac:dyDescent="0.25">
      <c r="A74" s="34" t="s">
        <v>10</v>
      </c>
      <c r="B74" s="35"/>
      <c r="C74" s="35"/>
      <c r="D74" s="36">
        <f>SUM(D72:I72)</f>
        <v>3253926.5897807078</v>
      </c>
      <c r="E74" s="36"/>
      <c r="F74" s="36"/>
      <c r="G74" s="36"/>
      <c r="H74" s="36"/>
      <c r="I74" s="79"/>
    </row>
    <row r="75" spans="1:9" x14ac:dyDescent="0.2">
      <c r="A75" s="38"/>
      <c r="B75" s="38" t="s">
        <v>21</v>
      </c>
      <c r="C75" s="40"/>
      <c r="D75" s="39">
        <f>D65</f>
        <v>-851020</v>
      </c>
      <c r="E75" s="39">
        <f>E65+D75</f>
        <v>-1176120</v>
      </c>
      <c r="F75" s="39">
        <f>F65+E75</f>
        <v>-1268520</v>
      </c>
      <c r="G75" s="39">
        <f>G65+F75</f>
        <v>-774920</v>
      </c>
      <c r="H75" s="39">
        <f>H65+G75</f>
        <v>268680</v>
      </c>
      <c r="I75" s="38"/>
    </row>
    <row r="76" spans="1:9" x14ac:dyDescent="0.2">
      <c r="A76" s="38"/>
      <c r="B76" s="38" t="s">
        <v>22</v>
      </c>
      <c r="C76" s="40"/>
      <c r="D76" s="39"/>
      <c r="E76" s="38"/>
      <c r="F76" s="38"/>
      <c r="G76" s="39"/>
      <c r="H76" s="38">
        <f>+H75*C66</f>
        <v>53736</v>
      </c>
      <c r="I76" s="38"/>
    </row>
  </sheetData>
  <pageMargins left="0.7" right="0.7" top="0.78740157499999996" bottom="0.78740157499999996" header="0.3" footer="0.3"/>
  <pageSetup paperSize="9" orientation="landscape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C601-548A-4F73-BD7C-DB980274B5D2}">
  <sheetPr>
    <tabColor rgb="FFFFC000"/>
  </sheetPr>
  <dimension ref="A1:M232"/>
  <sheetViews>
    <sheetView topLeftCell="A73" workbookViewId="0">
      <selection activeCell="A78" sqref="A78:F95"/>
    </sheetView>
  </sheetViews>
  <sheetFormatPr defaultColWidth="11" defaultRowHeight="14.25" x14ac:dyDescent="0.2"/>
  <cols>
    <col min="1" max="1" width="49.5" bestFit="1" customWidth="1"/>
    <col min="5" max="5" width="11.375" customWidth="1"/>
    <col min="6" max="6" width="10.375" customWidth="1"/>
    <col min="7" max="7" width="12.375" customWidth="1"/>
  </cols>
  <sheetData>
    <row r="1" spans="1:13" s="38" customFormat="1" ht="18" x14ac:dyDescent="0.25">
      <c r="A1" s="57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9"/>
    </row>
    <row r="2" spans="1:13" s="38" customFormat="1" x14ac:dyDescent="0.2">
      <c r="A2" s="60"/>
      <c r="B2" s="118" t="s">
        <v>3</v>
      </c>
      <c r="C2" s="118"/>
      <c r="D2" s="118"/>
      <c r="E2" s="118"/>
      <c r="F2" s="118"/>
      <c r="G2" s="118"/>
      <c r="H2" s="44"/>
      <c r="I2" s="44"/>
      <c r="J2" s="44"/>
      <c r="K2" s="61"/>
    </row>
    <row r="3" spans="1:13" s="38" customFormat="1" x14ac:dyDescent="0.2">
      <c r="A3" s="60"/>
      <c r="B3" s="55">
        <v>1</v>
      </c>
      <c r="C3" s="55">
        <v>2</v>
      </c>
      <c r="D3" s="55">
        <v>3</v>
      </c>
      <c r="E3" s="55">
        <v>4</v>
      </c>
      <c r="F3" s="55">
        <v>5</v>
      </c>
      <c r="G3" s="56" t="s">
        <v>9</v>
      </c>
      <c r="H3" s="44"/>
      <c r="I3" s="44"/>
      <c r="J3" s="44"/>
      <c r="K3" s="61"/>
    </row>
    <row r="4" spans="1:13" s="38" customFormat="1" x14ac:dyDescent="0.2">
      <c r="A4" s="60" t="s">
        <v>36</v>
      </c>
      <c r="B4" s="24">
        <f>+B38</f>
        <v>994400</v>
      </c>
      <c r="C4" s="24">
        <f t="shared" ref="C4:F4" si="0">+C38</f>
        <v>407600</v>
      </c>
      <c r="D4" s="24">
        <f t="shared" si="0"/>
        <v>367400</v>
      </c>
      <c r="E4" s="24">
        <f t="shared" si="0"/>
        <v>331400</v>
      </c>
      <c r="F4" s="24">
        <f t="shared" si="0"/>
        <v>331400</v>
      </c>
      <c r="G4" s="24">
        <f>+F4</f>
        <v>331400</v>
      </c>
      <c r="H4" s="44"/>
      <c r="I4" s="44" t="s">
        <v>34</v>
      </c>
      <c r="J4" s="44"/>
      <c r="K4" s="61"/>
    </row>
    <row r="5" spans="1:13" s="38" customFormat="1" x14ac:dyDescent="0.2">
      <c r="A5" s="60" t="s">
        <v>37</v>
      </c>
      <c r="B5" s="24">
        <f>+B38</f>
        <v>994400</v>
      </c>
      <c r="C5" s="24">
        <f t="shared" ref="C5:F5" si="1">+C38</f>
        <v>407600</v>
      </c>
      <c r="D5" s="24">
        <f t="shared" si="1"/>
        <v>367400</v>
      </c>
      <c r="E5" s="24">
        <f t="shared" si="1"/>
        <v>331400</v>
      </c>
      <c r="F5" s="24">
        <f t="shared" si="1"/>
        <v>331400</v>
      </c>
      <c r="G5" s="24">
        <f>+F5</f>
        <v>331400</v>
      </c>
      <c r="H5" s="44"/>
      <c r="I5" s="44" t="s">
        <v>34</v>
      </c>
      <c r="J5" s="44"/>
      <c r="K5" s="61"/>
    </row>
    <row r="6" spans="1:13" s="38" customFormat="1" x14ac:dyDescent="0.2">
      <c r="A6" s="60" t="s">
        <v>38</v>
      </c>
      <c r="B6" s="24">
        <f>+B38</f>
        <v>994400</v>
      </c>
      <c r="C6" s="24">
        <f t="shared" ref="C6:F6" si="2">+C38</f>
        <v>407600</v>
      </c>
      <c r="D6" s="24">
        <f t="shared" si="2"/>
        <v>367400</v>
      </c>
      <c r="E6" s="24">
        <f t="shared" si="2"/>
        <v>331400</v>
      </c>
      <c r="F6" s="24">
        <f t="shared" si="2"/>
        <v>331400</v>
      </c>
      <c r="G6" s="24">
        <f>+F6</f>
        <v>331400</v>
      </c>
      <c r="H6" s="44"/>
      <c r="I6" s="44" t="s">
        <v>34</v>
      </c>
      <c r="J6" s="44"/>
      <c r="K6" s="61"/>
    </row>
    <row r="7" spans="1:13" s="38" customFormat="1" x14ac:dyDescent="0.2">
      <c r="A7" s="60" t="s">
        <v>39</v>
      </c>
      <c r="B7" s="24">
        <f>+B67</f>
        <v>989000</v>
      </c>
      <c r="C7" s="24">
        <f t="shared" ref="C7:F7" si="3">+C67</f>
        <v>510600</v>
      </c>
      <c r="D7" s="24">
        <f t="shared" si="3"/>
        <v>500400</v>
      </c>
      <c r="E7" s="24">
        <f t="shared" si="3"/>
        <v>464400</v>
      </c>
      <c r="F7" s="24">
        <f t="shared" si="3"/>
        <v>464400</v>
      </c>
      <c r="G7" s="24">
        <f t="shared" ref="G7:G12" si="4">+F7</f>
        <v>464400</v>
      </c>
      <c r="H7" s="44"/>
      <c r="I7" s="44" t="s">
        <v>34</v>
      </c>
      <c r="J7" s="44"/>
      <c r="K7" s="61"/>
    </row>
    <row r="8" spans="1:13" s="38" customFormat="1" x14ac:dyDescent="0.2">
      <c r="A8" s="60" t="s">
        <v>40</v>
      </c>
      <c r="B8" s="24">
        <f>+B67</f>
        <v>989000</v>
      </c>
      <c r="C8" s="24">
        <f t="shared" ref="C8:F8" si="5">+C67</f>
        <v>510600</v>
      </c>
      <c r="D8" s="24">
        <f t="shared" si="5"/>
        <v>500400</v>
      </c>
      <c r="E8" s="24">
        <f t="shared" si="5"/>
        <v>464400</v>
      </c>
      <c r="F8" s="24">
        <f t="shared" si="5"/>
        <v>464400</v>
      </c>
      <c r="G8" s="24">
        <f t="shared" si="4"/>
        <v>464400</v>
      </c>
      <c r="H8" s="44"/>
      <c r="I8" s="44" t="s">
        <v>34</v>
      </c>
      <c r="J8" s="44"/>
      <c r="K8" s="61"/>
    </row>
    <row r="9" spans="1:13" s="38" customFormat="1" x14ac:dyDescent="0.2">
      <c r="A9" s="60" t="s">
        <v>41</v>
      </c>
      <c r="B9" s="24">
        <f>+B67</f>
        <v>989000</v>
      </c>
      <c r="C9" s="24">
        <f t="shared" ref="C9:F9" si="6">+C67</f>
        <v>510600</v>
      </c>
      <c r="D9" s="24">
        <f t="shared" si="6"/>
        <v>500400</v>
      </c>
      <c r="E9" s="24">
        <f t="shared" si="6"/>
        <v>464400</v>
      </c>
      <c r="F9" s="24">
        <f t="shared" si="6"/>
        <v>464400</v>
      </c>
      <c r="G9" s="24">
        <f t="shared" si="4"/>
        <v>464400</v>
      </c>
      <c r="H9" s="44"/>
      <c r="I9" s="44" t="s">
        <v>34</v>
      </c>
      <c r="J9" s="44"/>
      <c r="K9" s="61"/>
    </row>
    <row r="10" spans="1:13" s="38" customFormat="1" x14ac:dyDescent="0.2">
      <c r="A10" s="60" t="s">
        <v>112</v>
      </c>
      <c r="B10" s="24">
        <f>+B95</f>
        <v>878520</v>
      </c>
      <c r="C10" s="24">
        <f t="shared" ref="C10:F10" si="7">+C95</f>
        <v>407600</v>
      </c>
      <c r="D10" s="24">
        <f t="shared" si="7"/>
        <v>367400</v>
      </c>
      <c r="E10" s="24">
        <f t="shared" si="7"/>
        <v>331400</v>
      </c>
      <c r="F10" s="24">
        <f t="shared" si="7"/>
        <v>331400</v>
      </c>
      <c r="G10" s="24">
        <f t="shared" si="4"/>
        <v>331400</v>
      </c>
      <c r="H10" s="44"/>
      <c r="I10" s="44" t="s">
        <v>35</v>
      </c>
      <c r="J10" s="44"/>
      <c r="K10" s="61"/>
    </row>
    <row r="11" spans="1:13" s="38" customFormat="1" x14ac:dyDescent="0.2">
      <c r="A11" s="60" t="s">
        <v>113</v>
      </c>
      <c r="B11" s="24">
        <f>+B95</f>
        <v>878520</v>
      </c>
      <c r="C11" s="24">
        <f t="shared" ref="C11:F11" si="8">+C95</f>
        <v>407600</v>
      </c>
      <c r="D11" s="24">
        <f t="shared" si="8"/>
        <v>367400</v>
      </c>
      <c r="E11" s="24">
        <f t="shared" si="8"/>
        <v>331400</v>
      </c>
      <c r="F11" s="24">
        <f t="shared" si="8"/>
        <v>331400</v>
      </c>
      <c r="G11" s="24">
        <f t="shared" si="4"/>
        <v>331400</v>
      </c>
      <c r="H11" s="44"/>
      <c r="I11" s="44" t="s">
        <v>35</v>
      </c>
      <c r="J11" s="44"/>
      <c r="K11" s="61"/>
    </row>
    <row r="12" spans="1:13" s="38" customFormat="1" x14ac:dyDescent="0.2">
      <c r="A12" s="60" t="s">
        <v>114</v>
      </c>
      <c r="B12" s="24">
        <f>+B95</f>
        <v>878520</v>
      </c>
      <c r="C12" s="24">
        <f t="shared" ref="C12:F12" si="9">+C95</f>
        <v>407600</v>
      </c>
      <c r="D12" s="24">
        <f t="shared" si="9"/>
        <v>367400</v>
      </c>
      <c r="E12" s="24">
        <f t="shared" si="9"/>
        <v>331400</v>
      </c>
      <c r="F12" s="24">
        <f t="shared" si="9"/>
        <v>331400</v>
      </c>
      <c r="G12" s="24">
        <f t="shared" si="4"/>
        <v>331400</v>
      </c>
      <c r="H12" s="44"/>
      <c r="I12" s="44" t="s">
        <v>35</v>
      </c>
      <c r="J12" s="44"/>
      <c r="K12" s="61"/>
    </row>
    <row r="13" spans="1:13" s="38" customFormat="1" x14ac:dyDescent="0.2">
      <c r="A13" s="60" t="s">
        <v>61</v>
      </c>
      <c r="B13" s="44"/>
      <c r="C13" s="24">
        <f>115*1200</f>
        <v>138000</v>
      </c>
      <c r="D13" s="44"/>
      <c r="E13" s="44"/>
      <c r="F13" s="44"/>
      <c r="G13" s="44"/>
      <c r="H13" s="44"/>
      <c r="I13" s="44" t="s">
        <v>34</v>
      </c>
      <c r="J13" s="44"/>
      <c r="K13" s="61"/>
      <c r="M13" s="38" t="s">
        <v>117</v>
      </c>
    </row>
    <row r="14" spans="1:13" s="38" customFormat="1" x14ac:dyDescent="0.2">
      <c r="A14" s="60" t="s">
        <v>42</v>
      </c>
      <c r="B14" s="44"/>
      <c r="C14" s="44"/>
      <c r="D14" s="44"/>
      <c r="E14" s="44"/>
      <c r="F14" s="44"/>
      <c r="G14" s="44"/>
      <c r="H14" s="44"/>
      <c r="I14" s="44" t="s">
        <v>60</v>
      </c>
      <c r="J14" s="44"/>
      <c r="K14" s="61"/>
    </row>
    <row r="15" spans="1:13" s="38" customFormat="1" ht="15" thickBot="1" x14ac:dyDescent="0.2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4"/>
    </row>
    <row r="16" spans="1:13" s="38" customFormat="1" x14ac:dyDescent="0.2"/>
    <row r="17" spans="1:6" s="38" customFormat="1" x14ac:dyDescent="0.2"/>
    <row r="18" spans="1:6" ht="15" x14ac:dyDescent="0.25">
      <c r="A18" s="19"/>
    </row>
    <row r="19" spans="1:6" ht="18.75" x14ac:dyDescent="0.3">
      <c r="A19" s="21" t="s">
        <v>102</v>
      </c>
      <c r="B19" s="38"/>
      <c r="C19" s="10"/>
    </row>
    <row r="20" spans="1:6" ht="15.75" x14ac:dyDescent="0.25">
      <c r="A20" s="19"/>
      <c r="B20" s="20"/>
      <c r="C20" s="10"/>
    </row>
    <row r="21" spans="1:6" s="11" customFormat="1" ht="15" x14ac:dyDescent="0.25">
      <c r="A21" s="11" t="s">
        <v>72</v>
      </c>
      <c r="B21" s="13">
        <f>SUM(B22:B25)</f>
        <v>630800</v>
      </c>
      <c r="C21" s="13">
        <f t="shared" ref="C21:F21" si="10">SUM(C22:C25)</f>
        <v>86400</v>
      </c>
      <c r="D21" s="13">
        <f t="shared" si="10"/>
        <v>86400</v>
      </c>
      <c r="E21" s="13">
        <f t="shared" si="10"/>
        <v>50400</v>
      </c>
      <c r="F21" s="13">
        <f t="shared" si="10"/>
        <v>50400</v>
      </c>
    </row>
    <row r="22" spans="1:6" x14ac:dyDescent="0.2">
      <c r="A22" t="s">
        <v>73</v>
      </c>
      <c r="B22" s="39">
        <f>1440*120</f>
        <v>172800</v>
      </c>
      <c r="C22" s="39">
        <v>14400</v>
      </c>
      <c r="D22" s="39">
        <v>14400</v>
      </c>
      <c r="E22" s="39">
        <v>14400</v>
      </c>
      <c r="F22" s="39">
        <v>14400</v>
      </c>
    </row>
    <row r="23" spans="1:6" x14ac:dyDescent="0.2">
      <c r="A23" t="s">
        <v>74</v>
      </c>
      <c r="B23" s="39">
        <f>1200*365</f>
        <v>438000</v>
      </c>
      <c r="C23" s="39">
        <v>36000</v>
      </c>
      <c r="D23" s="39">
        <v>36000</v>
      </c>
      <c r="E23" s="39">
        <v>36000</v>
      </c>
      <c r="F23" s="39">
        <v>36000</v>
      </c>
    </row>
    <row r="24" spans="1:6" x14ac:dyDescent="0.2">
      <c r="A24" t="s">
        <v>75</v>
      </c>
      <c r="B24" s="39">
        <v>2000</v>
      </c>
      <c r="C24" s="39">
        <v>0</v>
      </c>
      <c r="D24" s="39">
        <v>0</v>
      </c>
      <c r="E24" s="39">
        <v>0</v>
      </c>
      <c r="F24" s="39">
        <v>0</v>
      </c>
    </row>
    <row r="25" spans="1:6" x14ac:dyDescent="0.2">
      <c r="A25" t="s">
        <v>76</v>
      </c>
      <c r="B25" s="39">
        <f>1200*15</f>
        <v>18000</v>
      </c>
      <c r="C25" s="39">
        <v>36000</v>
      </c>
      <c r="D25" s="39">
        <v>36000</v>
      </c>
      <c r="E25" s="39">
        <v>0</v>
      </c>
      <c r="F25" s="39">
        <v>0</v>
      </c>
    </row>
    <row r="26" spans="1:6" s="11" customFormat="1" ht="15" x14ac:dyDescent="0.25">
      <c r="A26" s="11" t="s">
        <v>77</v>
      </c>
      <c r="B26" s="13">
        <f>SUM(B27:B29)</f>
        <v>249000</v>
      </c>
      <c r="C26" s="13">
        <f t="shared" ref="C26:F26" si="11">SUM(C27:C29)</f>
        <v>223000</v>
      </c>
      <c r="D26" s="13">
        <f t="shared" si="11"/>
        <v>178000</v>
      </c>
      <c r="E26" s="13">
        <f t="shared" si="11"/>
        <v>178000</v>
      </c>
      <c r="F26" s="13">
        <f t="shared" si="11"/>
        <v>178000</v>
      </c>
    </row>
    <row r="27" spans="1:6" x14ac:dyDescent="0.2">
      <c r="A27" t="s">
        <v>78</v>
      </c>
      <c r="B27" s="39">
        <f>1000*85</f>
        <v>85000</v>
      </c>
      <c r="C27" s="39">
        <v>10000</v>
      </c>
      <c r="D27" s="39">
        <v>10000</v>
      </c>
      <c r="E27" s="39">
        <v>10000</v>
      </c>
      <c r="F27" s="39">
        <v>10000</v>
      </c>
    </row>
    <row r="28" spans="1:6" x14ac:dyDescent="0.2">
      <c r="A28" t="s">
        <v>79</v>
      </c>
      <c r="B28" s="39">
        <f>1000*100</f>
        <v>100000</v>
      </c>
      <c r="C28" s="39">
        <v>85000</v>
      </c>
      <c r="D28" s="39">
        <v>40000</v>
      </c>
      <c r="E28" s="39">
        <v>40000</v>
      </c>
      <c r="F28" s="39">
        <v>40000</v>
      </c>
    </row>
    <row r="29" spans="1:6" x14ac:dyDescent="0.2">
      <c r="A29" t="s">
        <v>80</v>
      </c>
      <c r="B29" s="39">
        <f>800*80</f>
        <v>64000</v>
      </c>
      <c r="C29" s="39">
        <v>128000</v>
      </c>
      <c r="D29" s="39">
        <v>128000</v>
      </c>
      <c r="E29" s="39">
        <v>128000</v>
      </c>
      <c r="F29" s="39">
        <v>128000</v>
      </c>
    </row>
    <row r="30" spans="1:6" s="11" customFormat="1" ht="15" x14ac:dyDescent="0.25">
      <c r="A30" s="11" t="s">
        <v>81</v>
      </c>
      <c r="B30" s="13">
        <f>SUM(B31:B34)</f>
        <v>87000</v>
      </c>
      <c r="C30" s="13">
        <f t="shared" ref="C30:F30" si="12">SUM(C31:C34)</f>
        <v>67000</v>
      </c>
      <c r="D30" s="13">
        <f t="shared" si="12"/>
        <v>67000</v>
      </c>
      <c r="E30" s="13">
        <f t="shared" si="12"/>
        <v>67000</v>
      </c>
      <c r="F30" s="13">
        <f t="shared" si="12"/>
        <v>67000</v>
      </c>
    </row>
    <row r="31" spans="1:6" x14ac:dyDescent="0.2">
      <c r="A31" t="s">
        <v>82</v>
      </c>
      <c r="B31" s="39">
        <f>2000*10</f>
        <v>20000</v>
      </c>
      <c r="C31" s="39">
        <v>10000</v>
      </c>
      <c r="D31" s="39">
        <v>10000</v>
      </c>
      <c r="E31" s="39">
        <v>10000</v>
      </c>
      <c r="F31" s="39">
        <v>10000</v>
      </c>
    </row>
    <row r="32" spans="1:6" x14ac:dyDescent="0.2">
      <c r="A32" t="s">
        <v>83</v>
      </c>
      <c r="B32" s="39">
        <v>12000</v>
      </c>
      <c r="C32" s="39">
        <v>12000</v>
      </c>
      <c r="D32" s="39">
        <v>12000</v>
      </c>
      <c r="E32" s="39">
        <v>12000</v>
      </c>
      <c r="F32" s="39">
        <v>12000</v>
      </c>
    </row>
    <row r="33" spans="1:8" x14ac:dyDescent="0.2">
      <c r="A33" t="s">
        <v>84</v>
      </c>
      <c r="B33" s="39">
        <v>30000</v>
      </c>
      <c r="C33" s="39">
        <v>20000</v>
      </c>
      <c r="D33" s="39">
        <v>20000</v>
      </c>
      <c r="E33" s="39">
        <v>20000</v>
      </c>
      <c r="F33" s="39">
        <v>20000</v>
      </c>
    </row>
    <row r="34" spans="1:8" x14ac:dyDescent="0.2">
      <c r="A34" t="s">
        <v>85</v>
      </c>
      <c r="B34" s="39">
        <v>25000</v>
      </c>
      <c r="C34" s="39">
        <v>25000</v>
      </c>
      <c r="D34" s="39">
        <v>25000</v>
      </c>
      <c r="E34" s="39">
        <v>25000</v>
      </c>
      <c r="F34" s="39">
        <v>25000</v>
      </c>
    </row>
    <row r="35" spans="1:8" s="11" customFormat="1" ht="15" x14ac:dyDescent="0.25">
      <c r="A35" s="11" t="s">
        <v>87</v>
      </c>
      <c r="B35" s="13">
        <f>24000</f>
        <v>24000</v>
      </c>
      <c r="C35" s="13">
        <v>24000</v>
      </c>
      <c r="D35" s="13">
        <v>24000</v>
      </c>
      <c r="E35" s="13">
        <v>24000</v>
      </c>
      <c r="F35" s="13">
        <v>24000</v>
      </c>
    </row>
    <row r="36" spans="1:8" s="11" customFormat="1" ht="15" x14ac:dyDescent="0.25">
      <c r="A36" s="11" t="s">
        <v>88</v>
      </c>
      <c r="B36" s="13">
        <v>3600</v>
      </c>
      <c r="C36" s="13">
        <v>7200</v>
      </c>
      <c r="D36" s="13">
        <v>12000</v>
      </c>
      <c r="E36" s="13">
        <v>12000</v>
      </c>
      <c r="F36" s="13">
        <v>12000</v>
      </c>
    </row>
    <row r="37" spans="1:8" x14ac:dyDescent="0.2">
      <c r="B37" s="39"/>
      <c r="C37" s="39"/>
      <c r="D37" s="39"/>
      <c r="E37" s="39"/>
      <c r="F37" s="39"/>
    </row>
    <row r="38" spans="1:8" s="11" customFormat="1" ht="15" x14ac:dyDescent="0.25">
      <c r="A38" s="11" t="s">
        <v>86</v>
      </c>
      <c r="B38" s="13">
        <f>+B21+B26+B30+B35+B36</f>
        <v>994400</v>
      </c>
      <c r="C38" s="13">
        <f>+C21+C26+C30+C35+C36</f>
        <v>407600</v>
      </c>
      <c r="D38" s="13">
        <f t="shared" ref="D38:F38" si="13">+D21+D26+D30+D35+D36</f>
        <v>367400</v>
      </c>
      <c r="E38" s="13">
        <f t="shared" si="13"/>
        <v>331400</v>
      </c>
      <c r="F38" s="13">
        <f t="shared" si="13"/>
        <v>331400</v>
      </c>
    </row>
    <row r="39" spans="1:8" x14ac:dyDescent="0.2">
      <c r="B39" s="39"/>
      <c r="C39" s="39"/>
      <c r="D39" s="39"/>
      <c r="E39" s="39"/>
      <c r="F39" s="39"/>
    </row>
    <row r="40" spans="1:8" ht="15" x14ac:dyDescent="0.25">
      <c r="A40" s="11" t="s">
        <v>92</v>
      </c>
    </row>
    <row r="41" spans="1:8" x14ac:dyDescent="0.2">
      <c r="A41" s="86" t="s">
        <v>89</v>
      </c>
    </row>
    <row r="42" spans="1:8" x14ac:dyDescent="0.2">
      <c r="A42" s="86" t="s">
        <v>90</v>
      </c>
    </row>
    <row r="43" spans="1:8" x14ac:dyDescent="0.2">
      <c r="A43" s="86" t="s">
        <v>91</v>
      </c>
      <c r="H43" s="39">
        <f>+B22+B23+B27</f>
        <v>695800</v>
      </c>
    </row>
    <row r="44" spans="1:8" x14ac:dyDescent="0.2">
      <c r="A44" s="86" t="s">
        <v>103</v>
      </c>
    </row>
    <row r="48" spans="1:8" ht="18.75" x14ac:dyDescent="0.3">
      <c r="A48" s="21" t="s">
        <v>108</v>
      </c>
    </row>
    <row r="50" spans="1:8" s="11" customFormat="1" ht="15" x14ac:dyDescent="0.25">
      <c r="A50" s="11" t="s">
        <v>72</v>
      </c>
      <c r="B50" s="13">
        <f>SUM(B51:B54)</f>
        <v>590400</v>
      </c>
      <c r="C50" s="13">
        <f t="shared" ref="C50:F50" si="14">SUM(C51:C54)</f>
        <v>158400</v>
      </c>
      <c r="D50" s="13">
        <f t="shared" si="14"/>
        <v>188400</v>
      </c>
      <c r="E50" s="13">
        <f t="shared" si="14"/>
        <v>152400</v>
      </c>
      <c r="F50" s="13">
        <f t="shared" si="14"/>
        <v>152400</v>
      </c>
      <c r="G50" s="13"/>
      <c r="H50" s="13"/>
    </row>
    <row r="51" spans="1:8" x14ac:dyDescent="0.2">
      <c r="A51" s="38" t="s">
        <v>73</v>
      </c>
      <c r="B51" s="39">
        <v>158400</v>
      </c>
      <c r="C51" s="39">
        <v>14400</v>
      </c>
      <c r="D51" s="39">
        <v>14400</v>
      </c>
      <c r="E51" s="39">
        <v>14400</v>
      </c>
      <c r="F51" s="39">
        <v>14400</v>
      </c>
      <c r="G51" s="39"/>
      <c r="H51" s="39"/>
    </row>
    <row r="52" spans="1:8" x14ac:dyDescent="0.2">
      <c r="A52" s="38" t="s">
        <v>74</v>
      </c>
      <c r="B52" s="39">
        <v>342000</v>
      </c>
      <c r="C52" s="39">
        <v>36000</v>
      </c>
      <c r="D52" s="39">
        <v>36000</v>
      </c>
      <c r="E52" s="39">
        <v>36000</v>
      </c>
      <c r="F52" s="39">
        <v>36000</v>
      </c>
      <c r="G52" s="39"/>
      <c r="H52" s="39"/>
    </row>
    <row r="53" spans="1:8" x14ac:dyDescent="0.2">
      <c r="A53" s="38" t="s">
        <v>75</v>
      </c>
      <c r="B53" s="39">
        <v>72000</v>
      </c>
      <c r="C53" s="39">
        <v>72000</v>
      </c>
      <c r="D53" s="39">
        <v>102000</v>
      </c>
      <c r="E53" s="39">
        <v>102000</v>
      </c>
      <c r="F53" s="39">
        <v>102000</v>
      </c>
      <c r="G53" s="39"/>
      <c r="H53" s="39"/>
    </row>
    <row r="54" spans="1:8" x14ac:dyDescent="0.2">
      <c r="A54" s="38" t="s">
        <v>76</v>
      </c>
      <c r="B54" s="39">
        <v>18000</v>
      </c>
      <c r="C54" s="39">
        <v>36000</v>
      </c>
      <c r="D54" s="39">
        <v>36000</v>
      </c>
      <c r="E54" s="39">
        <v>0</v>
      </c>
      <c r="F54" s="39">
        <v>0</v>
      </c>
      <c r="G54" s="39"/>
      <c r="H54" s="39"/>
    </row>
    <row r="55" spans="1:8" s="11" customFormat="1" ht="15" x14ac:dyDescent="0.25">
      <c r="A55" s="11" t="s">
        <v>77</v>
      </c>
      <c r="B55" s="13">
        <f>SUM(B56:B58)</f>
        <v>249000</v>
      </c>
      <c r="C55" s="13">
        <f t="shared" ref="C55:F55" si="15">SUM(C56:C58)</f>
        <v>199000</v>
      </c>
      <c r="D55" s="13">
        <f t="shared" si="15"/>
        <v>154000</v>
      </c>
      <c r="E55" s="13">
        <f t="shared" si="15"/>
        <v>154000</v>
      </c>
      <c r="F55" s="13">
        <f t="shared" si="15"/>
        <v>154000</v>
      </c>
      <c r="G55" s="13"/>
      <c r="H55" s="13"/>
    </row>
    <row r="56" spans="1:8" x14ac:dyDescent="0.2">
      <c r="A56" s="38" t="s">
        <v>78</v>
      </c>
      <c r="B56" s="39">
        <v>85000</v>
      </c>
      <c r="C56" s="39">
        <v>10000</v>
      </c>
      <c r="D56" s="39">
        <v>10000</v>
      </c>
      <c r="E56" s="39">
        <v>10000</v>
      </c>
      <c r="F56" s="39">
        <v>10000</v>
      </c>
      <c r="G56" s="39"/>
      <c r="H56" s="39"/>
    </row>
    <row r="57" spans="1:8" x14ac:dyDescent="0.2">
      <c r="A57" s="38" t="s">
        <v>79</v>
      </c>
      <c r="B57" s="39">
        <v>100000</v>
      </c>
      <c r="C57" s="39">
        <v>85000</v>
      </c>
      <c r="D57" s="39">
        <v>40000</v>
      </c>
      <c r="E57" s="39">
        <v>40000</v>
      </c>
      <c r="F57" s="39">
        <v>40000</v>
      </c>
      <c r="G57" s="39"/>
      <c r="H57" s="39"/>
    </row>
    <row r="58" spans="1:8" x14ac:dyDescent="0.2">
      <c r="A58" s="38" t="s">
        <v>80</v>
      </c>
      <c r="B58" s="39">
        <v>64000</v>
      </c>
      <c r="C58" s="39">
        <v>104000</v>
      </c>
      <c r="D58" s="39">
        <v>104000</v>
      </c>
      <c r="E58" s="39">
        <v>104000</v>
      </c>
      <c r="F58" s="39">
        <v>104000</v>
      </c>
      <c r="G58" s="39"/>
      <c r="H58" s="39"/>
    </row>
    <row r="59" spans="1:8" s="11" customFormat="1" ht="15" x14ac:dyDescent="0.25">
      <c r="A59" s="11" t="s">
        <v>81</v>
      </c>
      <c r="B59" s="13">
        <f>SUM(B60:B63)</f>
        <v>122000</v>
      </c>
      <c r="C59" s="13">
        <f t="shared" ref="C59:F59" si="16">SUM(C60:C63)</f>
        <v>122000</v>
      </c>
      <c r="D59" s="13">
        <f t="shared" si="16"/>
        <v>122000</v>
      </c>
      <c r="E59" s="13">
        <f t="shared" si="16"/>
        <v>122000</v>
      </c>
      <c r="F59" s="13">
        <f t="shared" si="16"/>
        <v>122000</v>
      </c>
      <c r="G59" s="13"/>
      <c r="H59" s="13"/>
    </row>
    <row r="60" spans="1:8" x14ac:dyDescent="0.2">
      <c r="A60" s="38" t="s">
        <v>82</v>
      </c>
      <c r="B60" s="39">
        <v>20000</v>
      </c>
      <c r="C60" s="39">
        <v>10000</v>
      </c>
      <c r="D60" s="39">
        <v>10000</v>
      </c>
      <c r="E60" s="39">
        <v>10000</v>
      </c>
      <c r="F60" s="39">
        <v>10000</v>
      </c>
      <c r="G60" s="39"/>
      <c r="H60" s="39"/>
    </row>
    <row r="61" spans="1:8" x14ac:dyDescent="0.2">
      <c r="A61" s="38" t="s">
        <v>83</v>
      </c>
      <c r="B61" s="39">
        <v>12000</v>
      </c>
      <c r="C61" s="39">
        <v>12000</v>
      </c>
      <c r="D61" s="39">
        <v>12000</v>
      </c>
      <c r="E61" s="39">
        <v>12000</v>
      </c>
      <c r="F61" s="39">
        <v>12000</v>
      </c>
      <c r="G61" s="39"/>
      <c r="H61" s="39"/>
    </row>
    <row r="62" spans="1:8" x14ac:dyDescent="0.2">
      <c r="A62" s="38" t="s">
        <v>84</v>
      </c>
      <c r="B62" s="39">
        <v>30000</v>
      </c>
      <c r="C62" s="39">
        <v>20000</v>
      </c>
      <c r="D62" s="39">
        <v>20000</v>
      </c>
      <c r="E62" s="39">
        <v>20000</v>
      </c>
      <c r="F62" s="39">
        <v>20000</v>
      </c>
      <c r="G62" s="39"/>
      <c r="H62" s="39"/>
    </row>
    <row r="63" spans="1:8" x14ac:dyDescent="0.2">
      <c r="A63" s="38" t="s">
        <v>85</v>
      </c>
      <c r="B63" s="39">
        <v>60000</v>
      </c>
      <c r="C63" s="39">
        <v>80000</v>
      </c>
      <c r="D63" s="39">
        <v>80000</v>
      </c>
      <c r="E63" s="39">
        <v>80000</v>
      </c>
      <c r="F63" s="39">
        <v>80000</v>
      </c>
      <c r="G63" s="39"/>
      <c r="H63" s="39"/>
    </row>
    <row r="64" spans="1:8" s="11" customFormat="1" ht="15" x14ac:dyDescent="0.25">
      <c r="A64" s="11" t="s">
        <v>87</v>
      </c>
      <c r="B64" s="13">
        <v>24000</v>
      </c>
      <c r="C64" s="13">
        <v>24000</v>
      </c>
      <c r="D64" s="13">
        <v>24000</v>
      </c>
      <c r="E64" s="13">
        <v>24000</v>
      </c>
      <c r="F64" s="13">
        <v>24000</v>
      </c>
      <c r="G64" s="13"/>
      <c r="H64" s="13"/>
    </row>
    <row r="65" spans="1:8" s="11" customFormat="1" ht="15" x14ac:dyDescent="0.25">
      <c r="A65" s="11" t="s">
        <v>88</v>
      </c>
      <c r="B65" s="13">
        <v>3600</v>
      </c>
      <c r="C65" s="13">
        <v>7200</v>
      </c>
      <c r="D65" s="13">
        <v>12000</v>
      </c>
      <c r="E65" s="13">
        <v>12000</v>
      </c>
      <c r="F65" s="13">
        <v>12000</v>
      </c>
      <c r="G65" s="13"/>
      <c r="H65" s="13"/>
    </row>
    <row r="66" spans="1:8" x14ac:dyDescent="0.2">
      <c r="A66" s="38"/>
      <c r="B66" s="39"/>
      <c r="C66" s="39"/>
      <c r="D66" s="39"/>
      <c r="E66" s="39"/>
      <c r="F66" s="39"/>
      <c r="G66" s="39"/>
      <c r="H66" s="39"/>
    </row>
    <row r="67" spans="1:8" s="11" customFormat="1" ht="15" x14ac:dyDescent="0.25">
      <c r="A67" s="11" t="s">
        <v>86</v>
      </c>
      <c r="B67" s="13">
        <f>+B50+B55+B59+B64+B65</f>
        <v>989000</v>
      </c>
      <c r="C67" s="13">
        <f t="shared" ref="C67:F67" si="17">+C50+C55+C59+C64+C65</f>
        <v>510600</v>
      </c>
      <c r="D67" s="13">
        <f t="shared" si="17"/>
        <v>500400</v>
      </c>
      <c r="E67" s="13">
        <f t="shared" si="17"/>
        <v>464400</v>
      </c>
      <c r="F67" s="13">
        <f t="shared" si="17"/>
        <v>464400</v>
      </c>
      <c r="G67" s="13"/>
      <c r="H67" s="13"/>
    </row>
    <row r="68" spans="1:8" x14ac:dyDescent="0.2">
      <c r="B68" s="39"/>
      <c r="C68" s="39"/>
      <c r="D68" s="39"/>
      <c r="E68" s="39"/>
      <c r="F68" s="39"/>
      <c r="G68" s="39"/>
      <c r="H68" s="39"/>
    </row>
    <row r="69" spans="1:8" ht="15" x14ac:dyDescent="0.25">
      <c r="A69" s="11" t="s">
        <v>92</v>
      </c>
      <c r="B69" s="39"/>
      <c r="C69" s="39"/>
      <c r="D69" s="39"/>
      <c r="E69" s="39"/>
      <c r="F69" s="39"/>
      <c r="G69" s="39"/>
      <c r="H69" s="39"/>
    </row>
    <row r="70" spans="1:8" x14ac:dyDescent="0.2">
      <c r="A70" s="86" t="s">
        <v>109</v>
      </c>
      <c r="B70" s="39"/>
      <c r="C70" s="39"/>
      <c r="D70" s="39"/>
      <c r="E70" s="39"/>
      <c r="F70" s="39"/>
      <c r="G70" s="39"/>
      <c r="H70" s="39"/>
    </row>
    <row r="71" spans="1:8" x14ac:dyDescent="0.2">
      <c r="A71" s="86" t="s">
        <v>110</v>
      </c>
      <c r="B71" s="39"/>
      <c r="C71" s="39"/>
      <c r="D71" s="39"/>
      <c r="E71" s="39"/>
      <c r="F71" s="39"/>
      <c r="G71" s="39"/>
      <c r="H71" s="39"/>
    </row>
    <row r="72" spans="1:8" x14ac:dyDescent="0.2">
      <c r="A72" s="86" t="s">
        <v>111</v>
      </c>
      <c r="B72" s="39"/>
      <c r="C72" s="39"/>
      <c r="D72" s="39"/>
      <c r="E72" s="39"/>
      <c r="F72" s="39"/>
      <c r="G72" s="39"/>
      <c r="H72" s="39"/>
    </row>
    <row r="73" spans="1:8" x14ac:dyDescent="0.2">
      <c r="B73" s="39"/>
      <c r="C73" s="39"/>
      <c r="D73" s="39"/>
      <c r="E73" s="39"/>
      <c r="F73" s="39"/>
      <c r="G73" s="39"/>
      <c r="H73" s="39"/>
    </row>
    <row r="74" spans="1:8" x14ac:dyDescent="0.2">
      <c r="B74" s="39"/>
      <c r="C74" s="39"/>
      <c r="D74" s="39"/>
      <c r="E74" s="39"/>
      <c r="F74" s="39"/>
      <c r="G74" s="39"/>
      <c r="H74" s="39"/>
    </row>
    <row r="75" spans="1:8" x14ac:dyDescent="0.2">
      <c r="B75" s="39"/>
      <c r="C75" s="39"/>
      <c r="D75" s="39"/>
      <c r="E75" s="39"/>
      <c r="F75" s="39"/>
      <c r="G75" s="39"/>
      <c r="H75" s="39"/>
    </row>
    <row r="76" spans="1:8" ht="18.75" x14ac:dyDescent="0.3">
      <c r="A76" s="21" t="s">
        <v>126</v>
      </c>
      <c r="B76" s="39"/>
      <c r="C76" s="39"/>
      <c r="D76" s="39"/>
      <c r="E76" s="39"/>
      <c r="F76" s="39"/>
      <c r="G76" s="39"/>
      <c r="H76" s="39"/>
    </row>
    <row r="77" spans="1:8" x14ac:dyDescent="0.2">
      <c r="A77" s="38"/>
      <c r="B77" s="39"/>
      <c r="C77" s="39"/>
      <c r="D77" s="39"/>
      <c r="E77" s="39"/>
      <c r="F77" s="39"/>
      <c r="G77" s="39"/>
      <c r="H77" s="39"/>
    </row>
    <row r="78" spans="1:8" s="11" customFormat="1" ht="15" x14ac:dyDescent="0.25">
      <c r="A78" s="11" t="s">
        <v>72</v>
      </c>
      <c r="B78" s="13">
        <f t="shared" ref="B78:C78" si="18">SUM(B79:B82)</f>
        <v>519920</v>
      </c>
      <c r="C78" s="13">
        <f t="shared" si="18"/>
        <v>86400</v>
      </c>
      <c r="D78" s="13">
        <f t="shared" ref="D78" si="19">SUM(D79:D82)</f>
        <v>86400</v>
      </c>
      <c r="E78" s="13">
        <f t="shared" ref="E78" si="20">SUM(E79:E82)</f>
        <v>50400</v>
      </c>
      <c r="F78" s="13">
        <f t="shared" ref="F78" si="21">SUM(F79:F82)</f>
        <v>50400</v>
      </c>
      <c r="G78" s="13"/>
      <c r="H78" s="13"/>
    </row>
    <row r="79" spans="1:8" x14ac:dyDescent="0.2">
      <c r="A79" s="38" t="s">
        <v>73</v>
      </c>
      <c r="B79" s="39">
        <v>133920</v>
      </c>
      <c r="C79" s="39">
        <v>14400</v>
      </c>
      <c r="D79" s="39">
        <v>14400</v>
      </c>
      <c r="E79" s="39">
        <v>14400</v>
      </c>
      <c r="F79" s="39">
        <v>14400</v>
      </c>
      <c r="G79" s="39"/>
      <c r="H79" s="39"/>
    </row>
    <row r="80" spans="1:8" x14ac:dyDescent="0.2">
      <c r="A80" s="38" t="s">
        <v>74</v>
      </c>
      <c r="B80" s="39">
        <v>366000</v>
      </c>
      <c r="C80" s="39">
        <v>36000</v>
      </c>
      <c r="D80" s="39">
        <v>36000</v>
      </c>
      <c r="E80" s="39">
        <v>36000</v>
      </c>
      <c r="F80" s="39">
        <v>36000</v>
      </c>
      <c r="G80" s="39"/>
      <c r="H80" s="39"/>
    </row>
    <row r="81" spans="1:12" x14ac:dyDescent="0.2">
      <c r="A81" s="38" t="s">
        <v>75</v>
      </c>
      <c r="B81" s="39">
        <v>2000</v>
      </c>
      <c r="C81" s="39">
        <v>0</v>
      </c>
      <c r="D81" s="39">
        <v>0</v>
      </c>
      <c r="E81" s="39">
        <v>0</v>
      </c>
      <c r="F81" s="39">
        <v>0</v>
      </c>
      <c r="G81" s="39"/>
      <c r="H81" s="39"/>
    </row>
    <row r="82" spans="1:12" x14ac:dyDescent="0.2">
      <c r="A82" s="38" t="s">
        <v>76</v>
      </c>
      <c r="B82" s="39">
        <v>18000</v>
      </c>
      <c r="C82" s="39">
        <v>36000</v>
      </c>
      <c r="D82" s="39">
        <v>36000</v>
      </c>
      <c r="E82" s="39">
        <v>0</v>
      </c>
      <c r="F82" s="39">
        <v>0</v>
      </c>
      <c r="G82" s="39"/>
      <c r="H82" s="39"/>
    </row>
    <row r="83" spans="1:12" s="11" customFormat="1" ht="15" x14ac:dyDescent="0.25">
      <c r="A83" s="11" t="s">
        <v>77</v>
      </c>
      <c r="B83" s="13">
        <f t="shared" ref="B83:C83" si="22">SUM(B84:B86)</f>
        <v>244000</v>
      </c>
      <c r="C83" s="13">
        <f t="shared" si="22"/>
        <v>223000</v>
      </c>
      <c r="D83" s="13">
        <f t="shared" ref="D83" si="23">SUM(D84:D86)</f>
        <v>178000</v>
      </c>
      <c r="E83" s="13">
        <f t="shared" ref="E83" si="24">SUM(E84:E86)</f>
        <v>178000</v>
      </c>
      <c r="F83" s="13">
        <f t="shared" ref="F83" si="25">SUM(F84:F86)</f>
        <v>178000</v>
      </c>
      <c r="G83" s="13"/>
      <c r="H83" s="13"/>
    </row>
    <row r="84" spans="1:12" x14ac:dyDescent="0.2">
      <c r="A84" s="38" t="s">
        <v>78</v>
      </c>
      <c r="B84" s="39">
        <v>80000</v>
      </c>
      <c r="C84" s="39">
        <v>10000</v>
      </c>
      <c r="D84" s="39">
        <v>10000</v>
      </c>
      <c r="E84" s="39">
        <v>10000</v>
      </c>
      <c r="F84" s="39">
        <v>10000</v>
      </c>
      <c r="G84" s="39"/>
      <c r="H84" s="39"/>
    </row>
    <row r="85" spans="1:12" x14ac:dyDescent="0.2">
      <c r="A85" s="38" t="s">
        <v>79</v>
      </c>
      <c r="B85" s="39">
        <v>100000</v>
      </c>
      <c r="C85" s="39">
        <v>85000</v>
      </c>
      <c r="D85" s="39">
        <v>40000</v>
      </c>
      <c r="E85" s="39">
        <v>40000</v>
      </c>
      <c r="F85" s="39">
        <v>40000</v>
      </c>
      <c r="G85" s="39"/>
      <c r="H85" s="39"/>
    </row>
    <row r="86" spans="1:12" x14ac:dyDescent="0.2">
      <c r="A86" s="38" t="s">
        <v>80</v>
      </c>
      <c r="B86" s="39">
        <v>64000</v>
      </c>
      <c r="C86" s="39">
        <v>128000</v>
      </c>
      <c r="D86" s="39">
        <v>128000</v>
      </c>
      <c r="E86" s="39">
        <v>128000</v>
      </c>
      <c r="F86" s="39">
        <v>128000</v>
      </c>
      <c r="G86" s="39"/>
      <c r="H86" s="39"/>
    </row>
    <row r="87" spans="1:12" s="11" customFormat="1" ht="15" x14ac:dyDescent="0.25">
      <c r="A87" s="11" t="s">
        <v>81</v>
      </c>
      <c r="B87" s="13">
        <f t="shared" ref="B87:C87" si="26">SUM(B88:B91)</f>
        <v>87000</v>
      </c>
      <c r="C87" s="13">
        <f t="shared" si="26"/>
        <v>67000</v>
      </c>
      <c r="D87" s="13">
        <f t="shared" ref="D87" si="27">SUM(D88:D91)</f>
        <v>67000</v>
      </c>
      <c r="E87" s="13">
        <f t="shared" ref="E87" si="28">SUM(E88:E91)</f>
        <v>67000</v>
      </c>
      <c r="F87" s="13">
        <f t="shared" ref="F87" si="29">SUM(F88:F91)</f>
        <v>67000</v>
      </c>
      <c r="G87" s="13"/>
      <c r="H87" s="13"/>
    </row>
    <row r="88" spans="1:12" x14ac:dyDescent="0.2">
      <c r="A88" s="38" t="s">
        <v>82</v>
      </c>
      <c r="B88" s="39">
        <v>20000</v>
      </c>
      <c r="C88" s="39">
        <v>10000</v>
      </c>
      <c r="D88" s="39">
        <v>10000</v>
      </c>
      <c r="E88" s="39">
        <v>10000</v>
      </c>
      <c r="F88" s="39">
        <v>10000</v>
      </c>
      <c r="G88" s="39"/>
      <c r="H88" s="39"/>
    </row>
    <row r="89" spans="1:12" x14ac:dyDescent="0.2">
      <c r="A89" s="38" t="s">
        <v>83</v>
      </c>
      <c r="B89" s="39">
        <v>12000</v>
      </c>
      <c r="C89" s="39">
        <v>12000</v>
      </c>
      <c r="D89" s="39">
        <v>12000</v>
      </c>
      <c r="E89" s="39">
        <v>12000</v>
      </c>
      <c r="F89" s="39">
        <v>12000</v>
      </c>
      <c r="G89" s="39"/>
      <c r="H89" s="39"/>
    </row>
    <row r="90" spans="1:12" x14ac:dyDescent="0.2">
      <c r="A90" s="38" t="s">
        <v>84</v>
      </c>
      <c r="B90" s="39">
        <v>30000</v>
      </c>
      <c r="C90" s="39">
        <v>20000</v>
      </c>
      <c r="D90" s="39">
        <v>20000</v>
      </c>
      <c r="E90" s="39">
        <v>20000</v>
      </c>
      <c r="F90" s="39">
        <v>20000</v>
      </c>
      <c r="G90" s="39"/>
      <c r="H90" s="39"/>
    </row>
    <row r="91" spans="1:12" x14ac:dyDescent="0.2">
      <c r="A91" s="38" t="s">
        <v>85</v>
      </c>
      <c r="B91" s="39">
        <v>25000</v>
      </c>
      <c r="C91" s="39">
        <v>25000</v>
      </c>
      <c r="D91" s="39">
        <v>25000</v>
      </c>
      <c r="E91" s="39">
        <v>25000</v>
      </c>
      <c r="F91" s="39">
        <v>25000</v>
      </c>
      <c r="G91" s="39"/>
      <c r="H91" s="39"/>
    </row>
    <row r="92" spans="1:12" s="11" customFormat="1" ht="15" x14ac:dyDescent="0.25">
      <c r="A92" s="11" t="s">
        <v>87</v>
      </c>
      <c r="B92" s="13">
        <v>24000</v>
      </c>
      <c r="C92" s="13">
        <v>24000</v>
      </c>
      <c r="D92" s="13">
        <v>24000</v>
      </c>
      <c r="E92" s="13">
        <v>24000</v>
      </c>
      <c r="F92" s="13">
        <v>24000</v>
      </c>
      <c r="G92" s="13"/>
      <c r="H92" s="13"/>
    </row>
    <row r="93" spans="1:12" s="11" customFormat="1" ht="15" x14ac:dyDescent="0.25">
      <c r="A93" s="11" t="s">
        <v>88</v>
      </c>
      <c r="B93" s="13">
        <v>3600</v>
      </c>
      <c r="C93" s="13">
        <v>7200</v>
      </c>
      <c r="D93" s="13">
        <v>12000</v>
      </c>
      <c r="E93" s="13">
        <v>12000</v>
      </c>
      <c r="F93" s="13">
        <v>12000</v>
      </c>
      <c r="G93" s="13"/>
      <c r="H93" s="13"/>
    </row>
    <row r="94" spans="1:12" x14ac:dyDescent="0.2">
      <c r="A94" s="38"/>
      <c r="B94" s="39"/>
      <c r="C94" s="39"/>
      <c r="D94" s="39"/>
      <c r="E94" s="39"/>
      <c r="F94" s="39"/>
      <c r="G94" s="39"/>
      <c r="H94" s="39"/>
    </row>
    <row r="95" spans="1:12" s="11" customFormat="1" ht="15" x14ac:dyDescent="0.25">
      <c r="A95" s="11" t="s">
        <v>86</v>
      </c>
      <c r="B95" s="13">
        <f t="shared" ref="B95:F95" si="30">+B78+B83+B87+B92+B93</f>
        <v>878520</v>
      </c>
      <c r="C95" s="13">
        <f t="shared" si="30"/>
        <v>407600</v>
      </c>
      <c r="D95" s="13">
        <f t="shared" si="30"/>
        <v>367400</v>
      </c>
      <c r="E95" s="13">
        <f t="shared" si="30"/>
        <v>331400</v>
      </c>
      <c r="F95" s="13">
        <f t="shared" si="30"/>
        <v>331400</v>
      </c>
      <c r="G95" s="13"/>
      <c r="H95" s="13"/>
    </row>
    <row r="96" spans="1:12" x14ac:dyDescent="0.2">
      <c r="B96" s="39"/>
      <c r="C96" s="39"/>
      <c r="D96" s="39"/>
      <c r="E96" s="39"/>
      <c r="F96" s="39"/>
      <c r="G96" s="39"/>
      <c r="H96" s="39"/>
      <c r="K96">
        <f>93+305+80</f>
        <v>478</v>
      </c>
      <c r="L96" t="s">
        <v>128</v>
      </c>
    </row>
    <row r="97" spans="1:8" ht="15" x14ac:dyDescent="0.25">
      <c r="A97" s="11" t="s">
        <v>92</v>
      </c>
      <c r="B97" s="39"/>
      <c r="C97" s="39"/>
      <c r="D97" s="39"/>
      <c r="E97" s="39"/>
      <c r="F97" s="39"/>
      <c r="G97" s="39"/>
      <c r="H97" s="39"/>
    </row>
    <row r="98" spans="1:8" x14ac:dyDescent="0.2">
      <c r="A98" s="86" t="s">
        <v>127</v>
      </c>
      <c r="B98" s="39"/>
      <c r="C98" s="39"/>
      <c r="D98" s="39"/>
      <c r="E98" s="39"/>
      <c r="F98" s="39"/>
      <c r="G98" s="39"/>
      <c r="H98" s="39"/>
    </row>
    <row r="99" spans="1:8" x14ac:dyDescent="0.2">
      <c r="A99" s="86"/>
      <c r="B99" s="39"/>
      <c r="C99" s="39"/>
      <c r="D99" s="39"/>
      <c r="E99" s="39"/>
      <c r="F99" s="39"/>
      <c r="G99" s="39"/>
      <c r="H99" s="39"/>
    </row>
    <row r="100" spans="1:8" x14ac:dyDescent="0.2">
      <c r="A100" s="86"/>
      <c r="B100" s="39"/>
      <c r="C100" s="39"/>
      <c r="D100" s="39"/>
      <c r="E100" s="39"/>
      <c r="F100" s="39"/>
      <c r="G100" s="39"/>
      <c r="H100" s="39"/>
    </row>
    <row r="101" spans="1:8" x14ac:dyDescent="0.2">
      <c r="B101" s="39"/>
      <c r="C101" s="39"/>
      <c r="D101" s="39"/>
      <c r="E101" s="39"/>
      <c r="F101" s="39"/>
      <c r="G101" s="39"/>
      <c r="H101" s="39"/>
    </row>
    <row r="102" spans="1:8" x14ac:dyDescent="0.2">
      <c r="B102" s="39"/>
      <c r="C102" s="39"/>
      <c r="D102" s="39"/>
      <c r="E102" s="39"/>
      <c r="F102" s="39"/>
      <c r="G102" s="39"/>
      <c r="H102" s="39"/>
    </row>
    <row r="103" spans="1:8" x14ac:dyDescent="0.2">
      <c r="B103" s="39"/>
      <c r="C103" s="39"/>
      <c r="D103" s="39"/>
      <c r="E103" s="39"/>
      <c r="F103" s="39"/>
      <c r="G103" s="39"/>
      <c r="H103" s="39"/>
    </row>
    <row r="104" spans="1:8" x14ac:dyDescent="0.2">
      <c r="B104" s="39"/>
      <c r="C104" s="39"/>
      <c r="D104" s="39"/>
      <c r="E104" s="39"/>
      <c r="F104" s="39"/>
      <c r="G104" s="39"/>
      <c r="H104" s="39"/>
    </row>
    <row r="105" spans="1:8" x14ac:dyDescent="0.2">
      <c r="B105" s="39"/>
      <c r="C105" s="39"/>
      <c r="D105" s="39"/>
      <c r="E105" s="39"/>
      <c r="F105" s="39"/>
      <c r="G105" s="39"/>
      <c r="H105" s="39"/>
    </row>
    <row r="106" spans="1:8" x14ac:dyDescent="0.2">
      <c r="B106" s="39"/>
      <c r="C106" s="39"/>
      <c r="D106" s="39"/>
      <c r="E106" s="39"/>
      <c r="F106" s="39"/>
      <c r="G106" s="39"/>
      <c r="H106" s="39"/>
    </row>
    <row r="107" spans="1:8" x14ac:dyDescent="0.2">
      <c r="B107" s="39"/>
      <c r="C107" s="39"/>
      <c r="D107" s="39"/>
      <c r="E107" s="39"/>
      <c r="F107" s="39"/>
      <c r="G107" s="39"/>
      <c r="H107" s="39"/>
    </row>
    <row r="108" spans="1:8" x14ac:dyDescent="0.2">
      <c r="B108" s="39"/>
      <c r="C108" s="39"/>
      <c r="D108" s="39"/>
      <c r="E108" s="39"/>
      <c r="F108" s="39"/>
      <c r="G108" s="39"/>
      <c r="H108" s="39"/>
    </row>
    <row r="109" spans="1:8" x14ac:dyDescent="0.2">
      <c r="B109" s="39"/>
      <c r="C109" s="39"/>
      <c r="D109" s="39"/>
      <c r="E109" s="39"/>
      <c r="F109" s="39"/>
      <c r="G109" s="39"/>
      <c r="H109" s="39"/>
    </row>
    <row r="110" spans="1:8" x14ac:dyDescent="0.2">
      <c r="B110" s="39"/>
      <c r="C110" s="39"/>
      <c r="D110" s="39"/>
      <c r="E110" s="39"/>
      <c r="F110" s="39"/>
      <c r="G110" s="39"/>
      <c r="H110" s="39"/>
    </row>
    <row r="111" spans="1:8" x14ac:dyDescent="0.2">
      <c r="B111" s="39"/>
      <c r="C111" s="39"/>
      <c r="D111" s="39"/>
      <c r="E111" s="39"/>
      <c r="F111" s="39"/>
      <c r="G111" s="39"/>
      <c r="H111" s="39"/>
    </row>
    <row r="112" spans="1:8" x14ac:dyDescent="0.2">
      <c r="B112" s="39"/>
      <c r="C112" s="39"/>
      <c r="D112" s="39"/>
      <c r="E112" s="39"/>
      <c r="F112" s="39"/>
      <c r="G112" s="39"/>
      <c r="H112" s="39"/>
    </row>
    <row r="113" spans="2:8" x14ac:dyDescent="0.2">
      <c r="B113" s="39"/>
      <c r="C113" s="39"/>
      <c r="D113" s="39"/>
      <c r="E113" s="39"/>
      <c r="F113" s="39"/>
      <c r="G113" s="39"/>
      <c r="H113" s="39"/>
    </row>
    <row r="114" spans="2:8" x14ac:dyDescent="0.2">
      <c r="B114" s="39"/>
      <c r="C114" s="39"/>
      <c r="D114" s="39"/>
      <c r="E114" s="39"/>
      <c r="F114" s="39"/>
      <c r="G114" s="39"/>
      <c r="H114" s="39"/>
    </row>
    <row r="115" spans="2:8" x14ac:dyDescent="0.2">
      <c r="B115" s="39"/>
      <c r="C115" s="39"/>
      <c r="D115" s="39"/>
      <c r="E115" s="39"/>
      <c r="F115" s="39"/>
      <c r="G115" s="39"/>
      <c r="H115" s="39"/>
    </row>
    <row r="116" spans="2:8" x14ac:dyDescent="0.2">
      <c r="B116" s="39"/>
      <c r="C116" s="39"/>
      <c r="D116" s="39"/>
      <c r="E116" s="39"/>
      <c r="F116" s="39"/>
      <c r="G116" s="39"/>
      <c r="H116" s="39"/>
    </row>
    <row r="117" spans="2:8" x14ac:dyDescent="0.2">
      <c r="B117" s="39"/>
      <c r="C117" s="39"/>
      <c r="D117" s="39"/>
      <c r="E117" s="39"/>
      <c r="F117" s="39"/>
      <c r="G117" s="39"/>
      <c r="H117" s="39"/>
    </row>
    <row r="118" spans="2:8" x14ac:dyDescent="0.2">
      <c r="B118" s="39"/>
      <c r="C118" s="39"/>
      <c r="D118" s="39"/>
      <c r="E118" s="39"/>
      <c r="F118" s="39"/>
      <c r="G118" s="39"/>
      <c r="H118" s="39"/>
    </row>
    <row r="119" spans="2:8" x14ac:dyDescent="0.2">
      <c r="B119" s="39"/>
      <c r="C119" s="39"/>
      <c r="D119" s="39"/>
      <c r="E119" s="39"/>
      <c r="F119" s="39"/>
      <c r="G119" s="39"/>
      <c r="H119" s="39"/>
    </row>
    <row r="120" spans="2:8" x14ac:dyDescent="0.2">
      <c r="B120" s="39"/>
      <c r="C120" s="39"/>
      <c r="D120" s="39"/>
      <c r="E120" s="39"/>
      <c r="F120" s="39"/>
      <c r="G120" s="39"/>
      <c r="H120" s="39"/>
    </row>
    <row r="121" spans="2:8" x14ac:dyDescent="0.2">
      <c r="B121" s="39"/>
      <c r="C121" s="39"/>
      <c r="D121" s="39"/>
      <c r="E121" s="39"/>
      <c r="F121" s="39"/>
      <c r="G121" s="39"/>
      <c r="H121" s="39"/>
    </row>
    <row r="122" spans="2:8" x14ac:dyDescent="0.2">
      <c r="B122" s="39"/>
      <c r="C122" s="39"/>
      <c r="D122" s="39"/>
      <c r="E122" s="39"/>
      <c r="F122" s="39"/>
      <c r="G122" s="39"/>
      <c r="H122" s="39"/>
    </row>
    <row r="123" spans="2:8" x14ac:dyDescent="0.2">
      <c r="B123" s="39"/>
      <c r="C123" s="39"/>
      <c r="D123" s="39"/>
      <c r="E123" s="39"/>
      <c r="F123" s="39"/>
      <c r="G123" s="39"/>
      <c r="H123" s="39"/>
    </row>
    <row r="124" spans="2:8" x14ac:dyDescent="0.2">
      <c r="B124" s="39"/>
      <c r="C124" s="39"/>
      <c r="D124" s="39"/>
      <c r="E124" s="39"/>
      <c r="F124" s="39"/>
      <c r="G124" s="39"/>
      <c r="H124" s="39"/>
    </row>
    <row r="125" spans="2:8" x14ac:dyDescent="0.2">
      <c r="B125" s="39"/>
      <c r="C125" s="39"/>
      <c r="D125" s="39"/>
      <c r="E125" s="39"/>
      <c r="F125" s="39"/>
      <c r="G125" s="39"/>
      <c r="H125" s="39"/>
    </row>
    <row r="126" spans="2:8" x14ac:dyDescent="0.2">
      <c r="B126" s="39"/>
      <c r="C126" s="39"/>
      <c r="D126" s="39"/>
      <c r="E126" s="39"/>
      <c r="F126" s="39"/>
      <c r="G126" s="39"/>
      <c r="H126" s="39"/>
    </row>
    <row r="127" spans="2:8" x14ac:dyDescent="0.2">
      <c r="B127" s="39"/>
      <c r="C127" s="39"/>
      <c r="D127" s="39"/>
      <c r="E127" s="39"/>
      <c r="F127" s="39"/>
      <c r="G127" s="39"/>
      <c r="H127" s="39"/>
    </row>
    <row r="128" spans="2:8" x14ac:dyDescent="0.2">
      <c r="B128" s="39"/>
      <c r="C128" s="39"/>
      <c r="D128" s="39"/>
      <c r="E128" s="39"/>
      <c r="F128" s="39"/>
      <c r="G128" s="39"/>
      <c r="H128" s="39"/>
    </row>
    <row r="129" spans="2:8" x14ac:dyDescent="0.2">
      <c r="B129" s="39"/>
      <c r="C129" s="39"/>
      <c r="D129" s="39"/>
      <c r="E129" s="39"/>
      <c r="F129" s="39"/>
      <c r="G129" s="39"/>
      <c r="H129" s="39"/>
    </row>
    <row r="130" spans="2:8" x14ac:dyDescent="0.2">
      <c r="B130" s="39"/>
      <c r="C130" s="39"/>
      <c r="D130" s="39"/>
      <c r="E130" s="39"/>
      <c r="F130" s="39"/>
      <c r="G130" s="39"/>
      <c r="H130" s="39"/>
    </row>
    <row r="131" spans="2:8" x14ac:dyDescent="0.2">
      <c r="B131" s="39"/>
      <c r="C131" s="39"/>
      <c r="D131" s="39"/>
      <c r="E131" s="39"/>
      <c r="F131" s="39"/>
      <c r="G131" s="39"/>
      <c r="H131" s="39"/>
    </row>
    <row r="132" spans="2:8" x14ac:dyDescent="0.2">
      <c r="B132" s="39"/>
      <c r="C132" s="39"/>
      <c r="D132" s="39"/>
      <c r="E132" s="39"/>
      <c r="F132" s="39"/>
      <c r="G132" s="39"/>
      <c r="H132" s="39"/>
    </row>
    <row r="133" spans="2:8" x14ac:dyDescent="0.2">
      <c r="B133" s="39"/>
      <c r="C133" s="39"/>
      <c r="D133" s="39"/>
      <c r="E133" s="39"/>
      <c r="F133" s="39"/>
      <c r="G133" s="39"/>
      <c r="H133" s="39"/>
    </row>
    <row r="134" spans="2:8" x14ac:dyDescent="0.2">
      <c r="B134" s="39"/>
      <c r="C134" s="39"/>
      <c r="D134" s="39"/>
      <c r="E134" s="39"/>
      <c r="F134" s="39"/>
      <c r="G134" s="39"/>
      <c r="H134" s="39"/>
    </row>
    <row r="135" spans="2:8" x14ac:dyDescent="0.2">
      <c r="B135" s="39"/>
      <c r="C135" s="39"/>
      <c r="D135" s="39"/>
      <c r="E135" s="39"/>
      <c r="F135" s="39"/>
      <c r="G135" s="39"/>
      <c r="H135" s="39"/>
    </row>
    <row r="136" spans="2:8" x14ac:dyDescent="0.2">
      <c r="B136" s="39"/>
      <c r="C136" s="39"/>
      <c r="D136" s="39"/>
      <c r="E136" s="39"/>
      <c r="F136" s="39"/>
      <c r="G136" s="39"/>
      <c r="H136" s="39"/>
    </row>
    <row r="137" spans="2:8" x14ac:dyDescent="0.2">
      <c r="B137" s="39"/>
      <c r="C137" s="39"/>
      <c r="D137" s="39"/>
      <c r="E137" s="39"/>
      <c r="F137" s="39"/>
      <c r="G137" s="39"/>
      <c r="H137" s="39"/>
    </row>
    <row r="138" spans="2:8" x14ac:dyDescent="0.2">
      <c r="B138" s="39"/>
      <c r="C138" s="39"/>
      <c r="D138" s="39"/>
      <c r="E138" s="39"/>
      <c r="F138" s="39"/>
      <c r="G138" s="39"/>
      <c r="H138" s="39"/>
    </row>
    <row r="139" spans="2:8" x14ac:dyDescent="0.2">
      <c r="B139" s="39"/>
      <c r="C139" s="39"/>
      <c r="D139" s="39"/>
      <c r="E139" s="39"/>
      <c r="F139" s="39"/>
      <c r="G139" s="39"/>
      <c r="H139" s="39"/>
    </row>
    <row r="140" spans="2:8" x14ac:dyDescent="0.2">
      <c r="B140" s="39"/>
      <c r="C140" s="39"/>
      <c r="D140" s="39"/>
      <c r="E140" s="39"/>
      <c r="F140" s="39"/>
      <c r="G140" s="39"/>
      <c r="H140" s="39"/>
    </row>
    <row r="141" spans="2:8" x14ac:dyDescent="0.2">
      <c r="B141" s="39"/>
      <c r="C141" s="39"/>
      <c r="D141" s="39"/>
      <c r="E141" s="39"/>
      <c r="F141" s="39"/>
      <c r="G141" s="39"/>
      <c r="H141" s="39"/>
    </row>
    <row r="142" spans="2:8" x14ac:dyDescent="0.2">
      <c r="B142" s="39"/>
      <c r="C142" s="39"/>
      <c r="D142" s="39"/>
      <c r="E142" s="39"/>
      <c r="F142" s="39"/>
      <c r="G142" s="39"/>
      <c r="H142" s="39"/>
    </row>
    <row r="143" spans="2:8" x14ac:dyDescent="0.2">
      <c r="B143" s="39"/>
      <c r="C143" s="39"/>
      <c r="D143" s="39"/>
      <c r="E143" s="39"/>
      <c r="F143" s="39"/>
      <c r="G143" s="39"/>
      <c r="H143" s="39"/>
    </row>
    <row r="144" spans="2:8" x14ac:dyDescent="0.2">
      <c r="B144" s="39"/>
      <c r="C144" s="39"/>
      <c r="D144" s="39"/>
      <c r="E144" s="39"/>
      <c r="F144" s="39"/>
      <c r="G144" s="39"/>
      <c r="H144" s="39"/>
    </row>
    <row r="145" spans="2:8" x14ac:dyDescent="0.2">
      <c r="B145" s="39"/>
      <c r="C145" s="39"/>
      <c r="D145" s="39"/>
      <c r="E145" s="39"/>
      <c r="F145" s="39"/>
      <c r="G145" s="39"/>
      <c r="H145" s="39"/>
    </row>
    <row r="146" spans="2:8" x14ac:dyDescent="0.2">
      <c r="B146" s="39"/>
      <c r="C146" s="39"/>
      <c r="D146" s="39"/>
      <c r="E146" s="39"/>
      <c r="F146" s="39"/>
      <c r="G146" s="39"/>
      <c r="H146" s="39"/>
    </row>
    <row r="147" spans="2:8" x14ac:dyDescent="0.2">
      <c r="B147" s="39"/>
      <c r="C147" s="39"/>
      <c r="D147" s="39"/>
      <c r="E147" s="39"/>
      <c r="F147" s="39"/>
      <c r="G147" s="39"/>
      <c r="H147" s="39"/>
    </row>
    <row r="148" spans="2:8" x14ac:dyDescent="0.2">
      <c r="B148" s="39"/>
      <c r="C148" s="39"/>
      <c r="D148" s="39"/>
      <c r="E148" s="39"/>
      <c r="F148" s="39"/>
      <c r="G148" s="39"/>
      <c r="H148" s="39"/>
    </row>
    <row r="149" spans="2:8" x14ac:dyDescent="0.2">
      <c r="B149" s="39"/>
      <c r="C149" s="39"/>
      <c r="D149" s="39"/>
      <c r="E149" s="39"/>
      <c r="F149" s="39"/>
      <c r="G149" s="39"/>
      <c r="H149" s="39"/>
    </row>
    <row r="150" spans="2:8" x14ac:dyDescent="0.2">
      <c r="B150" s="39"/>
      <c r="C150" s="39"/>
      <c r="D150" s="39"/>
      <c r="E150" s="39"/>
      <c r="F150" s="39"/>
      <c r="G150" s="39"/>
      <c r="H150" s="39"/>
    </row>
    <row r="151" spans="2:8" x14ac:dyDescent="0.2">
      <c r="B151" s="39"/>
      <c r="C151" s="39"/>
      <c r="D151" s="39"/>
      <c r="E151" s="39"/>
      <c r="F151" s="39"/>
      <c r="G151" s="39"/>
      <c r="H151" s="39"/>
    </row>
    <row r="152" spans="2:8" x14ac:dyDescent="0.2">
      <c r="B152" s="39"/>
      <c r="C152" s="39"/>
      <c r="D152" s="39"/>
      <c r="E152" s="39"/>
      <c r="F152" s="39"/>
      <c r="G152" s="39"/>
      <c r="H152" s="39"/>
    </row>
    <row r="153" spans="2:8" x14ac:dyDescent="0.2">
      <c r="B153" s="39"/>
      <c r="C153" s="39"/>
      <c r="D153" s="39"/>
      <c r="E153" s="39"/>
      <c r="F153" s="39"/>
      <c r="G153" s="39"/>
      <c r="H153" s="39"/>
    </row>
    <row r="154" spans="2:8" x14ac:dyDescent="0.2">
      <c r="B154" s="39"/>
      <c r="C154" s="39"/>
      <c r="D154" s="39"/>
      <c r="E154" s="39"/>
      <c r="F154" s="39"/>
      <c r="G154" s="39"/>
      <c r="H154" s="39"/>
    </row>
    <row r="155" spans="2:8" x14ac:dyDescent="0.2">
      <c r="B155" s="39"/>
      <c r="C155" s="39"/>
      <c r="D155" s="39"/>
      <c r="E155" s="39"/>
      <c r="F155" s="39"/>
      <c r="G155" s="39"/>
      <c r="H155" s="39"/>
    </row>
    <row r="156" spans="2:8" x14ac:dyDescent="0.2">
      <c r="B156" s="39"/>
      <c r="C156" s="39"/>
      <c r="D156" s="39"/>
      <c r="E156" s="39"/>
      <c r="F156" s="39"/>
      <c r="G156" s="39"/>
      <c r="H156" s="39"/>
    </row>
    <row r="157" spans="2:8" x14ac:dyDescent="0.2">
      <c r="B157" s="39"/>
      <c r="C157" s="39"/>
      <c r="D157" s="39"/>
      <c r="E157" s="39"/>
      <c r="F157" s="39"/>
      <c r="G157" s="39"/>
      <c r="H157" s="39"/>
    </row>
    <row r="158" spans="2:8" x14ac:dyDescent="0.2">
      <c r="B158" s="39"/>
      <c r="C158" s="39"/>
      <c r="D158" s="39"/>
      <c r="E158" s="39"/>
      <c r="F158" s="39"/>
      <c r="G158" s="39"/>
      <c r="H158" s="39"/>
    </row>
    <row r="159" spans="2:8" x14ac:dyDescent="0.2">
      <c r="B159" s="39"/>
      <c r="C159" s="39"/>
      <c r="D159" s="39"/>
      <c r="E159" s="39"/>
      <c r="F159" s="39"/>
      <c r="G159" s="39"/>
      <c r="H159" s="39"/>
    </row>
    <row r="160" spans="2:8" x14ac:dyDescent="0.2">
      <c r="B160" s="39"/>
      <c r="C160" s="39"/>
      <c r="D160" s="39"/>
      <c r="E160" s="39"/>
      <c r="F160" s="39"/>
      <c r="G160" s="39"/>
      <c r="H160" s="39"/>
    </row>
    <row r="161" spans="2:8" x14ac:dyDescent="0.2">
      <c r="B161" s="39"/>
      <c r="C161" s="39"/>
      <c r="D161" s="39"/>
      <c r="E161" s="39"/>
      <c r="F161" s="39"/>
      <c r="G161" s="39"/>
      <c r="H161" s="39"/>
    </row>
    <row r="162" spans="2:8" x14ac:dyDescent="0.2">
      <c r="B162" s="39"/>
      <c r="C162" s="39"/>
      <c r="D162" s="39"/>
      <c r="E162" s="39"/>
      <c r="F162" s="39"/>
      <c r="G162" s="39"/>
      <c r="H162" s="39"/>
    </row>
    <row r="163" spans="2:8" x14ac:dyDescent="0.2">
      <c r="B163" s="39"/>
      <c r="C163" s="39"/>
      <c r="D163" s="39"/>
      <c r="E163" s="39"/>
      <c r="F163" s="39"/>
      <c r="G163" s="39"/>
      <c r="H163" s="39"/>
    </row>
    <row r="164" spans="2:8" x14ac:dyDescent="0.2">
      <c r="B164" s="39"/>
      <c r="C164" s="39"/>
      <c r="D164" s="39"/>
      <c r="E164" s="39"/>
      <c r="F164" s="39"/>
      <c r="G164" s="39"/>
      <c r="H164" s="39"/>
    </row>
    <row r="165" spans="2:8" x14ac:dyDescent="0.2">
      <c r="B165" s="39"/>
      <c r="C165" s="39"/>
      <c r="D165" s="39"/>
      <c r="E165" s="39"/>
      <c r="F165" s="39"/>
      <c r="G165" s="39"/>
      <c r="H165" s="39"/>
    </row>
    <row r="166" spans="2:8" x14ac:dyDescent="0.2">
      <c r="B166" s="39"/>
      <c r="C166" s="39"/>
      <c r="D166" s="39"/>
      <c r="E166" s="39"/>
      <c r="F166" s="39"/>
      <c r="G166" s="39"/>
      <c r="H166" s="39"/>
    </row>
    <row r="167" spans="2:8" x14ac:dyDescent="0.2">
      <c r="B167" s="39"/>
      <c r="C167" s="39"/>
      <c r="D167" s="39"/>
      <c r="E167" s="39"/>
      <c r="F167" s="39"/>
      <c r="G167" s="39"/>
      <c r="H167" s="39"/>
    </row>
    <row r="168" spans="2:8" x14ac:dyDescent="0.2">
      <c r="B168" s="39"/>
      <c r="C168" s="39"/>
      <c r="D168" s="39"/>
      <c r="E168" s="39"/>
      <c r="F168" s="39"/>
      <c r="G168" s="39"/>
      <c r="H168" s="39"/>
    </row>
    <row r="169" spans="2:8" x14ac:dyDescent="0.2">
      <c r="B169" s="39"/>
      <c r="C169" s="39"/>
      <c r="D169" s="39"/>
      <c r="E169" s="39"/>
      <c r="F169" s="39"/>
      <c r="G169" s="39"/>
      <c r="H169" s="39"/>
    </row>
    <row r="170" spans="2:8" x14ac:dyDescent="0.2">
      <c r="B170" s="39"/>
      <c r="C170" s="39"/>
      <c r="D170" s="39"/>
      <c r="E170" s="39"/>
      <c r="F170" s="39"/>
      <c r="G170" s="39"/>
      <c r="H170" s="39"/>
    </row>
    <row r="171" spans="2:8" x14ac:dyDescent="0.2">
      <c r="B171" s="39"/>
      <c r="C171" s="39"/>
      <c r="D171" s="39"/>
      <c r="E171" s="39"/>
      <c r="F171" s="39"/>
      <c r="G171" s="39"/>
      <c r="H171" s="39"/>
    </row>
    <row r="172" spans="2:8" x14ac:dyDescent="0.2">
      <c r="B172" s="39"/>
      <c r="C172" s="39"/>
      <c r="D172" s="39"/>
      <c r="E172" s="39"/>
      <c r="F172" s="39"/>
      <c r="G172" s="39"/>
      <c r="H172" s="39"/>
    </row>
    <row r="173" spans="2:8" x14ac:dyDescent="0.2">
      <c r="B173" s="39"/>
      <c r="C173" s="39"/>
      <c r="D173" s="39"/>
      <c r="E173" s="39"/>
      <c r="F173" s="39"/>
      <c r="G173" s="39"/>
      <c r="H173" s="39"/>
    </row>
    <row r="174" spans="2:8" x14ac:dyDescent="0.2">
      <c r="B174" s="39"/>
      <c r="C174" s="39"/>
      <c r="D174" s="39"/>
      <c r="E174" s="39"/>
      <c r="F174" s="39"/>
      <c r="G174" s="39"/>
      <c r="H174" s="39"/>
    </row>
    <row r="175" spans="2:8" x14ac:dyDescent="0.2">
      <c r="B175" s="39"/>
      <c r="C175" s="39"/>
      <c r="D175" s="39"/>
      <c r="E175" s="39"/>
      <c r="F175" s="39"/>
      <c r="G175" s="39"/>
      <c r="H175" s="39"/>
    </row>
    <row r="176" spans="2:8" x14ac:dyDescent="0.2">
      <c r="B176" s="39"/>
      <c r="C176" s="39"/>
      <c r="D176" s="39"/>
      <c r="E176" s="39"/>
      <c r="F176" s="39"/>
      <c r="G176" s="39"/>
      <c r="H176" s="39"/>
    </row>
    <row r="177" spans="2:8" x14ac:dyDescent="0.2">
      <c r="B177" s="39"/>
      <c r="C177" s="39"/>
      <c r="D177" s="39"/>
      <c r="E177" s="39"/>
      <c r="F177" s="39"/>
      <c r="G177" s="39"/>
      <c r="H177" s="39"/>
    </row>
    <row r="178" spans="2:8" x14ac:dyDescent="0.2">
      <c r="B178" s="39"/>
      <c r="C178" s="39"/>
      <c r="D178" s="39"/>
      <c r="E178" s="39"/>
      <c r="F178" s="39"/>
      <c r="G178" s="39"/>
      <c r="H178" s="39"/>
    </row>
    <row r="179" spans="2:8" x14ac:dyDescent="0.2">
      <c r="B179" s="39"/>
      <c r="C179" s="39"/>
      <c r="D179" s="39"/>
      <c r="E179" s="39"/>
      <c r="F179" s="39"/>
      <c r="G179" s="39"/>
      <c r="H179" s="39"/>
    </row>
    <row r="180" spans="2:8" x14ac:dyDescent="0.2">
      <c r="B180" s="39"/>
      <c r="C180" s="39"/>
      <c r="D180" s="39"/>
      <c r="E180" s="39"/>
      <c r="F180" s="39"/>
      <c r="G180" s="39"/>
      <c r="H180" s="39"/>
    </row>
    <row r="181" spans="2:8" x14ac:dyDescent="0.2">
      <c r="B181" s="39"/>
      <c r="C181" s="39"/>
      <c r="D181" s="39"/>
      <c r="E181" s="39"/>
      <c r="F181" s="39"/>
      <c r="G181" s="39"/>
      <c r="H181" s="39"/>
    </row>
    <row r="182" spans="2:8" x14ac:dyDescent="0.2">
      <c r="B182" s="39"/>
      <c r="C182" s="39"/>
      <c r="D182" s="39"/>
      <c r="E182" s="39"/>
      <c r="F182" s="39"/>
      <c r="G182" s="39"/>
      <c r="H182" s="39"/>
    </row>
    <row r="183" spans="2:8" x14ac:dyDescent="0.2">
      <c r="B183" s="39"/>
      <c r="C183" s="39"/>
      <c r="D183" s="39"/>
      <c r="E183" s="39"/>
      <c r="F183" s="39"/>
      <c r="G183" s="39"/>
      <c r="H183" s="39"/>
    </row>
    <row r="184" spans="2:8" x14ac:dyDescent="0.2">
      <c r="B184" s="39"/>
      <c r="C184" s="39"/>
      <c r="D184" s="39"/>
      <c r="E184" s="39"/>
      <c r="F184" s="39"/>
      <c r="G184" s="39"/>
      <c r="H184" s="39"/>
    </row>
    <row r="185" spans="2:8" x14ac:dyDescent="0.2">
      <c r="B185" s="39"/>
      <c r="C185" s="39"/>
      <c r="D185" s="39"/>
      <c r="E185" s="39"/>
      <c r="F185" s="39"/>
      <c r="G185" s="39"/>
      <c r="H185" s="39"/>
    </row>
    <row r="186" spans="2:8" x14ac:dyDescent="0.2">
      <c r="B186" s="39"/>
      <c r="C186" s="39"/>
      <c r="D186" s="39"/>
      <c r="E186" s="39"/>
      <c r="F186" s="39"/>
      <c r="G186" s="39"/>
      <c r="H186" s="39"/>
    </row>
    <row r="187" spans="2:8" x14ac:dyDescent="0.2">
      <c r="B187" s="39"/>
      <c r="C187" s="39"/>
      <c r="D187" s="39"/>
      <c r="E187" s="39"/>
      <c r="F187" s="39"/>
      <c r="G187" s="39"/>
      <c r="H187" s="39"/>
    </row>
    <row r="188" spans="2:8" x14ac:dyDescent="0.2">
      <c r="B188" s="39"/>
      <c r="C188" s="39"/>
      <c r="D188" s="39"/>
      <c r="E188" s="39"/>
      <c r="F188" s="39"/>
      <c r="G188" s="39"/>
      <c r="H188" s="39"/>
    </row>
    <row r="189" spans="2:8" x14ac:dyDescent="0.2">
      <c r="B189" s="39"/>
      <c r="C189" s="39"/>
      <c r="D189" s="39"/>
      <c r="E189" s="39"/>
      <c r="F189" s="39"/>
      <c r="G189" s="39"/>
      <c r="H189" s="39"/>
    </row>
    <row r="190" spans="2:8" x14ac:dyDescent="0.2">
      <c r="B190" s="39"/>
      <c r="C190" s="39"/>
      <c r="D190" s="39"/>
      <c r="E190" s="39"/>
      <c r="F190" s="39"/>
      <c r="G190" s="39"/>
      <c r="H190" s="39"/>
    </row>
    <row r="191" spans="2:8" x14ac:dyDescent="0.2">
      <c r="B191" s="39"/>
      <c r="C191" s="39"/>
      <c r="D191" s="39"/>
      <c r="E191" s="39"/>
      <c r="F191" s="39"/>
      <c r="G191" s="39"/>
      <c r="H191" s="39"/>
    </row>
    <row r="192" spans="2:8" x14ac:dyDescent="0.2">
      <c r="B192" s="39"/>
      <c r="C192" s="39"/>
      <c r="D192" s="39"/>
      <c r="E192" s="39"/>
      <c r="F192" s="39"/>
      <c r="G192" s="39"/>
      <c r="H192" s="39"/>
    </row>
    <row r="193" spans="2:8" x14ac:dyDescent="0.2">
      <c r="B193" s="39"/>
      <c r="C193" s="39"/>
      <c r="D193" s="39"/>
      <c r="E193" s="39"/>
      <c r="F193" s="39"/>
      <c r="G193" s="39"/>
      <c r="H193" s="39"/>
    </row>
    <row r="194" spans="2:8" x14ac:dyDescent="0.2">
      <c r="B194" s="39"/>
      <c r="C194" s="39"/>
      <c r="D194" s="39"/>
      <c r="E194" s="39"/>
      <c r="F194" s="39"/>
      <c r="G194" s="39"/>
      <c r="H194" s="39"/>
    </row>
    <row r="195" spans="2:8" x14ac:dyDescent="0.2">
      <c r="B195" s="39"/>
      <c r="C195" s="39"/>
      <c r="D195" s="39"/>
      <c r="E195" s="39"/>
      <c r="F195" s="39"/>
      <c r="G195" s="39"/>
      <c r="H195" s="39"/>
    </row>
    <row r="196" spans="2:8" x14ac:dyDescent="0.2">
      <c r="B196" s="39"/>
      <c r="C196" s="39"/>
      <c r="D196" s="39"/>
      <c r="E196" s="39"/>
      <c r="F196" s="39"/>
      <c r="G196" s="39"/>
      <c r="H196" s="39"/>
    </row>
    <row r="197" spans="2:8" x14ac:dyDescent="0.2">
      <c r="B197" s="39"/>
      <c r="C197" s="39"/>
      <c r="D197" s="39"/>
      <c r="E197" s="39"/>
      <c r="F197" s="39"/>
      <c r="G197" s="39"/>
      <c r="H197" s="39"/>
    </row>
    <row r="198" spans="2:8" x14ac:dyDescent="0.2">
      <c r="B198" s="39"/>
      <c r="C198" s="39"/>
      <c r="D198" s="39"/>
      <c r="E198" s="39"/>
      <c r="F198" s="39"/>
      <c r="G198" s="39"/>
      <c r="H198" s="39"/>
    </row>
    <row r="199" spans="2:8" x14ac:dyDescent="0.2">
      <c r="B199" s="39"/>
      <c r="C199" s="39"/>
      <c r="D199" s="39"/>
      <c r="E199" s="39"/>
      <c r="F199" s="39"/>
      <c r="G199" s="39"/>
      <c r="H199" s="39"/>
    </row>
    <row r="200" spans="2:8" x14ac:dyDescent="0.2">
      <c r="B200" s="39"/>
      <c r="C200" s="39"/>
      <c r="D200" s="39"/>
      <c r="E200" s="39"/>
      <c r="F200" s="39"/>
      <c r="G200" s="39"/>
      <c r="H200" s="39"/>
    </row>
    <row r="201" spans="2:8" x14ac:dyDescent="0.2">
      <c r="B201" s="39"/>
      <c r="C201" s="39"/>
      <c r="D201" s="39"/>
      <c r="E201" s="39"/>
      <c r="F201" s="39"/>
      <c r="G201" s="39"/>
      <c r="H201" s="39"/>
    </row>
    <row r="202" spans="2:8" x14ac:dyDescent="0.2">
      <c r="B202" s="39"/>
      <c r="C202" s="39"/>
      <c r="D202" s="39"/>
      <c r="E202" s="39"/>
      <c r="F202" s="39"/>
      <c r="G202" s="39"/>
      <c r="H202" s="39"/>
    </row>
    <row r="203" spans="2:8" x14ac:dyDescent="0.2">
      <c r="B203" s="39"/>
      <c r="C203" s="39"/>
      <c r="D203" s="39"/>
      <c r="E203" s="39"/>
      <c r="F203" s="39"/>
      <c r="G203" s="39"/>
      <c r="H203" s="39"/>
    </row>
    <row r="204" spans="2:8" x14ac:dyDescent="0.2">
      <c r="B204" s="39"/>
      <c r="C204" s="39"/>
      <c r="D204" s="39"/>
      <c r="E204" s="39"/>
      <c r="F204" s="39"/>
      <c r="G204" s="39"/>
      <c r="H204" s="39"/>
    </row>
    <row r="205" spans="2:8" x14ac:dyDescent="0.2">
      <c r="B205" s="39"/>
      <c r="C205" s="39"/>
      <c r="D205" s="39"/>
      <c r="E205" s="39"/>
      <c r="F205" s="39"/>
      <c r="G205" s="39"/>
      <c r="H205" s="39"/>
    </row>
    <row r="206" spans="2:8" x14ac:dyDescent="0.2">
      <c r="B206" s="39"/>
      <c r="C206" s="39"/>
      <c r="D206" s="39"/>
      <c r="E206" s="39"/>
      <c r="F206" s="39"/>
      <c r="G206" s="39"/>
      <c r="H206" s="39"/>
    </row>
    <row r="207" spans="2:8" x14ac:dyDescent="0.2">
      <c r="B207" s="39"/>
      <c r="C207" s="39"/>
      <c r="D207" s="39"/>
      <c r="E207" s="39"/>
      <c r="F207" s="39"/>
      <c r="G207" s="39"/>
      <c r="H207" s="39"/>
    </row>
    <row r="208" spans="2:8" x14ac:dyDescent="0.2">
      <c r="B208" s="39"/>
      <c r="C208" s="39"/>
      <c r="D208" s="39"/>
      <c r="E208" s="39"/>
      <c r="F208" s="39"/>
      <c r="G208" s="39"/>
      <c r="H208" s="39"/>
    </row>
    <row r="209" spans="2:8" x14ac:dyDescent="0.2">
      <c r="B209" s="39"/>
      <c r="C209" s="39"/>
      <c r="D209" s="39"/>
      <c r="E209" s="39"/>
      <c r="F209" s="39"/>
      <c r="G209" s="39"/>
      <c r="H209" s="39"/>
    </row>
    <row r="210" spans="2:8" x14ac:dyDescent="0.2">
      <c r="B210" s="39"/>
      <c r="C210" s="39"/>
      <c r="D210" s="39"/>
      <c r="E210" s="39"/>
      <c r="F210" s="39"/>
      <c r="G210" s="39"/>
      <c r="H210" s="39"/>
    </row>
    <row r="211" spans="2:8" x14ac:dyDescent="0.2">
      <c r="B211" s="39"/>
      <c r="C211" s="39"/>
      <c r="D211" s="39"/>
      <c r="E211" s="39"/>
      <c r="F211" s="39"/>
      <c r="G211" s="39"/>
      <c r="H211" s="39"/>
    </row>
    <row r="212" spans="2:8" x14ac:dyDescent="0.2">
      <c r="B212" s="39"/>
      <c r="C212" s="39"/>
      <c r="D212" s="39"/>
      <c r="E212" s="39"/>
      <c r="F212" s="39"/>
      <c r="G212" s="39"/>
      <c r="H212" s="39"/>
    </row>
    <row r="213" spans="2:8" x14ac:dyDescent="0.2">
      <c r="B213" s="39"/>
      <c r="C213" s="39"/>
      <c r="D213" s="39"/>
      <c r="E213" s="39"/>
      <c r="F213" s="39"/>
      <c r="G213" s="39"/>
      <c r="H213" s="39"/>
    </row>
    <row r="214" spans="2:8" x14ac:dyDescent="0.2">
      <c r="B214" s="39"/>
      <c r="C214" s="39"/>
      <c r="D214" s="39"/>
      <c r="E214" s="39"/>
      <c r="F214" s="39"/>
      <c r="G214" s="39"/>
      <c r="H214" s="39"/>
    </row>
    <row r="215" spans="2:8" x14ac:dyDescent="0.2">
      <c r="B215" s="39"/>
      <c r="C215" s="39"/>
      <c r="D215" s="39"/>
      <c r="E215" s="39"/>
      <c r="F215" s="39"/>
      <c r="G215" s="39"/>
      <c r="H215" s="39"/>
    </row>
    <row r="216" spans="2:8" x14ac:dyDescent="0.2">
      <c r="B216" s="39"/>
      <c r="C216" s="39"/>
      <c r="D216" s="39"/>
      <c r="E216" s="39"/>
      <c r="F216" s="39"/>
      <c r="G216" s="39"/>
      <c r="H216" s="39"/>
    </row>
    <row r="217" spans="2:8" x14ac:dyDescent="0.2">
      <c r="B217" s="39"/>
      <c r="C217" s="39"/>
      <c r="D217" s="39"/>
      <c r="E217" s="39"/>
      <c r="F217" s="39"/>
      <c r="G217" s="39"/>
      <c r="H217" s="39"/>
    </row>
    <row r="218" spans="2:8" x14ac:dyDescent="0.2">
      <c r="B218" s="39"/>
      <c r="C218" s="39"/>
      <c r="D218" s="39"/>
      <c r="E218" s="39"/>
      <c r="F218" s="39"/>
      <c r="G218" s="39"/>
      <c r="H218" s="39"/>
    </row>
    <row r="219" spans="2:8" x14ac:dyDescent="0.2">
      <c r="B219" s="39"/>
      <c r="C219" s="39"/>
      <c r="D219" s="39"/>
      <c r="E219" s="39"/>
      <c r="F219" s="39"/>
      <c r="G219" s="39"/>
      <c r="H219" s="39"/>
    </row>
    <row r="220" spans="2:8" x14ac:dyDescent="0.2">
      <c r="B220" s="39"/>
      <c r="C220" s="39"/>
      <c r="D220" s="39"/>
      <c r="E220" s="39"/>
      <c r="F220" s="39"/>
      <c r="G220" s="39"/>
      <c r="H220" s="39"/>
    </row>
    <row r="221" spans="2:8" x14ac:dyDescent="0.2">
      <c r="B221" s="39"/>
      <c r="C221" s="39"/>
      <c r="D221" s="39"/>
      <c r="E221" s="39"/>
      <c r="F221" s="39"/>
      <c r="G221" s="39"/>
      <c r="H221" s="39"/>
    </row>
    <row r="222" spans="2:8" x14ac:dyDescent="0.2">
      <c r="B222" s="39"/>
      <c r="C222" s="39"/>
      <c r="D222" s="39"/>
      <c r="E222" s="39"/>
      <c r="F222" s="39"/>
      <c r="G222" s="39"/>
      <c r="H222" s="39"/>
    </row>
    <row r="223" spans="2:8" x14ac:dyDescent="0.2">
      <c r="B223" s="39"/>
      <c r="C223" s="39"/>
      <c r="D223" s="39"/>
      <c r="E223" s="39"/>
      <c r="F223" s="39"/>
      <c r="G223" s="39"/>
      <c r="H223" s="39"/>
    </row>
    <row r="224" spans="2:8" x14ac:dyDescent="0.2">
      <c r="B224" s="39"/>
      <c r="C224" s="39"/>
      <c r="D224" s="39"/>
      <c r="E224" s="39"/>
      <c r="F224" s="39"/>
      <c r="G224" s="39"/>
      <c r="H224" s="39"/>
    </row>
    <row r="225" spans="2:8" x14ac:dyDescent="0.2">
      <c r="B225" s="39"/>
      <c r="C225" s="39"/>
      <c r="D225" s="39"/>
      <c r="E225" s="39"/>
      <c r="F225" s="39"/>
      <c r="G225" s="39"/>
      <c r="H225" s="39"/>
    </row>
    <row r="226" spans="2:8" x14ac:dyDescent="0.2">
      <c r="B226" s="39"/>
      <c r="C226" s="39"/>
      <c r="D226" s="39"/>
      <c r="E226" s="39"/>
      <c r="F226" s="39"/>
      <c r="G226" s="39"/>
      <c r="H226" s="39"/>
    </row>
    <row r="227" spans="2:8" x14ac:dyDescent="0.2">
      <c r="B227" s="39"/>
      <c r="C227" s="39"/>
      <c r="D227" s="39"/>
      <c r="E227" s="39"/>
      <c r="F227" s="39"/>
      <c r="G227" s="39"/>
      <c r="H227" s="39"/>
    </row>
    <row r="228" spans="2:8" x14ac:dyDescent="0.2">
      <c r="B228" s="39"/>
      <c r="C228" s="39"/>
      <c r="D228" s="39"/>
      <c r="E228" s="39"/>
      <c r="F228" s="39"/>
      <c r="G228" s="39"/>
      <c r="H228" s="39"/>
    </row>
    <row r="229" spans="2:8" x14ac:dyDescent="0.2">
      <c r="B229" s="39"/>
      <c r="C229" s="39"/>
      <c r="D229" s="39"/>
      <c r="E229" s="39"/>
      <c r="F229" s="39"/>
      <c r="G229" s="39"/>
      <c r="H229" s="39"/>
    </row>
    <row r="230" spans="2:8" x14ac:dyDescent="0.2">
      <c r="B230" s="39"/>
      <c r="C230" s="39"/>
      <c r="D230" s="39"/>
      <c r="E230" s="39"/>
      <c r="F230" s="39"/>
      <c r="G230" s="39"/>
      <c r="H230" s="39"/>
    </row>
    <row r="231" spans="2:8" x14ac:dyDescent="0.2">
      <c r="B231" s="39"/>
      <c r="C231" s="39"/>
      <c r="D231" s="39"/>
      <c r="E231" s="39"/>
      <c r="F231" s="39"/>
      <c r="G231" s="39"/>
      <c r="H231" s="39"/>
    </row>
    <row r="232" spans="2:8" x14ac:dyDescent="0.2">
      <c r="B232" s="39"/>
      <c r="C232" s="39"/>
      <c r="D232" s="39"/>
      <c r="E232" s="39"/>
      <c r="F232" s="39"/>
      <c r="G232" s="39"/>
      <c r="H232" s="39"/>
    </row>
  </sheetData>
  <mergeCells count="1">
    <mergeCell ref="B2:G2"/>
  </mergeCells>
  <pageMargins left="0.7" right="0.7" top="0.78740157499999996" bottom="0.78740157499999996" header="0.3" footer="0.3"/>
  <pageSetup paperSize="9" orientation="portrait" r:id="rId1"/>
  <headerFooter>
    <oddHeader>&amp;C&amp;G</odd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A207-3CF3-4FBB-8053-943AF8BF3D72}">
  <dimension ref="A1:A49"/>
  <sheetViews>
    <sheetView workbookViewId="0">
      <selection sqref="A1:A47"/>
    </sheetView>
  </sheetViews>
  <sheetFormatPr defaultColWidth="11" defaultRowHeight="14.25" x14ac:dyDescent="0.2"/>
  <sheetData>
    <row r="1" spans="1:1" x14ac:dyDescent="0.2">
      <c r="A1" s="7"/>
    </row>
    <row r="2" spans="1:1" x14ac:dyDescent="0.2">
      <c r="A2" s="7"/>
    </row>
    <row r="3" spans="1:1" x14ac:dyDescent="0.2">
      <c r="A3" s="7"/>
    </row>
    <row r="4" spans="1:1" x14ac:dyDescent="0.2">
      <c r="A4" s="7"/>
    </row>
    <row r="5" spans="1:1" x14ac:dyDescent="0.2">
      <c r="A5" s="7"/>
    </row>
    <row r="6" spans="1:1" x14ac:dyDescent="0.2">
      <c r="A6" s="7"/>
    </row>
    <row r="7" spans="1:1" x14ac:dyDescent="0.2">
      <c r="A7" s="7"/>
    </row>
    <row r="8" spans="1:1" x14ac:dyDescent="0.2">
      <c r="A8" s="7"/>
    </row>
    <row r="9" spans="1:1" x14ac:dyDescent="0.2">
      <c r="A9" s="7"/>
    </row>
    <row r="10" spans="1:1" x14ac:dyDescent="0.2">
      <c r="A10" s="7"/>
    </row>
    <row r="11" spans="1:1" x14ac:dyDescent="0.2">
      <c r="A11" s="7"/>
    </row>
    <row r="12" spans="1:1" x14ac:dyDescent="0.2">
      <c r="A12" s="7"/>
    </row>
    <row r="13" spans="1:1" x14ac:dyDescent="0.2">
      <c r="A13" s="7"/>
    </row>
    <row r="14" spans="1:1" x14ac:dyDescent="0.2">
      <c r="A14" s="7"/>
    </row>
    <row r="15" spans="1:1" x14ac:dyDescent="0.2">
      <c r="A15" s="7"/>
    </row>
    <row r="16" spans="1:1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8"/>
    </row>
    <row r="45" spans="1:1" x14ac:dyDescent="0.2">
      <c r="A45" s="7"/>
    </row>
    <row r="46" spans="1:1" x14ac:dyDescent="0.2">
      <c r="A46" s="8"/>
    </row>
    <row r="47" spans="1:1" x14ac:dyDescent="0.2">
      <c r="A47" s="9" t="s">
        <v>18</v>
      </c>
    </row>
    <row r="48" spans="1:1" x14ac:dyDescent="0.2">
      <c r="A48" s="8"/>
    </row>
    <row r="49" spans="1:1" x14ac:dyDescent="0.2">
      <c r="A49" s="7"/>
    </row>
  </sheetData>
  <pageMargins left="0.7" right="0.7" top="0.78740157499999996" bottom="0.78740157499999996" header="0.3" footer="0.3"/>
  <pageSetup paperSize="9" orientation="portrait" r:id="rId1"/>
  <headerFooter>
    <oddHeader>&amp;C&amp;G</odd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8FEE-FFD6-4724-A1B0-FFDDE43A447C}">
  <dimension ref="A1:O32"/>
  <sheetViews>
    <sheetView workbookViewId="0">
      <selection activeCell="K4" sqref="K4"/>
    </sheetView>
  </sheetViews>
  <sheetFormatPr defaultRowHeight="14.25" x14ac:dyDescent="0.2"/>
  <cols>
    <col min="1" max="1" width="53.25" customWidth="1"/>
  </cols>
  <sheetData>
    <row r="1" spans="1:15" ht="20.25" x14ac:dyDescent="0.3">
      <c r="A1" s="116" t="s">
        <v>129</v>
      </c>
    </row>
    <row r="4" spans="1:15" ht="18.75" x14ac:dyDescent="0.3">
      <c r="A4" s="21" t="s">
        <v>126</v>
      </c>
      <c r="B4" s="39"/>
      <c r="C4" s="39"/>
      <c r="D4" s="39"/>
      <c r="E4" s="39"/>
      <c r="F4" s="39"/>
      <c r="G4" s="38"/>
      <c r="H4" s="38"/>
      <c r="I4" s="38"/>
      <c r="J4" s="38"/>
      <c r="K4" s="11" t="s">
        <v>130</v>
      </c>
      <c r="L4" s="38"/>
    </row>
    <row r="5" spans="1:15" x14ac:dyDescent="0.2">
      <c r="A5" s="38"/>
      <c r="B5" s="39"/>
      <c r="C5" s="39"/>
      <c r="D5" s="39"/>
      <c r="E5" s="39"/>
      <c r="F5" s="39"/>
      <c r="K5" t="s">
        <v>131</v>
      </c>
      <c r="L5" t="s">
        <v>132</v>
      </c>
      <c r="M5" t="s">
        <v>133</v>
      </c>
      <c r="N5" t="s">
        <v>134</v>
      </c>
      <c r="O5" t="s">
        <v>135</v>
      </c>
    </row>
    <row r="6" spans="1:15" ht="15" x14ac:dyDescent="0.25">
      <c r="A6" s="11" t="s">
        <v>72</v>
      </c>
      <c r="B6" s="13">
        <v>519920</v>
      </c>
      <c r="C6" s="13">
        <v>86400</v>
      </c>
      <c r="D6" s="13">
        <v>86400</v>
      </c>
      <c r="E6" s="13">
        <v>50400</v>
      </c>
      <c r="F6" s="13">
        <v>50400</v>
      </c>
      <c r="K6">
        <v>5000</v>
      </c>
      <c r="L6">
        <v>15000</v>
      </c>
      <c r="M6">
        <v>50000</v>
      </c>
      <c r="N6">
        <v>125000</v>
      </c>
      <c r="O6">
        <v>200000</v>
      </c>
    </row>
    <row r="7" spans="1:15" x14ac:dyDescent="0.2">
      <c r="A7" s="38" t="s">
        <v>73</v>
      </c>
      <c r="B7" s="39">
        <v>133920</v>
      </c>
      <c r="C7" s="39">
        <v>14400</v>
      </c>
      <c r="D7" s="39">
        <v>14400</v>
      </c>
      <c r="E7" s="39">
        <v>14400</v>
      </c>
      <c r="F7" s="39">
        <v>14400</v>
      </c>
    </row>
    <row r="8" spans="1:15" x14ac:dyDescent="0.2">
      <c r="A8" s="38" t="s">
        <v>74</v>
      </c>
      <c r="B8" s="39">
        <v>366000</v>
      </c>
      <c r="C8" s="39">
        <v>36000</v>
      </c>
      <c r="D8" s="39">
        <v>36000</v>
      </c>
      <c r="E8" s="39">
        <v>36000</v>
      </c>
      <c r="F8" s="39">
        <v>36000</v>
      </c>
    </row>
    <row r="9" spans="1:15" x14ac:dyDescent="0.2">
      <c r="A9" s="38" t="s">
        <v>75</v>
      </c>
      <c r="B9" s="39">
        <v>2000</v>
      </c>
      <c r="C9" s="39">
        <v>0</v>
      </c>
      <c r="D9" s="39">
        <v>0</v>
      </c>
      <c r="E9" s="39">
        <v>0</v>
      </c>
      <c r="F9" s="39">
        <v>0</v>
      </c>
    </row>
    <row r="10" spans="1:15" x14ac:dyDescent="0.2">
      <c r="A10" s="38" t="s">
        <v>76</v>
      </c>
      <c r="B10" s="39">
        <v>18000</v>
      </c>
      <c r="C10" s="39">
        <v>36000</v>
      </c>
      <c r="D10" s="39">
        <v>36000</v>
      </c>
      <c r="E10" s="39">
        <v>0</v>
      </c>
      <c r="F10" s="39">
        <v>0</v>
      </c>
    </row>
    <row r="11" spans="1:15" ht="15" x14ac:dyDescent="0.25">
      <c r="A11" s="11" t="s">
        <v>77</v>
      </c>
      <c r="B11" s="13">
        <v>244000</v>
      </c>
      <c r="C11" s="13">
        <v>223000</v>
      </c>
      <c r="D11" s="13">
        <v>178000</v>
      </c>
      <c r="E11" s="13">
        <v>178000</v>
      </c>
      <c r="F11" s="13">
        <v>178000</v>
      </c>
    </row>
    <row r="12" spans="1:15" x14ac:dyDescent="0.2">
      <c r="A12" s="38" t="s">
        <v>78</v>
      </c>
      <c r="B12" s="39">
        <v>80000</v>
      </c>
      <c r="C12" s="39">
        <v>10000</v>
      </c>
      <c r="D12" s="39">
        <v>10000</v>
      </c>
      <c r="E12" s="39">
        <v>10000</v>
      </c>
      <c r="F12" s="39">
        <v>10000</v>
      </c>
    </row>
    <row r="13" spans="1:15" x14ac:dyDescent="0.2">
      <c r="A13" s="38" t="s">
        <v>79</v>
      </c>
      <c r="B13" s="39">
        <v>100000</v>
      </c>
      <c r="C13" s="39">
        <v>85000</v>
      </c>
      <c r="D13" s="39">
        <v>40000</v>
      </c>
      <c r="E13" s="39">
        <v>40000</v>
      </c>
      <c r="F13" s="39">
        <v>40000</v>
      </c>
    </row>
    <row r="14" spans="1:15" x14ac:dyDescent="0.2">
      <c r="A14" s="38" t="s">
        <v>80</v>
      </c>
      <c r="B14" s="39">
        <v>64000</v>
      </c>
      <c r="C14" s="39">
        <v>128000</v>
      </c>
      <c r="D14" s="39">
        <v>128000</v>
      </c>
      <c r="E14" s="39">
        <v>128000</v>
      </c>
      <c r="F14" s="39">
        <v>128000</v>
      </c>
    </row>
    <row r="15" spans="1:15" ht="15" x14ac:dyDescent="0.25">
      <c r="A15" s="11" t="s">
        <v>81</v>
      </c>
      <c r="B15" s="13">
        <v>87000</v>
      </c>
      <c r="C15" s="13">
        <v>67000</v>
      </c>
      <c r="D15" s="13">
        <v>67000</v>
      </c>
      <c r="E15" s="13">
        <v>67000</v>
      </c>
      <c r="F15" s="13">
        <v>67000</v>
      </c>
    </row>
    <row r="16" spans="1:15" x14ac:dyDescent="0.2">
      <c r="A16" s="38" t="s">
        <v>82</v>
      </c>
      <c r="B16" s="39">
        <v>20000</v>
      </c>
      <c r="C16" s="39">
        <v>10000</v>
      </c>
      <c r="D16" s="39">
        <v>10000</v>
      </c>
      <c r="E16" s="39">
        <v>10000</v>
      </c>
      <c r="F16" s="39">
        <v>10000</v>
      </c>
    </row>
    <row r="17" spans="1:6" x14ac:dyDescent="0.2">
      <c r="A17" s="38" t="s">
        <v>83</v>
      </c>
      <c r="B17" s="39">
        <v>12000</v>
      </c>
      <c r="C17" s="39">
        <v>12000</v>
      </c>
      <c r="D17" s="39">
        <v>12000</v>
      </c>
      <c r="E17" s="39">
        <v>12000</v>
      </c>
      <c r="F17" s="39">
        <v>12000</v>
      </c>
    </row>
    <row r="18" spans="1:6" x14ac:dyDescent="0.2">
      <c r="A18" s="38" t="s">
        <v>84</v>
      </c>
      <c r="B18" s="39">
        <v>30000</v>
      </c>
      <c r="C18" s="39">
        <v>20000</v>
      </c>
      <c r="D18" s="39">
        <v>20000</v>
      </c>
      <c r="E18" s="39">
        <v>20000</v>
      </c>
      <c r="F18" s="39">
        <v>20000</v>
      </c>
    </row>
    <row r="19" spans="1:6" x14ac:dyDescent="0.2">
      <c r="A19" s="38" t="s">
        <v>85</v>
      </c>
      <c r="B19" s="39">
        <v>25000</v>
      </c>
      <c r="C19" s="39">
        <v>25000</v>
      </c>
      <c r="D19" s="39">
        <v>25000</v>
      </c>
      <c r="E19" s="39">
        <v>25000</v>
      </c>
      <c r="F19" s="39">
        <v>25000</v>
      </c>
    </row>
    <row r="20" spans="1:6" ht="15" x14ac:dyDescent="0.25">
      <c r="A20" s="11" t="s">
        <v>87</v>
      </c>
      <c r="B20" s="13">
        <v>24000</v>
      </c>
      <c r="C20" s="13">
        <v>24000</v>
      </c>
      <c r="D20" s="13">
        <v>24000</v>
      </c>
      <c r="E20" s="13">
        <v>24000</v>
      </c>
      <c r="F20" s="13">
        <v>24000</v>
      </c>
    </row>
    <row r="21" spans="1:6" ht="15" x14ac:dyDescent="0.25">
      <c r="A21" s="11" t="s">
        <v>88</v>
      </c>
      <c r="B21" s="13">
        <v>3600</v>
      </c>
      <c r="C21" s="13">
        <v>7200</v>
      </c>
      <c r="D21" s="13">
        <v>12000</v>
      </c>
      <c r="E21" s="13">
        <v>12000</v>
      </c>
      <c r="F21" s="13">
        <v>12000</v>
      </c>
    </row>
    <row r="22" spans="1:6" x14ac:dyDescent="0.2">
      <c r="A22" s="38"/>
      <c r="B22" s="39"/>
      <c r="C22" s="39"/>
      <c r="D22" s="39"/>
      <c r="E22" s="39"/>
      <c r="F22" s="39"/>
    </row>
    <row r="23" spans="1:6" ht="15" x14ac:dyDescent="0.25">
      <c r="A23" s="11" t="s">
        <v>86</v>
      </c>
      <c r="B23" s="13">
        <v>878520</v>
      </c>
      <c r="C23" s="13">
        <v>407600</v>
      </c>
      <c r="D23" s="13">
        <v>367400</v>
      </c>
      <c r="E23" s="13">
        <v>331400</v>
      </c>
      <c r="F23" s="13">
        <v>331400</v>
      </c>
    </row>
    <row r="24" spans="1:6" x14ac:dyDescent="0.2">
      <c r="A24" s="38"/>
    </row>
    <row r="25" spans="1:6" x14ac:dyDescent="0.2">
      <c r="A25" s="38"/>
    </row>
    <row r="26" spans="1:6" x14ac:dyDescent="0.2">
      <c r="A26" s="38"/>
    </row>
    <row r="27" spans="1:6" x14ac:dyDescent="0.2">
      <c r="A27" s="38"/>
    </row>
    <row r="28" spans="1:6" x14ac:dyDescent="0.2">
      <c r="A28" s="38"/>
    </row>
    <row r="29" spans="1:6" x14ac:dyDescent="0.2">
      <c r="A29" s="38"/>
    </row>
    <row r="30" spans="1:6" x14ac:dyDescent="0.2">
      <c r="A30" s="38"/>
    </row>
    <row r="31" spans="1:6" x14ac:dyDescent="0.2">
      <c r="A31" s="38"/>
    </row>
    <row r="32" spans="1:6" x14ac:dyDescent="0.2">
      <c r="A32" s="38"/>
    </row>
  </sheetData>
  <pageMargins left="0.7" right="0.7" top="0.75" bottom="0.75" header="0.3" footer="0.3"/>
  <pageSetup paperSize="9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IGB2B Case Template</vt:lpstr>
      <vt:lpstr>Varianten</vt:lpstr>
      <vt:lpstr>DCF Variante "S small"</vt:lpstr>
      <vt:lpstr>DCF Variante "M medium"</vt:lpstr>
      <vt:lpstr>DCF Variante "L large"</vt:lpstr>
      <vt:lpstr>Kosten</vt:lpstr>
      <vt:lpstr>Umsetzung</vt:lpstr>
      <vt:lpstr>Kosten Infrastruktur 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Gasser</dc:creator>
  <cp:lastModifiedBy>Reto Gasser</cp:lastModifiedBy>
  <dcterms:created xsi:type="dcterms:W3CDTF">2019-03-26T08:36:34Z</dcterms:created>
  <dcterms:modified xsi:type="dcterms:W3CDTF">2020-02-19T15:01:40Z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9508ac-8ac4-4ec6-977e-e0ef084c4e98_Enabled">
    <vt:lpwstr>True</vt:lpwstr>
  </property>
  <property fmtid="{D5CDD505-2E9C-101B-9397-08002B2CF9AE}" pid="3" name="MSIP_Label_0b9508ac-8ac4-4ec6-977e-e0ef084c4e98_SiteId">
    <vt:lpwstr>396b38cc-aa65-492b-bb0e-3d94ed25a97b</vt:lpwstr>
  </property>
  <property fmtid="{D5CDD505-2E9C-101B-9397-08002B2CF9AE}" pid="4" name="MSIP_Label_0b9508ac-8ac4-4ec6-977e-e0ef084c4e98_Owner">
    <vt:lpwstr>reto.gasser@axa-tech.com</vt:lpwstr>
  </property>
  <property fmtid="{D5CDD505-2E9C-101B-9397-08002B2CF9AE}" pid="5" name="MSIP_Label_0b9508ac-8ac4-4ec6-977e-e0ef084c4e98_SetDate">
    <vt:lpwstr>2019-03-26T08:37:43.6703138Z</vt:lpwstr>
  </property>
  <property fmtid="{D5CDD505-2E9C-101B-9397-08002B2CF9AE}" pid="6" name="MSIP_Label_0b9508ac-8ac4-4ec6-977e-e0ef084c4e98_Name">
    <vt:lpwstr>CH_Internal</vt:lpwstr>
  </property>
  <property fmtid="{D5CDD505-2E9C-101B-9397-08002B2CF9AE}" pid="7" name="MSIP_Label_0b9508ac-8ac4-4ec6-977e-e0ef084c4e98_Application">
    <vt:lpwstr>Microsoft Azure Information Protection</vt:lpwstr>
  </property>
  <property fmtid="{D5CDD505-2E9C-101B-9397-08002B2CF9AE}" pid="8" name="MSIP_Label_0b9508ac-8ac4-4ec6-977e-e0ef084c4e98_Extended_MSFT_Method">
    <vt:lpwstr>Automatic</vt:lpwstr>
  </property>
  <property fmtid="{D5CDD505-2E9C-101B-9397-08002B2CF9AE}" pid="9" name="Sensitivity">
    <vt:lpwstr>CH_Internal</vt:lpwstr>
  </property>
</Properties>
</file>