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shalunov/Downloads/"/>
    </mc:Choice>
  </mc:AlternateContent>
  <xr:revisionPtr revIDLastSave="0" documentId="13_ncr:1_{DE53ECBF-56DA-3740-860A-9F2F36EFC1BD}" xr6:coauthVersionLast="47" xr6:coauthVersionMax="47" xr10:uidLastSave="{00000000-0000-0000-0000-000000000000}"/>
  <bookViews>
    <workbookView xWindow="0" yWindow="740" windowWidth="29400" windowHeight="17160" activeTab="2" xr2:uid="{00000000-000D-0000-FFFF-FFFF00000000}"/>
  </bookViews>
  <sheets>
    <sheet name="Kappa (2 SAFES)" sheetId="1" r:id="rId1"/>
    <sheet name="Acme" sheetId="2" r:id="rId2"/>
    <sheet name="Acme Reeval" sheetId="3" r:id="rId3"/>
    <sheet name="Charts data - Acme" sheetId="4" r:id="rId4"/>
    <sheet name="USD + EUR + RUB -" sheetId="5" r:id="rId5"/>
    <sheet name="Sigma" sheetId="6" r:id="rId6"/>
    <sheet name="Phi (Fund report)" sheetId="7" r:id="rId7"/>
    <sheet name="Mega" sheetId="8" r:id="rId8"/>
    <sheet name="Acme + Alpha + Kappa" sheetId="9" r:id="rId9"/>
    <sheet name="Charts data - Tex" sheetId="10" r:id="rId10"/>
    <sheet name="Alpha (EXIT)" sheetId="11" r:id="rId11"/>
    <sheet name="Zeta (WriteOFF)" sheetId="12" r:id="rId12"/>
    <sheet name="Gamma (3 SAFES) - DRAF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gT1v7/OCzgWLCW1MGJTYO3sTQflA=="/>
    </ext>
  </extLst>
</workbook>
</file>

<file path=xl/calcChain.xml><?xml version="1.0" encoding="utf-8"?>
<calcChain xmlns="http://schemas.openxmlformats.org/spreadsheetml/2006/main">
  <c r="E30" i="3" l="1"/>
  <c r="E21" i="3"/>
  <c r="E22" i="3" s="1"/>
  <c r="E23" i="3"/>
  <c r="E31" i="3" s="1"/>
  <c r="E32" i="3" s="1"/>
  <c r="E24" i="3"/>
  <c r="E25" i="3"/>
  <c r="E26" i="3"/>
  <c r="E27" i="3"/>
  <c r="E29" i="3"/>
  <c r="F24" i="13"/>
  <c r="E24" i="13"/>
  <c r="D24" i="13"/>
  <c r="C24" i="13"/>
  <c r="B24" i="13"/>
  <c r="D21" i="13"/>
  <c r="F17" i="13"/>
  <c r="E17" i="13"/>
  <c r="N16" i="13"/>
  <c r="D15" i="13"/>
  <c r="D17" i="13" s="1"/>
  <c r="C15" i="13"/>
  <c r="C17" i="13" s="1"/>
  <c r="B15" i="13"/>
  <c r="B17" i="13" s="1"/>
  <c r="Q13" i="13"/>
  <c r="P13" i="13"/>
  <c r="O13" i="13"/>
  <c r="F8" i="13"/>
  <c r="F7" i="13"/>
  <c r="E7" i="13"/>
  <c r="D7" i="13"/>
  <c r="C7" i="13"/>
  <c r="C34" i="13" s="1"/>
  <c r="B7" i="13"/>
  <c r="B11" i="13" s="1"/>
  <c r="F6" i="13"/>
  <c r="E6" i="13"/>
  <c r="E33" i="13" s="1"/>
  <c r="D6" i="13"/>
  <c r="D33" i="13" s="1"/>
  <c r="C6" i="13"/>
  <c r="C33" i="13" s="1"/>
  <c r="B6" i="13"/>
  <c r="Q5" i="13"/>
  <c r="N8" i="13" s="1"/>
  <c r="P5" i="13"/>
  <c r="O5" i="13"/>
  <c r="C24" i="12"/>
  <c r="B24" i="12"/>
  <c r="C23" i="12"/>
  <c r="C34" i="12" s="1"/>
  <c r="B21" i="12"/>
  <c r="B22" i="12" s="1"/>
  <c r="C17" i="12"/>
  <c r="C11" i="12" s="1"/>
  <c r="B17" i="12"/>
  <c r="C10" i="12"/>
  <c r="B7" i="12"/>
  <c r="C6" i="12"/>
  <c r="C21" i="12" s="1"/>
  <c r="C22" i="12" s="1"/>
  <c r="B6" i="12"/>
  <c r="B33" i="12" s="1"/>
  <c r="C2" i="12"/>
  <c r="B2" i="12"/>
  <c r="B34" i="11"/>
  <c r="C24" i="11"/>
  <c r="B24" i="11"/>
  <c r="C17" i="11"/>
  <c r="C44" i="11" s="1"/>
  <c r="B17" i="11"/>
  <c r="B44" i="11" s="1"/>
  <c r="C7" i="11"/>
  <c r="B7" i="11"/>
  <c r="C6" i="11"/>
  <c r="B6" i="11"/>
  <c r="C2" i="11"/>
  <c r="B2" i="11"/>
  <c r="C34" i="10"/>
  <c r="B34" i="10"/>
  <c r="D24" i="10"/>
  <c r="C24" i="10"/>
  <c r="B24" i="10"/>
  <c r="C21" i="10"/>
  <c r="B21" i="10"/>
  <c r="D17" i="10"/>
  <c r="D44" i="10" s="1"/>
  <c r="C17" i="10"/>
  <c r="C44" i="10" s="1"/>
  <c r="B17" i="10"/>
  <c r="B44" i="10" s="1"/>
  <c r="B11" i="10"/>
  <c r="D7" i="10"/>
  <c r="C7" i="10"/>
  <c r="B7" i="10"/>
  <c r="D6" i="10"/>
  <c r="C6" i="10"/>
  <c r="B6" i="10"/>
  <c r="B33" i="10" s="1"/>
  <c r="D2" i="10"/>
  <c r="C2" i="10"/>
  <c r="B2" i="10"/>
  <c r="S74" i="9"/>
  <c r="W79" i="9" s="1"/>
  <c r="B71" i="9"/>
  <c r="S68" i="9"/>
  <c r="S75" i="9" s="1"/>
  <c r="Q67" i="9"/>
  <c r="Q74" i="9" s="1"/>
  <c r="P67" i="9"/>
  <c r="P74" i="9" s="1"/>
  <c r="X66" i="9"/>
  <c r="C47" i="9"/>
  <c r="D47" i="9" s="1"/>
  <c r="F47" i="9" s="1"/>
  <c r="G47" i="9" s="1"/>
  <c r="H47" i="9" s="1"/>
  <c r="I47" i="9" s="1"/>
  <c r="K47" i="9" s="1"/>
  <c r="L47" i="9" s="1"/>
  <c r="M47" i="9" s="1"/>
  <c r="B47" i="9"/>
  <c r="G43" i="9"/>
  <c r="F43" i="9"/>
  <c r="I42" i="9"/>
  <c r="H42" i="9"/>
  <c r="G42" i="9"/>
  <c r="F42" i="9"/>
  <c r="D42" i="9"/>
  <c r="K41" i="9"/>
  <c r="I41" i="9"/>
  <c r="H41" i="9"/>
  <c r="F41" i="9"/>
  <c r="M39" i="9"/>
  <c r="L39" i="9"/>
  <c r="K39" i="9"/>
  <c r="I39" i="9"/>
  <c r="H39" i="9"/>
  <c r="G39" i="9"/>
  <c r="F39" i="9"/>
  <c r="D39" i="9"/>
  <c r="C39" i="9"/>
  <c r="B39" i="9"/>
  <c r="P34" i="9"/>
  <c r="I43" i="9" s="1"/>
  <c r="O34" i="9"/>
  <c r="M34" i="9"/>
  <c r="C43" i="9" s="1"/>
  <c r="B34" i="9"/>
  <c r="B43" i="9" s="1"/>
  <c r="P33" i="9"/>
  <c r="O33" i="9"/>
  <c r="C33" i="9"/>
  <c r="C25" i="9"/>
  <c r="B25" i="9"/>
  <c r="B64" i="9" s="1"/>
  <c r="Q24" i="9"/>
  <c r="P24" i="9"/>
  <c r="O24" i="9"/>
  <c r="N24" i="9"/>
  <c r="M24" i="9"/>
  <c r="I24" i="9"/>
  <c r="H24" i="9"/>
  <c r="D24" i="9"/>
  <c r="C24" i="9"/>
  <c r="B24" i="9"/>
  <c r="B23" i="9"/>
  <c r="P21" i="9"/>
  <c r="S67" i="9" s="1"/>
  <c r="W68" i="9" s="1"/>
  <c r="N21" i="9"/>
  <c r="C21" i="9"/>
  <c r="F65" i="9" s="1"/>
  <c r="Q17" i="9"/>
  <c r="P17" i="9"/>
  <c r="N17" i="9"/>
  <c r="I17" i="9"/>
  <c r="H17" i="9"/>
  <c r="D17" i="9"/>
  <c r="C17" i="9"/>
  <c r="B17" i="9"/>
  <c r="O15" i="9"/>
  <c r="O17" i="9" s="1"/>
  <c r="M15" i="9"/>
  <c r="M17" i="9" s="1"/>
  <c r="B11" i="9"/>
  <c r="B10" i="9" s="1"/>
  <c r="C10" i="9"/>
  <c r="Q8" i="9"/>
  <c r="P8" i="9"/>
  <c r="C8" i="9"/>
  <c r="B8" i="9"/>
  <c r="Q7" i="9"/>
  <c r="O7" i="9"/>
  <c r="N7" i="9"/>
  <c r="N34" i="9" s="1"/>
  <c r="M7" i="9"/>
  <c r="I7" i="9"/>
  <c r="I10" i="9" s="1"/>
  <c r="H7" i="9"/>
  <c r="D7" i="9"/>
  <c r="C7" i="9"/>
  <c r="C34" i="9" s="1"/>
  <c r="D43" i="9" s="1"/>
  <c r="B7" i="9"/>
  <c r="Q6" i="9"/>
  <c r="Q21" i="9" s="1"/>
  <c r="O6" i="9"/>
  <c r="O21" i="9" s="1"/>
  <c r="N6" i="9"/>
  <c r="N33" i="9" s="1"/>
  <c r="M6" i="9"/>
  <c r="I6" i="9"/>
  <c r="H6" i="9"/>
  <c r="H33" i="9" s="1"/>
  <c r="D6" i="9"/>
  <c r="C6" i="9"/>
  <c r="B6" i="9"/>
  <c r="B33" i="9" s="1"/>
  <c r="B42" i="9" s="1"/>
  <c r="Q2" i="9"/>
  <c r="L41" i="9" s="1"/>
  <c r="P2" i="9"/>
  <c r="O2" i="9"/>
  <c r="G41" i="9" s="1"/>
  <c r="N2" i="9"/>
  <c r="M2" i="9"/>
  <c r="C41" i="9" s="1"/>
  <c r="I2" i="9"/>
  <c r="H2" i="9"/>
  <c r="D2" i="9"/>
  <c r="M41" i="9" s="1"/>
  <c r="C2" i="9"/>
  <c r="D41" i="9" s="1"/>
  <c r="B2" i="9"/>
  <c r="B41" i="9" s="1"/>
  <c r="F80" i="8"/>
  <c r="B80" i="8"/>
  <c r="E79" i="8"/>
  <c r="B79" i="8"/>
  <c r="E78" i="8"/>
  <c r="D78" i="8"/>
  <c r="C78" i="8"/>
  <c r="B78" i="8"/>
  <c r="C76" i="8"/>
  <c r="B76" i="8"/>
  <c r="B75" i="8"/>
  <c r="H71" i="8"/>
  <c r="G71" i="8"/>
  <c r="G80" i="8" s="1"/>
  <c r="F71" i="8"/>
  <c r="E71" i="8"/>
  <c r="E80" i="8" s="1"/>
  <c r="D71" i="8"/>
  <c r="D80" i="8" s="1"/>
  <c r="C71" i="8"/>
  <c r="C80" i="8" s="1"/>
  <c r="B71" i="8"/>
  <c r="F70" i="8"/>
  <c r="F79" i="8" s="1"/>
  <c r="E70" i="8"/>
  <c r="D70" i="8"/>
  <c r="D79" i="8" s="1"/>
  <c r="C70" i="8"/>
  <c r="C79" i="8" s="1"/>
  <c r="B70" i="8"/>
  <c r="G69" i="8"/>
  <c r="G78" i="8" s="1"/>
  <c r="E69" i="8"/>
  <c r="D69" i="8"/>
  <c r="C69" i="8"/>
  <c r="B69" i="8"/>
  <c r="D68" i="8"/>
  <c r="D77" i="8" s="1"/>
  <c r="C68" i="8"/>
  <c r="C77" i="8" s="1"/>
  <c r="B68" i="8"/>
  <c r="B77" i="8" s="1"/>
  <c r="C67" i="8"/>
  <c r="B67" i="8"/>
  <c r="B66" i="8"/>
  <c r="H46" i="8"/>
  <c r="H43" i="8" s="1"/>
  <c r="E46" i="8"/>
  <c r="C46" i="8"/>
  <c r="B45" i="8"/>
  <c r="C45" i="8" s="1"/>
  <c r="D45" i="8" s="1"/>
  <c r="F36" i="8"/>
  <c r="D36" i="8"/>
  <c r="C36" i="8"/>
  <c r="H35" i="8"/>
  <c r="E35" i="8"/>
  <c r="H31" i="8"/>
  <c r="H29" i="8"/>
  <c r="H69" i="8" s="1"/>
  <c r="H24" i="8"/>
  <c r="G24" i="8"/>
  <c r="F24" i="8"/>
  <c r="E24" i="8"/>
  <c r="D24" i="8"/>
  <c r="C24" i="8"/>
  <c r="B24" i="8"/>
  <c r="H23" i="8"/>
  <c r="H21" i="8"/>
  <c r="G21" i="8"/>
  <c r="L70" i="8" s="1"/>
  <c r="E21" i="8"/>
  <c r="H17" i="8"/>
  <c r="G17" i="8"/>
  <c r="G46" i="8" s="1"/>
  <c r="F17" i="8"/>
  <c r="F46" i="8" s="1"/>
  <c r="E17" i="8"/>
  <c r="D17" i="8"/>
  <c r="D46" i="8" s="1"/>
  <c r="C17" i="8"/>
  <c r="B17" i="8"/>
  <c r="B46" i="8" s="1"/>
  <c r="H10" i="8"/>
  <c r="H47" i="8" s="1"/>
  <c r="E8" i="8"/>
  <c r="D8" i="8"/>
  <c r="C8" i="8"/>
  <c r="G7" i="8"/>
  <c r="F7" i="8"/>
  <c r="E7" i="8"/>
  <c r="E36" i="8" s="1"/>
  <c r="D7" i="8"/>
  <c r="C7" i="8"/>
  <c r="B7" i="8"/>
  <c r="H6" i="8"/>
  <c r="G6" i="8"/>
  <c r="F6" i="8"/>
  <c r="E6" i="8"/>
  <c r="D6" i="8"/>
  <c r="D35" i="8" s="1"/>
  <c r="C6" i="8"/>
  <c r="B6" i="8"/>
  <c r="H2" i="8"/>
  <c r="G2" i="8"/>
  <c r="F2" i="8"/>
  <c r="E2" i="8"/>
  <c r="D2" i="8"/>
  <c r="C2" i="8"/>
  <c r="B2" i="8"/>
  <c r="D44" i="7"/>
  <c r="B44" i="7"/>
  <c r="C33" i="7"/>
  <c r="D24" i="7"/>
  <c r="C24" i="7"/>
  <c r="B24" i="7"/>
  <c r="D21" i="7"/>
  <c r="C21" i="7"/>
  <c r="D17" i="7"/>
  <c r="C17" i="7"/>
  <c r="C44" i="7" s="1"/>
  <c r="B17" i="7"/>
  <c r="B11" i="7"/>
  <c r="C8" i="7"/>
  <c r="D7" i="7"/>
  <c r="B7" i="7"/>
  <c r="D6" i="7"/>
  <c r="B6" i="7"/>
  <c r="D2" i="7"/>
  <c r="C2" i="7"/>
  <c r="B2" i="7"/>
  <c r="B43" i="6"/>
  <c r="C43" i="6" s="1"/>
  <c r="C42" i="6"/>
  <c r="B42" i="6"/>
  <c r="B34" i="6"/>
  <c r="B33" i="6"/>
  <c r="C24" i="6"/>
  <c r="B24" i="6"/>
  <c r="C22" i="6"/>
  <c r="C21" i="6"/>
  <c r="B21" i="6"/>
  <c r="B22" i="6" s="1"/>
  <c r="C17" i="6"/>
  <c r="C44" i="6" s="1"/>
  <c r="B17" i="6"/>
  <c r="B44" i="6" s="1"/>
  <c r="B11" i="6"/>
  <c r="B25" i="6" s="1"/>
  <c r="C25" i="6" s="1"/>
  <c r="C30" i="6" s="1"/>
  <c r="C46" i="6" s="1"/>
  <c r="C10" i="6"/>
  <c r="B10" i="6"/>
  <c r="B45" i="6" s="1"/>
  <c r="C8" i="6"/>
  <c r="B8" i="6"/>
  <c r="B7" i="6"/>
  <c r="B6" i="6"/>
  <c r="C2" i="6"/>
  <c r="B2" i="6"/>
  <c r="H46" i="5"/>
  <c r="G46" i="5"/>
  <c r="J45" i="5"/>
  <c r="F45" i="5"/>
  <c r="G45" i="5" s="1"/>
  <c r="H45" i="5" s="1"/>
  <c r="K34" i="5"/>
  <c r="F34" i="5"/>
  <c r="F33" i="5"/>
  <c r="L24" i="5"/>
  <c r="K24" i="5"/>
  <c r="J24" i="5"/>
  <c r="H24" i="5"/>
  <c r="G24" i="5"/>
  <c r="F24" i="5"/>
  <c r="D24" i="5"/>
  <c r="C24" i="5"/>
  <c r="B24" i="5"/>
  <c r="B22" i="5"/>
  <c r="L21" i="5"/>
  <c r="K21" i="5"/>
  <c r="B21" i="5"/>
  <c r="L17" i="5"/>
  <c r="L46" i="5" s="1"/>
  <c r="J17" i="5"/>
  <c r="J46" i="5" s="1"/>
  <c r="D17" i="5"/>
  <c r="D46" i="5" s="1"/>
  <c r="C17" i="5"/>
  <c r="C46" i="5" s="1"/>
  <c r="B17" i="5"/>
  <c r="B46" i="5" s="1"/>
  <c r="L13" i="5"/>
  <c r="K13" i="5"/>
  <c r="K17" i="5" s="1"/>
  <c r="K46" i="5" s="1"/>
  <c r="J13" i="5"/>
  <c r="H13" i="5"/>
  <c r="H17" i="5" s="1"/>
  <c r="G13" i="5"/>
  <c r="G17" i="5" s="1"/>
  <c r="F13" i="5"/>
  <c r="F17" i="5" s="1"/>
  <c r="F46" i="5" s="1"/>
  <c r="L12" i="5"/>
  <c r="K12" i="5"/>
  <c r="J12" i="5"/>
  <c r="H12" i="5"/>
  <c r="G12" i="5"/>
  <c r="F12" i="5"/>
  <c r="J11" i="5"/>
  <c r="J10" i="5" s="1"/>
  <c r="K10" i="5"/>
  <c r="K47" i="5" s="1"/>
  <c r="K8" i="5"/>
  <c r="B8" i="5"/>
  <c r="L7" i="5"/>
  <c r="K7" i="5"/>
  <c r="J7" i="5"/>
  <c r="J34" i="5" s="1"/>
  <c r="H7" i="5"/>
  <c r="G7" i="5"/>
  <c r="G34" i="5" s="1"/>
  <c r="F7" i="5"/>
  <c r="D7" i="5"/>
  <c r="C7" i="5"/>
  <c r="B7" i="5"/>
  <c r="L6" i="5"/>
  <c r="K6" i="5"/>
  <c r="K33" i="5" s="1"/>
  <c r="J6" i="5"/>
  <c r="J33" i="5" s="1"/>
  <c r="H6" i="5"/>
  <c r="G6" i="5"/>
  <c r="G33" i="5" s="1"/>
  <c r="F6" i="5"/>
  <c r="D6" i="5"/>
  <c r="C6" i="5"/>
  <c r="C44" i="5" s="1"/>
  <c r="B6" i="5"/>
  <c r="B44" i="5" s="1"/>
  <c r="H65" i="4"/>
  <c r="B43" i="4"/>
  <c r="C42" i="4"/>
  <c r="D42" i="4" s="1"/>
  <c r="C34" i="4"/>
  <c r="B33" i="4"/>
  <c r="D24" i="4"/>
  <c r="C24" i="4"/>
  <c r="B24" i="4"/>
  <c r="D21" i="4"/>
  <c r="C21" i="4"/>
  <c r="B21" i="4"/>
  <c r="B22" i="4" s="1"/>
  <c r="D17" i="4"/>
  <c r="D44" i="4" s="1"/>
  <c r="C17" i="4"/>
  <c r="C44" i="4" s="1"/>
  <c r="B17" i="4"/>
  <c r="B44" i="4" s="1"/>
  <c r="B11" i="4"/>
  <c r="B60" i="4" s="1"/>
  <c r="D7" i="4"/>
  <c r="D8" i="4" s="1"/>
  <c r="C7" i="4"/>
  <c r="B7" i="4"/>
  <c r="D6" i="4"/>
  <c r="C6" i="4"/>
  <c r="C33" i="4" s="1"/>
  <c r="B6" i="4"/>
  <c r="B42" i="4" s="1"/>
  <c r="D2" i="4"/>
  <c r="C2" i="4"/>
  <c r="B2" i="4"/>
  <c r="B43" i="3"/>
  <c r="D33" i="3"/>
  <c r="C33" i="3"/>
  <c r="B33" i="3"/>
  <c r="D24" i="3"/>
  <c r="C24" i="3"/>
  <c r="B24" i="3"/>
  <c r="E17" i="3"/>
  <c r="D17" i="3"/>
  <c r="D44" i="3" s="1"/>
  <c r="C17" i="3"/>
  <c r="C44" i="3" s="1"/>
  <c r="B17" i="3"/>
  <c r="B44" i="3" s="1"/>
  <c r="E7" i="3"/>
  <c r="D7" i="3"/>
  <c r="D34" i="3" s="1"/>
  <c r="C7" i="3"/>
  <c r="C43" i="3" s="1"/>
  <c r="B7" i="3"/>
  <c r="E6" i="3"/>
  <c r="D6" i="3"/>
  <c r="D21" i="3" s="1"/>
  <c r="C6" i="3"/>
  <c r="B6" i="3"/>
  <c r="B42" i="3" s="1"/>
  <c r="E2" i="3"/>
  <c r="D2" i="3"/>
  <c r="C2" i="3"/>
  <c r="B2" i="3"/>
  <c r="B44" i="2"/>
  <c r="C43" i="2"/>
  <c r="B34" i="2"/>
  <c r="C33" i="2"/>
  <c r="B33" i="2"/>
  <c r="D24" i="2"/>
  <c r="C24" i="2"/>
  <c r="B24" i="2"/>
  <c r="D17" i="2"/>
  <c r="D44" i="2" s="1"/>
  <c r="C17" i="2"/>
  <c r="C44" i="2" s="1"/>
  <c r="B17" i="2"/>
  <c r="C8" i="2"/>
  <c r="B8" i="2"/>
  <c r="D7" i="2"/>
  <c r="C7" i="2"/>
  <c r="C34" i="2" s="1"/>
  <c r="B7" i="2"/>
  <c r="B43" i="2" s="1"/>
  <c r="D6" i="2"/>
  <c r="D21" i="2" s="1"/>
  <c r="C6" i="2"/>
  <c r="C21" i="2" s="1"/>
  <c r="B6" i="2"/>
  <c r="B42" i="2" s="1"/>
  <c r="D2" i="2"/>
  <c r="C2" i="2"/>
  <c r="B2" i="2"/>
  <c r="E44" i="1"/>
  <c r="D44" i="1"/>
  <c r="C44" i="1"/>
  <c r="E34" i="1"/>
  <c r="E33" i="1"/>
  <c r="B33" i="1"/>
  <c r="F24" i="1"/>
  <c r="E24" i="1"/>
  <c r="D24" i="1"/>
  <c r="C24" i="1"/>
  <c r="B24" i="1"/>
  <c r="B22" i="1"/>
  <c r="C22" i="1" s="1"/>
  <c r="E21" i="1"/>
  <c r="C21" i="1"/>
  <c r="B21" i="1"/>
  <c r="F17" i="1"/>
  <c r="F44" i="1" s="1"/>
  <c r="E17" i="1"/>
  <c r="D17" i="1"/>
  <c r="C17" i="1"/>
  <c r="D15" i="1"/>
  <c r="B15" i="1"/>
  <c r="B17" i="1" s="1"/>
  <c r="B44" i="1" s="1"/>
  <c r="E8" i="1"/>
  <c r="F7" i="1"/>
  <c r="D7" i="1"/>
  <c r="D8" i="1" s="1"/>
  <c r="C7" i="1"/>
  <c r="B7" i="1"/>
  <c r="F6" i="1"/>
  <c r="F21" i="1" s="1"/>
  <c r="D6" i="1"/>
  <c r="C6" i="1"/>
  <c r="B6" i="1"/>
  <c r="B42" i="1" s="1"/>
  <c r="F2" i="1"/>
  <c r="E2" i="1"/>
  <c r="D2" i="1"/>
  <c r="C2" i="1"/>
  <c r="B2" i="1"/>
  <c r="J47" i="5" l="1"/>
  <c r="J23" i="5"/>
  <c r="P69" i="8"/>
  <c r="L79" i="8"/>
  <c r="P77" i="8" s="1"/>
  <c r="C45" i="5"/>
  <c r="D45" i="5" s="1"/>
  <c r="C34" i="5"/>
  <c r="D8" i="2"/>
  <c r="H66" i="4"/>
  <c r="H70" i="4" s="1"/>
  <c r="C22" i="4"/>
  <c r="B11" i="1"/>
  <c r="B8" i="1"/>
  <c r="B34" i="3"/>
  <c r="B11" i="3"/>
  <c r="B8" i="3"/>
  <c r="C10" i="4"/>
  <c r="D22" i="4"/>
  <c r="H67" i="4"/>
  <c r="H71" i="4" s="1"/>
  <c r="B45" i="5"/>
  <c r="B11" i="5"/>
  <c r="B34" i="5"/>
  <c r="B25" i="7"/>
  <c r="C25" i="7" s="1"/>
  <c r="D25" i="7" s="1"/>
  <c r="B10" i="7"/>
  <c r="W69" i="9"/>
  <c r="D43" i="2"/>
  <c r="B57" i="4"/>
  <c r="D8" i="5"/>
  <c r="B48" i="9"/>
  <c r="F11" i="5"/>
  <c r="K11" i="5"/>
  <c r="J25" i="5"/>
  <c r="K25" i="5" s="1"/>
  <c r="L25" i="5" s="1"/>
  <c r="E8" i="3"/>
  <c r="L8" i="5"/>
  <c r="K43" i="5"/>
  <c r="C23" i="6"/>
  <c r="C31" i="6" s="1"/>
  <c r="C32" i="6" s="1"/>
  <c r="C11" i="6"/>
  <c r="C26" i="6" s="1"/>
  <c r="C45" i="6"/>
  <c r="C34" i="3"/>
  <c r="C8" i="3"/>
  <c r="D44" i="5"/>
  <c r="D21" i="5"/>
  <c r="B33" i="7"/>
  <c r="B21" i="7"/>
  <c r="B22" i="7" s="1"/>
  <c r="B42" i="7"/>
  <c r="C42" i="7" s="1"/>
  <c r="B10" i="4"/>
  <c r="B25" i="4"/>
  <c r="B70" i="4"/>
  <c r="B54" i="4"/>
  <c r="F21" i="5"/>
  <c r="F22" i="5" s="1"/>
  <c r="F44" i="5"/>
  <c r="C8" i="5"/>
  <c r="L71" i="8"/>
  <c r="B41" i="6"/>
  <c r="C33" i="6"/>
  <c r="B36" i="6" s="1"/>
  <c r="C34" i="6"/>
  <c r="F8" i="1"/>
  <c r="B34" i="1"/>
  <c r="B43" i="1"/>
  <c r="C43" i="1" s="1"/>
  <c r="D43" i="1" s="1"/>
  <c r="E43" i="1" s="1"/>
  <c r="F43" i="1" s="1"/>
  <c r="C42" i="3"/>
  <c r="D42" i="3" s="1"/>
  <c r="B34" i="4"/>
  <c r="B8" i="4"/>
  <c r="C33" i="5"/>
  <c r="C8" i="1"/>
  <c r="C23" i="9"/>
  <c r="C11" i="9"/>
  <c r="B23" i="6"/>
  <c r="C42" i="1"/>
  <c r="D42" i="1" s="1"/>
  <c r="E42" i="1" s="1"/>
  <c r="F42" i="1" s="1"/>
  <c r="C34" i="1"/>
  <c r="C43" i="4"/>
  <c r="C8" i="4"/>
  <c r="C21" i="5"/>
  <c r="C22" i="5" s="1"/>
  <c r="K23" i="5"/>
  <c r="K30" i="5"/>
  <c r="K48" i="5" s="1"/>
  <c r="C10" i="7"/>
  <c r="D21" i="10"/>
  <c r="D8" i="10"/>
  <c r="H65" i="10"/>
  <c r="H70" i="10" s="1"/>
  <c r="B22" i="10"/>
  <c r="D43" i="3"/>
  <c r="F8" i="5"/>
  <c r="G44" i="5"/>
  <c r="B37" i="6"/>
  <c r="B8" i="7"/>
  <c r="B34" i="7"/>
  <c r="D42" i="7"/>
  <c r="H21" i="9"/>
  <c r="D43" i="4"/>
  <c r="D21" i="1"/>
  <c r="D22" i="1" s="1"/>
  <c r="E22" i="1" s="1"/>
  <c r="F22" i="1" s="1"/>
  <c r="C33" i="1"/>
  <c r="B21" i="2"/>
  <c r="B22" i="2" s="1"/>
  <c r="C22" i="2" s="1"/>
  <c r="D22" i="2" s="1"/>
  <c r="C42" i="2"/>
  <c r="B21" i="3"/>
  <c r="B22" i="3" s="1"/>
  <c r="G8" i="5"/>
  <c r="G21" i="5"/>
  <c r="G22" i="5" s="1"/>
  <c r="H44" i="5"/>
  <c r="B43" i="7"/>
  <c r="C43" i="7" s="1"/>
  <c r="D43" i="7" s="1"/>
  <c r="I8" i="9"/>
  <c r="I21" i="9"/>
  <c r="H11" i="9"/>
  <c r="H34" i="9"/>
  <c r="H43" i="9" s="1"/>
  <c r="D8" i="9"/>
  <c r="S65" i="9"/>
  <c r="S72" i="9" s="1"/>
  <c r="W77" i="9" s="1"/>
  <c r="B54" i="10"/>
  <c r="B25" i="10"/>
  <c r="B57" i="10"/>
  <c r="B70" i="10"/>
  <c r="B60" i="10"/>
  <c r="C10" i="10"/>
  <c r="B10" i="10"/>
  <c r="D34" i="1"/>
  <c r="G36" i="8"/>
  <c r="G8" i="8"/>
  <c r="H78" i="8"/>
  <c r="D33" i="1"/>
  <c r="D42" i="2"/>
  <c r="C21" i="3"/>
  <c r="C22" i="3" s="1"/>
  <c r="D22" i="3" s="1"/>
  <c r="H8" i="5"/>
  <c r="H21" i="5"/>
  <c r="J44" i="5"/>
  <c r="K44" i="5" s="1"/>
  <c r="B11" i="8"/>
  <c r="B36" i="8"/>
  <c r="B39" i="8" s="1"/>
  <c r="B8" i="8"/>
  <c r="M21" i="9"/>
  <c r="M33" i="9"/>
  <c r="C42" i="9" s="1"/>
  <c r="M8" i="9"/>
  <c r="I11" i="9"/>
  <c r="I23" i="9"/>
  <c r="H8" i="9"/>
  <c r="F35" i="8"/>
  <c r="H8" i="8"/>
  <c r="F8" i="8"/>
  <c r="F21" i="8"/>
  <c r="B11" i="2"/>
  <c r="D8" i="3"/>
  <c r="K45" i="5"/>
  <c r="L45" i="5" s="1"/>
  <c r="J8" i="5"/>
  <c r="J21" i="5"/>
  <c r="J22" i="5" s="1"/>
  <c r="K22" i="5" s="1"/>
  <c r="L22" i="5" s="1"/>
  <c r="B33" i="5"/>
  <c r="D8" i="7"/>
  <c r="C22" i="7"/>
  <c r="D22" i="7" s="1"/>
  <c r="B44" i="8"/>
  <c r="C44" i="8" s="1"/>
  <c r="D44" i="8" s="1"/>
  <c r="E44" i="8" s="1"/>
  <c r="F44" i="8" s="1"/>
  <c r="G44" i="8" s="1"/>
  <c r="H44" i="8" s="1"/>
  <c r="B21" i="8"/>
  <c r="L68" i="8"/>
  <c r="B35" i="8"/>
  <c r="D25" i="9"/>
  <c r="C64" i="9"/>
  <c r="C71" i="9" s="1"/>
  <c r="C30" i="9"/>
  <c r="D45" i="9" s="1"/>
  <c r="H80" i="8"/>
  <c r="C35" i="8"/>
  <c r="H36" i="8"/>
  <c r="E45" i="8"/>
  <c r="F45" i="8" s="1"/>
  <c r="G45" i="8" s="1"/>
  <c r="H45" i="8" s="1"/>
  <c r="M11" i="9"/>
  <c r="C22" i="10"/>
  <c r="H66" i="10"/>
  <c r="H71" i="10" s="1"/>
  <c r="B42" i="11"/>
  <c r="B33" i="11"/>
  <c r="B21" i="11"/>
  <c r="B22" i="11" s="1"/>
  <c r="B33" i="13"/>
  <c r="B21" i="13"/>
  <c r="B22" i="13" s="1"/>
  <c r="E34" i="13"/>
  <c r="E8" i="13"/>
  <c r="C21" i="8"/>
  <c r="S66" i="9"/>
  <c r="B60" i="9"/>
  <c r="F72" i="9"/>
  <c r="B42" i="10"/>
  <c r="C42" i="10" s="1"/>
  <c r="D42" i="10" s="1"/>
  <c r="C42" i="11"/>
  <c r="C21" i="11"/>
  <c r="C22" i="11" s="1"/>
  <c r="C8" i="11"/>
  <c r="D21" i="8"/>
  <c r="G35" i="8"/>
  <c r="D21" i="9"/>
  <c r="C33" i="10"/>
  <c r="B8" i="11"/>
  <c r="B11" i="11"/>
  <c r="B43" i="11"/>
  <c r="C43" i="11" s="1"/>
  <c r="B25" i="13"/>
  <c r="C25" i="13" s="1"/>
  <c r="C10" i="13"/>
  <c r="D34" i="13"/>
  <c r="D8" i="13"/>
  <c r="B8" i="10"/>
  <c r="B43" i="10"/>
  <c r="C43" i="10" s="1"/>
  <c r="D43" i="10" s="1"/>
  <c r="B11" i="12"/>
  <c r="B34" i="12"/>
  <c r="C8" i="10"/>
  <c r="B8" i="12"/>
  <c r="O8" i="9"/>
  <c r="N8" i="9"/>
  <c r="B21" i="9"/>
  <c r="B10" i="13"/>
  <c r="B23" i="13" s="1"/>
  <c r="C8" i="12"/>
  <c r="E21" i="13"/>
  <c r="C33" i="12"/>
  <c r="B8" i="13"/>
  <c r="F21" i="13"/>
  <c r="C8" i="13"/>
  <c r="B34" i="13"/>
  <c r="C21" i="13"/>
  <c r="C22" i="13" s="1"/>
  <c r="D22" i="13" s="1"/>
  <c r="K49" i="5" l="1"/>
  <c r="K50" i="5" s="1"/>
  <c r="L44" i="5"/>
  <c r="D25" i="13"/>
  <c r="C30" i="13"/>
  <c r="F66" i="9"/>
  <c r="L66" i="8"/>
  <c r="L75" i="8" s="1"/>
  <c r="L77" i="8"/>
  <c r="P67" i="8"/>
  <c r="S64" i="9"/>
  <c r="S71" i="9" s="1"/>
  <c r="W76" i="9" s="1"/>
  <c r="M22" i="9"/>
  <c r="C10" i="5"/>
  <c r="B25" i="5"/>
  <c r="C25" i="5" s="1"/>
  <c r="B10" i="5"/>
  <c r="E22" i="13"/>
  <c r="F22" i="13" s="1"/>
  <c r="B10" i="12"/>
  <c r="B23" i="12" s="1"/>
  <c r="B25" i="12"/>
  <c r="C25" i="12" s="1"/>
  <c r="B23" i="10"/>
  <c r="B45" i="10"/>
  <c r="C30" i="7"/>
  <c r="C46" i="7" s="1"/>
  <c r="D22" i="10"/>
  <c r="H67" i="10"/>
  <c r="H72" i="10" s="1"/>
  <c r="D22" i="5"/>
  <c r="K26" i="5"/>
  <c r="L26" i="5" s="1"/>
  <c r="L30" i="5" s="1"/>
  <c r="L48" i="5" s="1"/>
  <c r="L10" i="5"/>
  <c r="B25" i="1"/>
  <c r="C25" i="1" s="1"/>
  <c r="C10" i="1"/>
  <c r="B10" i="1"/>
  <c r="M25" i="9"/>
  <c r="M10" i="9"/>
  <c r="M23" i="9" s="1"/>
  <c r="N10" i="9"/>
  <c r="M60" i="9"/>
  <c r="K31" i="5"/>
  <c r="K32" i="5" s="1"/>
  <c r="B30" i="13"/>
  <c r="B31" i="13"/>
  <c r="B32" i="13" s="1"/>
  <c r="L67" i="8"/>
  <c r="B23" i="4"/>
  <c r="B45" i="4"/>
  <c r="B45" i="7"/>
  <c r="B23" i="7"/>
  <c r="H57" i="4"/>
  <c r="H60" i="4"/>
  <c r="H54" i="4"/>
  <c r="H60" i="9"/>
  <c r="H25" i="9"/>
  <c r="H10" i="9"/>
  <c r="H23" i="9" s="1"/>
  <c r="C23" i="4"/>
  <c r="C11" i="4"/>
  <c r="C45" i="4"/>
  <c r="W63" i="9"/>
  <c r="C10" i="2"/>
  <c r="B10" i="2"/>
  <c r="B25" i="2"/>
  <c r="C25" i="2" s="1"/>
  <c r="I60" i="9"/>
  <c r="H22" i="5"/>
  <c r="I22" i="9"/>
  <c r="K65" i="9"/>
  <c r="C11" i="7"/>
  <c r="C23" i="7"/>
  <c r="C31" i="7" s="1"/>
  <c r="C32" i="7" s="1"/>
  <c r="C45" i="7"/>
  <c r="J30" i="5"/>
  <c r="J48" i="5" s="1"/>
  <c r="F25" i="5"/>
  <c r="G25" i="5" s="1"/>
  <c r="G10" i="5"/>
  <c r="F10" i="5"/>
  <c r="B56" i="8"/>
  <c r="B59" i="8" s="1"/>
  <c r="B62" i="8" s="1"/>
  <c r="B25" i="8"/>
  <c r="C10" i="8"/>
  <c r="B10" i="8"/>
  <c r="D64" i="9"/>
  <c r="L69" i="8"/>
  <c r="C25" i="10"/>
  <c r="B65" i="10"/>
  <c r="C10" i="3"/>
  <c r="B10" i="3"/>
  <c r="B25" i="3"/>
  <c r="C25" i="3" s="1"/>
  <c r="J43" i="5"/>
  <c r="J49" i="5"/>
  <c r="J50" i="5" s="1"/>
  <c r="L65" i="8"/>
  <c r="B22" i="8"/>
  <c r="C22" i="8" s="1"/>
  <c r="D22" i="8" s="1"/>
  <c r="E22" i="8" s="1"/>
  <c r="F22" i="8" s="1"/>
  <c r="G22" i="8" s="1"/>
  <c r="H22" i="8" s="1"/>
  <c r="C23" i="10"/>
  <c r="C11" i="10"/>
  <c r="C45" i="10"/>
  <c r="B31" i="6"/>
  <c r="B32" i="6" s="1"/>
  <c r="B30" i="6"/>
  <c r="B46" i="6" s="1"/>
  <c r="B47" i="6" s="1"/>
  <c r="B48" i="6" s="1"/>
  <c r="B65" i="4"/>
  <c r="C25" i="4"/>
  <c r="C60" i="9"/>
  <c r="C26" i="9"/>
  <c r="D10" i="9"/>
  <c r="L80" i="8"/>
  <c r="P78" i="8" s="1"/>
  <c r="P70" i="8"/>
  <c r="B10" i="11"/>
  <c r="B25" i="11"/>
  <c r="C25" i="11" s="1"/>
  <c r="C30" i="11" s="1"/>
  <c r="C46" i="11" s="1"/>
  <c r="C10" i="11"/>
  <c r="I34" i="9"/>
  <c r="K43" i="9" s="1"/>
  <c r="I33" i="9"/>
  <c r="K42" i="9" s="1"/>
  <c r="F64" i="9"/>
  <c r="B22" i="9"/>
  <c r="C11" i="13"/>
  <c r="C23" i="13"/>
  <c r="C31" i="13" s="1"/>
  <c r="C32" i="13" s="1"/>
  <c r="W67" i="9"/>
  <c r="S73" i="9"/>
  <c r="W78" i="9" s="1"/>
  <c r="B38" i="8"/>
  <c r="H22" i="9"/>
  <c r="K64" i="9"/>
  <c r="C47" i="6"/>
  <c r="C48" i="6" s="1"/>
  <c r="C41" i="6"/>
  <c r="L56" i="8" l="1"/>
  <c r="L59" i="8" s="1"/>
  <c r="L62" i="8" s="1"/>
  <c r="D25" i="3"/>
  <c r="C30" i="3"/>
  <c r="C46" i="3" s="1"/>
  <c r="B65" i="8"/>
  <c r="B74" i="8" s="1"/>
  <c r="C25" i="8"/>
  <c r="B23" i="2"/>
  <c r="B45" i="2"/>
  <c r="B41" i="4"/>
  <c r="L47" i="5"/>
  <c r="L33" i="5"/>
  <c r="L11" i="5"/>
  <c r="L34" i="5"/>
  <c r="L23" i="5"/>
  <c r="L31" i="5" s="1"/>
  <c r="L32" i="5" s="1"/>
  <c r="C30" i="12"/>
  <c r="C31" i="12" s="1"/>
  <c r="C32" i="12" s="1"/>
  <c r="C26" i="12"/>
  <c r="C46" i="9"/>
  <c r="N22" i="9"/>
  <c r="B30" i="4"/>
  <c r="B46" i="4" s="1"/>
  <c r="B47" i="4" s="1"/>
  <c r="B48" i="4" s="1"/>
  <c r="B30" i="12"/>
  <c r="B31" i="12" s="1"/>
  <c r="B32" i="12" s="1"/>
  <c r="D11" i="9"/>
  <c r="D23" i="9"/>
  <c r="D33" i="9"/>
  <c r="M42" i="9" s="1"/>
  <c r="D34" i="9"/>
  <c r="M43" i="9" s="1"/>
  <c r="C54" i="10"/>
  <c r="C57" i="10"/>
  <c r="C60" i="10"/>
  <c r="D10" i="10"/>
  <c r="C26" i="10"/>
  <c r="K57" i="9"/>
  <c r="C48" i="9"/>
  <c r="C49" i="9" s="1"/>
  <c r="C50" i="9" s="1"/>
  <c r="M30" i="9"/>
  <c r="M31" i="9" s="1"/>
  <c r="M32" i="9" s="1"/>
  <c r="B23" i="5"/>
  <c r="B47" i="5"/>
  <c r="H25" i="5"/>
  <c r="G30" i="5"/>
  <c r="G48" i="5" s="1"/>
  <c r="C30" i="5"/>
  <c r="C48" i="5" s="1"/>
  <c r="D25" i="5"/>
  <c r="C26" i="13"/>
  <c r="D26" i="13" s="1"/>
  <c r="E26" i="13" s="1"/>
  <c r="F26" i="13" s="1"/>
  <c r="D10" i="13"/>
  <c r="C45" i="11"/>
  <c r="C11" i="11"/>
  <c r="C26" i="11" s="1"/>
  <c r="C23" i="11"/>
  <c r="C65" i="4"/>
  <c r="D25" i="4"/>
  <c r="C30" i="4"/>
  <c r="C46" i="4" s="1"/>
  <c r="C47" i="4" s="1"/>
  <c r="C48" i="4" s="1"/>
  <c r="L74" i="8"/>
  <c r="P74" i="8" s="1"/>
  <c r="P65" i="8"/>
  <c r="C70" i="10"/>
  <c r="C65" i="10"/>
  <c r="D25" i="10"/>
  <c r="C30" i="10"/>
  <c r="C46" i="10" s="1"/>
  <c r="D48" i="9"/>
  <c r="C31" i="4"/>
  <c r="C32" i="4" s="1"/>
  <c r="B45" i="1"/>
  <c r="B23" i="1"/>
  <c r="C23" i="5"/>
  <c r="C11" i="5"/>
  <c r="C47" i="5"/>
  <c r="C41" i="10"/>
  <c r="C47" i="10"/>
  <c r="C48" i="10" s="1"/>
  <c r="D71" i="9"/>
  <c r="E71" i="9" s="1"/>
  <c r="E64" i="9"/>
  <c r="G64" i="9" s="1"/>
  <c r="C41" i="7"/>
  <c r="C26" i="7"/>
  <c r="D26" i="7" s="1"/>
  <c r="D30" i="7" s="1"/>
  <c r="D46" i="7" s="1"/>
  <c r="D10" i="7"/>
  <c r="E25" i="13"/>
  <c r="F47" i="5"/>
  <c r="F23" i="5"/>
  <c r="W66" i="9"/>
  <c r="K72" i="9"/>
  <c r="N23" i="9"/>
  <c r="N11" i="9"/>
  <c r="C65" i="9"/>
  <c r="C72" i="9" s="1"/>
  <c r="D26" i="9"/>
  <c r="G11" i="5"/>
  <c r="G47" i="5"/>
  <c r="G23" i="5"/>
  <c r="G31" i="5" s="1"/>
  <c r="G32" i="5" s="1"/>
  <c r="L76" i="8"/>
  <c r="P75" i="8" s="1"/>
  <c r="P66" i="8"/>
  <c r="H60" i="10"/>
  <c r="H57" i="10"/>
  <c r="H54" i="10"/>
  <c r="C22" i="9"/>
  <c r="B46" i="9"/>
  <c r="B49" i="9" s="1"/>
  <c r="B50" i="9" s="1"/>
  <c r="B30" i="9"/>
  <c r="B31" i="9" s="1"/>
  <c r="B32" i="9" s="1"/>
  <c r="H30" i="9"/>
  <c r="H31" i="9" s="1"/>
  <c r="H32" i="9" s="1"/>
  <c r="B30" i="7"/>
  <c r="B46" i="7" s="1"/>
  <c r="B31" i="7"/>
  <c r="B32" i="7" s="1"/>
  <c r="C23" i="1"/>
  <c r="C31" i="1" s="1"/>
  <c r="C32" i="1" s="1"/>
  <c r="C45" i="1"/>
  <c r="C11" i="1"/>
  <c r="B41" i="10"/>
  <c r="B47" i="10"/>
  <c r="B48" i="10" s="1"/>
  <c r="B45" i="3"/>
  <c r="B23" i="3"/>
  <c r="C45" i="2"/>
  <c r="C23" i="2"/>
  <c r="C11" i="2"/>
  <c r="C11" i="3"/>
  <c r="C23" i="3"/>
  <c r="C31" i="3" s="1"/>
  <c r="C32" i="3" s="1"/>
  <c r="C45" i="3"/>
  <c r="C41" i="4"/>
  <c r="C26" i="4"/>
  <c r="C70" i="4" s="1"/>
  <c r="C57" i="4"/>
  <c r="C54" i="4"/>
  <c r="D10" i="4"/>
  <c r="C60" i="4"/>
  <c r="M64" i="9"/>
  <c r="M71" i="9" s="1"/>
  <c r="N25" i="9"/>
  <c r="W65" i="9"/>
  <c r="K71" i="9"/>
  <c r="B47" i="8"/>
  <c r="B23" i="8"/>
  <c r="J31" i="5"/>
  <c r="J32" i="5" s="1"/>
  <c r="F71" i="9"/>
  <c r="W73" i="9" s="1"/>
  <c r="W62" i="9"/>
  <c r="B45" i="11"/>
  <c r="B23" i="11"/>
  <c r="P68" i="8"/>
  <c r="L78" i="8"/>
  <c r="P76" i="8" s="1"/>
  <c r="C47" i="8"/>
  <c r="C23" i="8"/>
  <c r="C11" i="8"/>
  <c r="C47" i="7"/>
  <c r="C48" i="7" s="1"/>
  <c r="D25" i="2"/>
  <c r="C30" i="2"/>
  <c r="C46" i="2" s="1"/>
  <c r="H64" i="9"/>
  <c r="H71" i="9" s="1"/>
  <c r="I25" i="9"/>
  <c r="B47" i="7"/>
  <c r="B48" i="7" s="1"/>
  <c r="B41" i="7"/>
  <c r="H25" i="1"/>
  <c r="D25" i="1"/>
  <c r="C30" i="1"/>
  <c r="C46" i="1" s="1"/>
  <c r="B30" i="10"/>
  <c r="B46" i="10" s="1"/>
  <c r="F73" i="9"/>
  <c r="W74" i="9" s="1"/>
  <c r="W64" i="9"/>
  <c r="B41" i="1" l="1"/>
  <c r="D11" i="10"/>
  <c r="D45" i="10"/>
  <c r="D23" i="10"/>
  <c r="D34" i="10"/>
  <c r="B37" i="10" s="1"/>
  <c r="D33" i="10"/>
  <c r="B36" i="10" s="1"/>
  <c r="D11" i="4"/>
  <c r="D34" i="4"/>
  <c r="B37" i="4" s="1"/>
  <c r="D45" i="4"/>
  <c r="D23" i="4"/>
  <c r="D33" i="4"/>
  <c r="B36" i="4" s="1"/>
  <c r="B30" i="1"/>
  <c r="B46" i="1" s="1"/>
  <c r="B47" i="1" s="1"/>
  <c r="B48" i="1" s="1"/>
  <c r="C41" i="11"/>
  <c r="C47" i="11"/>
  <c r="C48" i="11" s="1"/>
  <c r="B49" i="5"/>
  <c r="B50" i="5" s="1"/>
  <c r="B43" i="5"/>
  <c r="C71" i="10"/>
  <c r="C66" i="10"/>
  <c r="D26" i="10"/>
  <c r="D29" i="9"/>
  <c r="D27" i="9"/>
  <c r="D66" i="9" s="1"/>
  <c r="D60" i="9"/>
  <c r="B41" i="2"/>
  <c r="C49" i="8"/>
  <c r="C50" i="8" s="1"/>
  <c r="C43" i="8"/>
  <c r="C26" i="3"/>
  <c r="D26" i="3" s="1"/>
  <c r="D10" i="3"/>
  <c r="G49" i="5"/>
  <c r="G50" i="5" s="1"/>
  <c r="G43" i="5"/>
  <c r="D10" i="2"/>
  <c r="C26" i="2"/>
  <c r="D26" i="2" s="1"/>
  <c r="H10" i="5"/>
  <c r="G26" i="5"/>
  <c r="H26" i="5" s="1"/>
  <c r="H30" i="5" s="1"/>
  <c r="H48" i="5" s="1"/>
  <c r="D49" i="9"/>
  <c r="D50" i="9" s="1"/>
  <c r="D65" i="4"/>
  <c r="F65" i="4" s="1"/>
  <c r="L29" i="5"/>
  <c r="L27" i="5"/>
  <c r="B31" i="10"/>
  <c r="B32" i="10" s="1"/>
  <c r="D30" i="13"/>
  <c r="N64" i="9"/>
  <c r="N71" i="9" s="1"/>
  <c r="O25" i="9"/>
  <c r="N30" i="9"/>
  <c r="F45" i="9" s="1"/>
  <c r="C47" i="2"/>
  <c r="C48" i="2" s="1"/>
  <c r="C41" i="2"/>
  <c r="F25" i="13"/>
  <c r="C43" i="5"/>
  <c r="C49" i="5"/>
  <c r="C50" i="5" s="1"/>
  <c r="D70" i="10"/>
  <c r="F70" i="10" s="1"/>
  <c r="D65" i="10"/>
  <c r="F65" i="10" s="1"/>
  <c r="F46" i="9"/>
  <c r="O22" i="9"/>
  <c r="L49" i="5"/>
  <c r="L50" i="5" s="1"/>
  <c r="L43" i="5"/>
  <c r="D30" i="3"/>
  <c r="D46" i="3" s="1"/>
  <c r="B33" i="8"/>
  <c r="B34" i="8" s="1"/>
  <c r="B32" i="8"/>
  <c r="B48" i="8" s="1"/>
  <c r="B49" i="8" s="1"/>
  <c r="B50" i="8" s="1"/>
  <c r="G71" i="9"/>
  <c r="B30" i="5"/>
  <c r="B48" i="5" s="1"/>
  <c r="B31" i="5"/>
  <c r="B32" i="5" s="1"/>
  <c r="B30" i="2"/>
  <c r="B46" i="2" s="1"/>
  <c r="B47" i="2" s="1"/>
  <c r="B48" i="2" s="1"/>
  <c r="I64" i="9"/>
  <c r="I30" i="9"/>
  <c r="I26" i="9"/>
  <c r="I65" i="9" s="1"/>
  <c r="B43" i="8"/>
  <c r="C26" i="1"/>
  <c r="D26" i="1" s="1"/>
  <c r="E26" i="1" s="1"/>
  <c r="F26" i="1" s="1"/>
  <c r="D10" i="1"/>
  <c r="F30" i="5"/>
  <c r="F48" i="5" s="1"/>
  <c r="F49" i="5" s="1"/>
  <c r="F50" i="5" s="1"/>
  <c r="F31" i="5"/>
  <c r="F32" i="5" s="1"/>
  <c r="C65" i="8"/>
  <c r="C74" i="8" s="1"/>
  <c r="D25" i="8"/>
  <c r="C32" i="8"/>
  <c r="C48" i="8" s="1"/>
  <c r="W75" i="9"/>
  <c r="C47" i="1"/>
  <c r="C48" i="1" s="1"/>
  <c r="C41" i="1"/>
  <c r="D30" i="5"/>
  <c r="D48" i="5" s="1"/>
  <c r="B30" i="11"/>
  <c r="B46" i="11" s="1"/>
  <c r="B47" i="11" s="1"/>
  <c r="B48" i="11" s="1"/>
  <c r="D65" i="9"/>
  <c r="D30" i="9"/>
  <c r="B31" i="4"/>
  <c r="B32" i="4" s="1"/>
  <c r="D30" i="2"/>
  <c r="D46" i="2" s="1"/>
  <c r="B41" i="11"/>
  <c r="E25" i="1"/>
  <c r="C31" i="10"/>
  <c r="C32" i="10" s="1"/>
  <c r="B31" i="3"/>
  <c r="B32" i="3" s="1"/>
  <c r="B30" i="3"/>
  <c r="B46" i="3" s="1"/>
  <c r="N26" i="9"/>
  <c r="N60" i="9"/>
  <c r="O10" i="9"/>
  <c r="D11" i="7"/>
  <c r="D45" i="7"/>
  <c r="D34" i="7"/>
  <c r="B37" i="7" s="1"/>
  <c r="D23" i="7"/>
  <c r="D31" i="7" s="1"/>
  <c r="D32" i="7" s="1"/>
  <c r="D33" i="7"/>
  <c r="B36" i="7" s="1"/>
  <c r="C26" i="5"/>
  <c r="D26" i="5" s="1"/>
  <c r="D10" i="5"/>
  <c r="C33" i="11"/>
  <c r="B36" i="11" s="1"/>
  <c r="C31" i="11"/>
  <c r="C32" i="11" s="1"/>
  <c r="C34" i="11"/>
  <c r="B37" i="11" s="1"/>
  <c r="K58" i="9"/>
  <c r="D11" i="13"/>
  <c r="D23" i="13"/>
  <c r="D31" i="13" s="1"/>
  <c r="D32" i="13" s="1"/>
  <c r="C66" i="4"/>
  <c r="D26" i="4"/>
  <c r="D66" i="4" s="1"/>
  <c r="F66" i="4" s="1"/>
  <c r="D46" i="9"/>
  <c r="C31" i="9"/>
  <c r="C32" i="9" s="1"/>
  <c r="D22" i="9"/>
  <c r="F57" i="9" s="1"/>
  <c r="F43" i="5"/>
  <c r="C31" i="2"/>
  <c r="C32" i="2" s="1"/>
  <c r="C26" i="8"/>
  <c r="C56" i="8"/>
  <c r="C59" i="8" s="1"/>
  <c r="C62" i="8" s="1"/>
  <c r="D10" i="8"/>
  <c r="C47" i="3"/>
  <c r="C48" i="3" s="1"/>
  <c r="C41" i="3"/>
  <c r="B41" i="3"/>
  <c r="B47" i="3"/>
  <c r="B48" i="3" s="1"/>
  <c r="F48" i="9"/>
  <c r="F49" i="9" s="1"/>
  <c r="F50" i="9" s="1"/>
  <c r="N31" i="9"/>
  <c r="N32" i="9" s="1"/>
  <c r="C31" i="5"/>
  <c r="C32" i="5" s="1"/>
  <c r="G57" i="9"/>
  <c r="G58" i="9" l="1"/>
  <c r="X47" i="9"/>
  <c r="D47" i="8"/>
  <c r="D23" i="8"/>
  <c r="D11" i="8"/>
  <c r="D41" i="7"/>
  <c r="D47" i="7"/>
  <c r="D48" i="7" s="1"/>
  <c r="D30" i="1"/>
  <c r="D46" i="1" s="1"/>
  <c r="B31" i="11"/>
  <c r="B32" i="11" s="1"/>
  <c r="L57" i="9"/>
  <c r="I31" i="9"/>
  <c r="I32" i="9" s="1"/>
  <c r="D73" i="9"/>
  <c r="E73" i="9" s="1"/>
  <c r="E66" i="9"/>
  <c r="G66" i="9" s="1"/>
  <c r="C33" i="8"/>
  <c r="C34" i="8" s="1"/>
  <c r="D23" i="1"/>
  <c r="D31" i="1" s="1"/>
  <c r="D32" i="1" s="1"/>
  <c r="D45" i="1"/>
  <c r="D11" i="1"/>
  <c r="D23" i="5"/>
  <c r="D31" i="5" s="1"/>
  <c r="D32" i="5" s="1"/>
  <c r="D11" i="5"/>
  <c r="D47" i="5"/>
  <c r="D33" i="5"/>
  <c r="D34" i="5"/>
  <c r="G46" i="9"/>
  <c r="H46" i="9" s="1"/>
  <c r="P22" i="9"/>
  <c r="D41" i="4"/>
  <c r="D57" i="10"/>
  <c r="F57" i="10" s="1"/>
  <c r="D60" i="10"/>
  <c r="F60" i="10" s="1"/>
  <c r="D54" i="10"/>
  <c r="F54" i="10" s="1"/>
  <c r="D29" i="10"/>
  <c r="D27" i="10"/>
  <c r="F25" i="1"/>
  <c r="D27" i="13"/>
  <c r="E27" i="13" s="1"/>
  <c r="E10" i="13"/>
  <c r="N65" i="9"/>
  <c r="N72" i="9" s="1"/>
  <c r="O26" i="9"/>
  <c r="D47" i="10"/>
  <c r="D48" i="10" s="1"/>
  <c r="D41" i="10"/>
  <c r="K59" i="9"/>
  <c r="W57" i="9" s="1"/>
  <c r="W52" i="9"/>
  <c r="D45" i="2"/>
  <c r="D23" i="2"/>
  <c r="D31" i="2" s="1"/>
  <c r="D32" i="2" s="1"/>
  <c r="D33" i="2"/>
  <c r="B36" i="2" s="1"/>
  <c r="D11" i="2"/>
  <c r="D34" i="2"/>
  <c r="B37" i="2" s="1"/>
  <c r="D27" i="7"/>
  <c r="D29" i="7" s="1"/>
  <c r="I71" i="9"/>
  <c r="J71" i="9" s="1"/>
  <c r="J64" i="9"/>
  <c r="L64" i="9" s="1"/>
  <c r="O64" i="9"/>
  <c r="O71" i="9" s="1"/>
  <c r="P25" i="9"/>
  <c r="O30" i="9"/>
  <c r="G45" i="9" s="1"/>
  <c r="H45" i="9" s="1"/>
  <c r="D70" i="4"/>
  <c r="F70" i="4" s="1"/>
  <c r="I70" i="4" s="1"/>
  <c r="D11" i="3"/>
  <c r="D23" i="3"/>
  <c r="D31" i="3" s="1"/>
  <c r="D32" i="3" s="1"/>
  <c r="D45" i="3"/>
  <c r="B31" i="1"/>
  <c r="B32" i="1" s="1"/>
  <c r="D26" i="8"/>
  <c r="C66" i="8"/>
  <c r="C75" i="8" s="1"/>
  <c r="O23" i="9"/>
  <c r="O11" i="9"/>
  <c r="D71" i="10"/>
  <c r="F71" i="10" s="1"/>
  <c r="D66" i="10"/>
  <c r="F66" i="10" s="1"/>
  <c r="B31" i="2"/>
  <c r="B32" i="2" s="1"/>
  <c r="I60" i="10"/>
  <c r="I70" i="10"/>
  <c r="I65" i="10"/>
  <c r="I71" i="10"/>
  <c r="I66" i="10"/>
  <c r="H47" i="5"/>
  <c r="H23" i="5"/>
  <c r="H31" i="5" s="1"/>
  <c r="H32" i="5" s="1"/>
  <c r="H11" i="5"/>
  <c r="H33" i="5"/>
  <c r="H34" i="5"/>
  <c r="I65" i="4"/>
  <c r="I54" i="4"/>
  <c r="I66" i="4"/>
  <c r="D31" i="4"/>
  <c r="D32" i="4" s="1"/>
  <c r="F58" i="9"/>
  <c r="W47" i="9"/>
  <c r="D31" i="9"/>
  <c r="D32" i="9" s="1"/>
  <c r="D72" i="9"/>
  <c r="E72" i="9" s="1"/>
  <c r="E65" i="9"/>
  <c r="G65" i="9" s="1"/>
  <c r="E25" i="8"/>
  <c r="D65" i="8"/>
  <c r="D74" i="8" s="1"/>
  <c r="D32" i="8"/>
  <c r="D48" i="8" s="1"/>
  <c r="I72" i="9"/>
  <c r="J72" i="9" s="1"/>
  <c r="J65" i="9"/>
  <c r="D30" i="10"/>
  <c r="D46" i="10" s="1"/>
  <c r="D30" i="4"/>
  <c r="D46" i="4" s="1"/>
  <c r="D47" i="4" s="1"/>
  <c r="D48" i="4" s="1"/>
  <c r="D57" i="4"/>
  <c r="F57" i="4" s="1"/>
  <c r="D54" i="4"/>
  <c r="F54" i="4" s="1"/>
  <c r="D27" i="4"/>
  <c r="D60" i="4"/>
  <c r="F60" i="4" s="1"/>
  <c r="F59" i="9" l="1"/>
  <c r="W56" i="9" s="1"/>
  <c r="W51" i="9"/>
  <c r="D27" i="3"/>
  <c r="D29" i="3" s="1"/>
  <c r="E10" i="3"/>
  <c r="D67" i="10"/>
  <c r="F67" i="10" s="1"/>
  <c r="I67" i="10" s="1"/>
  <c r="K66" i="10" s="1"/>
  <c r="D72" i="10"/>
  <c r="F72" i="10" s="1"/>
  <c r="I72" i="10" s="1"/>
  <c r="I46" i="9"/>
  <c r="Q22" i="9"/>
  <c r="K46" i="9"/>
  <c r="D41" i="1"/>
  <c r="D47" i="1"/>
  <c r="D48" i="1" s="1"/>
  <c r="D71" i="4"/>
  <c r="F71" i="4" s="1"/>
  <c r="I71" i="4" s="1"/>
  <c r="D67" i="4"/>
  <c r="F67" i="4" s="1"/>
  <c r="I67" i="4" s="1"/>
  <c r="O60" i="9"/>
  <c r="O27" i="9"/>
  <c r="P10" i="9"/>
  <c r="B39" i="5"/>
  <c r="E65" i="8"/>
  <c r="E74" i="8" s="1"/>
  <c r="F25" i="8"/>
  <c r="P64" i="9"/>
  <c r="P71" i="9" s="1"/>
  <c r="Q25" i="9"/>
  <c r="G73" i="9"/>
  <c r="X74" i="9" s="1"/>
  <c r="X64" i="9"/>
  <c r="G72" i="9"/>
  <c r="X73" i="9" s="1"/>
  <c r="H49" i="5"/>
  <c r="H50" i="5" s="1"/>
  <c r="H43" i="5"/>
  <c r="E23" i="13"/>
  <c r="E11" i="13"/>
  <c r="F10" i="13" s="1"/>
  <c r="D31" i="10"/>
  <c r="D32" i="10" s="1"/>
  <c r="X65" i="9"/>
  <c r="L71" i="9"/>
  <c r="X75" i="9" s="1"/>
  <c r="D47" i="2"/>
  <c r="D48" i="2" s="1"/>
  <c r="D41" i="2"/>
  <c r="F27" i="13"/>
  <c r="F30" i="13" s="1"/>
  <c r="E30" i="13"/>
  <c r="D27" i="5"/>
  <c r="D29" i="5"/>
  <c r="D49" i="8"/>
  <c r="D50" i="8" s="1"/>
  <c r="D43" i="8"/>
  <c r="H27" i="5"/>
  <c r="H29" i="5" s="1"/>
  <c r="O31" i="9"/>
  <c r="O32" i="9" s="1"/>
  <c r="G48" i="9"/>
  <c r="D27" i="2"/>
  <c r="D29" i="2" s="1"/>
  <c r="O65" i="9"/>
  <c r="O72" i="9" s="1"/>
  <c r="P26" i="9"/>
  <c r="B38" i="5"/>
  <c r="D43" i="5"/>
  <c r="D49" i="5"/>
  <c r="D50" i="5" s="1"/>
  <c r="I60" i="4"/>
  <c r="I57" i="10"/>
  <c r="L58" i="9"/>
  <c r="D56" i="8"/>
  <c r="D59" i="8" s="1"/>
  <c r="D62" i="8" s="1"/>
  <c r="D27" i="8"/>
  <c r="E10" i="8"/>
  <c r="D66" i="8"/>
  <c r="D75" i="8" s="1"/>
  <c r="E26" i="8"/>
  <c r="D33" i="8"/>
  <c r="D34" i="8" s="1"/>
  <c r="D47" i="3"/>
  <c r="D48" i="3" s="1"/>
  <c r="D41" i="3"/>
  <c r="D29" i="4"/>
  <c r="I57" i="4"/>
  <c r="I54" i="10"/>
  <c r="E10" i="1"/>
  <c r="D27" i="1"/>
  <c r="E27" i="1" s="1"/>
  <c r="G59" i="9"/>
  <c r="X56" i="9" s="1"/>
  <c r="X51" i="9"/>
  <c r="G49" i="9" l="1"/>
  <c r="G50" i="9" s="1"/>
  <c r="H48" i="9"/>
  <c r="H49" i="9" s="1"/>
  <c r="H50" i="9" s="1"/>
  <c r="E31" i="13"/>
  <c r="E32" i="13" s="1"/>
  <c r="Q64" i="9"/>
  <c r="E47" i="8"/>
  <c r="E23" i="8"/>
  <c r="E11" i="8"/>
  <c r="E27" i="8"/>
  <c r="D67" i="8"/>
  <c r="D76" i="8" s="1"/>
  <c r="E34" i="3"/>
  <c r="B37" i="3" s="1"/>
  <c r="E11" i="3"/>
  <c r="E33" i="3"/>
  <c r="B36" i="3" s="1"/>
  <c r="P23" i="9"/>
  <c r="P11" i="9"/>
  <c r="M46" i="9"/>
  <c r="S57" i="9"/>
  <c r="L46" i="9"/>
  <c r="G25" i="8"/>
  <c r="F65" i="8"/>
  <c r="F74" i="8" s="1"/>
  <c r="Q26" i="9"/>
  <c r="Q65" i="9" s="1"/>
  <c r="P65" i="9"/>
  <c r="P72" i="9" s="1"/>
  <c r="F27" i="1"/>
  <c r="F30" i="1" s="1"/>
  <c r="F46" i="1" s="1"/>
  <c r="E30" i="1"/>
  <c r="E46" i="1" s="1"/>
  <c r="X52" i="9"/>
  <c r="L59" i="9"/>
  <c r="X57" i="9" s="1"/>
  <c r="E45" i="1"/>
  <c r="E23" i="1"/>
  <c r="E31" i="1" s="1"/>
  <c r="E32" i="1" s="1"/>
  <c r="E11" i="1"/>
  <c r="F10" i="1" s="1"/>
  <c r="E66" i="8"/>
  <c r="E75" i="8" s="1"/>
  <c r="F26" i="8"/>
  <c r="F23" i="13"/>
  <c r="F31" i="13" s="1"/>
  <c r="F32" i="13" s="1"/>
  <c r="F11" i="13"/>
  <c r="F29" i="13" s="1"/>
  <c r="F34" i="13"/>
  <c r="F33" i="13"/>
  <c r="O66" i="9"/>
  <c r="O73" i="9" s="1"/>
  <c r="P27" i="9"/>
  <c r="P30" i="9" s="1"/>
  <c r="I45" i="9" s="1"/>
  <c r="K45" i="9" s="1"/>
  <c r="E56" i="8" l="1"/>
  <c r="E59" i="8" s="1"/>
  <c r="E62" i="8" s="1"/>
  <c r="E28" i="8"/>
  <c r="F10" i="8"/>
  <c r="E33" i="8"/>
  <c r="E34" i="8" s="1"/>
  <c r="F11" i="1"/>
  <c r="F29" i="1" s="1"/>
  <c r="F45" i="1"/>
  <c r="F23" i="1"/>
  <c r="F31" i="1" s="1"/>
  <c r="F32" i="1" s="1"/>
  <c r="F33" i="1"/>
  <c r="B36" i="1" s="1"/>
  <c r="F34" i="1"/>
  <c r="B37" i="1" s="1"/>
  <c r="Q72" i="9"/>
  <c r="P31" i="9"/>
  <c r="P32" i="9" s="1"/>
  <c r="I48" i="9"/>
  <c r="I49" i="9" s="1"/>
  <c r="I50" i="9" s="1"/>
  <c r="K48" i="9"/>
  <c r="K49" i="9" s="1"/>
  <c r="K50" i="9" s="1"/>
  <c r="E49" i="8"/>
  <c r="E50" i="8" s="1"/>
  <c r="E43" i="8"/>
  <c r="F66" i="8"/>
  <c r="F75" i="8" s="1"/>
  <c r="G26" i="8"/>
  <c r="Q27" i="9"/>
  <c r="Q66" i="9" s="1"/>
  <c r="P66" i="9"/>
  <c r="P73" i="9" s="1"/>
  <c r="P60" i="9"/>
  <c r="Q10" i="9"/>
  <c r="Q30" i="9"/>
  <c r="E41" i="1"/>
  <c r="E47" i="1"/>
  <c r="E48" i="1" s="1"/>
  <c r="Q71" i="9"/>
  <c r="H25" i="8"/>
  <c r="G65" i="8"/>
  <c r="G74" i="8" s="1"/>
  <c r="S58" i="9"/>
  <c r="W48" i="9"/>
  <c r="W45" i="9" s="1"/>
  <c r="F27" i="8"/>
  <c r="E67" i="8"/>
  <c r="E76" i="8" s="1"/>
  <c r="E32" i="8"/>
  <c r="E48" i="8" s="1"/>
  <c r="G27" i="8" l="1"/>
  <c r="F67" i="8"/>
  <c r="F76" i="8" s="1"/>
  <c r="S59" i="9"/>
  <c r="W58" i="9" s="1"/>
  <c r="W53" i="9"/>
  <c r="M45" i="9"/>
  <c r="L45" i="9"/>
  <c r="Q23" i="9"/>
  <c r="Q34" i="9"/>
  <c r="L43" i="9" s="1"/>
  <c r="B54" i="9" s="1"/>
  <c r="Q11" i="9"/>
  <c r="Q33" i="9"/>
  <c r="L42" i="9" s="1"/>
  <c r="B53" i="9" s="1"/>
  <c r="F41" i="1"/>
  <c r="F47" i="1"/>
  <c r="F48" i="1" s="1"/>
  <c r="H65" i="8"/>
  <c r="R66" i="9"/>
  <c r="T66" i="9" s="1"/>
  <c r="Q73" i="9"/>
  <c r="R73" i="9" s="1"/>
  <c r="R72" i="9"/>
  <c r="F23" i="8"/>
  <c r="F11" i="8"/>
  <c r="F47" i="8"/>
  <c r="R71" i="9"/>
  <c r="G66" i="8"/>
  <c r="G75" i="8" s="1"/>
  <c r="H26" i="8"/>
  <c r="H66" i="8" s="1"/>
  <c r="E68" i="8"/>
  <c r="E77" i="8" s="1"/>
  <c r="F28" i="8"/>
  <c r="F32" i="8"/>
  <c r="F48" i="8" s="1"/>
  <c r="H75" i="8" l="1"/>
  <c r="M48" i="9"/>
  <c r="M49" i="9" s="1"/>
  <c r="M50" i="9" s="1"/>
  <c r="T57" i="9"/>
  <c r="Q31" i="9"/>
  <c r="Q32" i="9" s="1"/>
  <c r="L48" i="9"/>
  <c r="L49" i="9" s="1"/>
  <c r="L50" i="9" s="1"/>
  <c r="F43" i="8"/>
  <c r="F49" i="8"/>
  <c r="F50" i="8" s="1"/>
  <c r="T73" i="9"/>
  <c r="X78" i="9" s="1"/>
  <c r="X67" i="9"/>
  <c r="H74" i="8"/>
  <c r="F56" i="8"/>
  <c r="F59" i="8" s="1"/>
  <c r="F62" i="8" s="1"/>
  <c r="G10" i="8"/>
  <c r="F29" i="8"/>
  <c r="F69" i="8" s="1"/>
  <c r="F78" i="8" s="1"/>
  <c r="F33" i="8"/>
  <c r="F34" i="8" s="1"/>
  <c r="F68" i="8"/>
  <c r="F77" i="8" s="1"/>
  <c r="G28" i="8"/>
  <c r="Q29" i="9"/>
  <c r="Q68" i="9" s="1"/>
  <c r="R67" i="9"/>
  <c r="T67" i="9" s="1"/>
  <c r="R74" i="9"/>
  <c r="Q60" i="9"/>
  <c r="R65" i="9"/>
  <c r="T65" i="9" s="1"/>
  <c r="R64" i="9"/>
  <c r="T64" i="9" s="1"/>
  <c r="H27" i="8"/>
  <c r="H67" i="8" s="1"/>
  <c r="G67" i="8"/>
  <c r="G76" i="8" s="1"/>
  <c r="G32" i="8"/>
  <c r="G48" i="8" s="1"/>
  <c r="Q75" i="9" l="1"/>
  <c r="R75" i="9" s="1"/>
  <c r="R68" i="9"/>
  <c r="T68" i="9" s="1"/>
  <c r="G47" i="8"/>
  <c r="G23" i="8"/>
  <c r="G33" i="8" s="1"/>
  <c r="G34" i="8" s="1"/>
  <c r="G11" i="8"/>
  <c r="T58" i="9"/>
  <c r="X48" i="9"/>
  <c r="X45" i="9" s="1"/>
  <c r="G68" i="8"/>
  <c r="G77" i="8" s="1"/>
  <c r="H28" i="8"/>
  <c r="T72" i="9"/>
  <c r="X77" i="9" s="1"/>
  <c r="X63" i="9"/>
  <c r="X68" i="9"/>
  <c r="T74" i="9"/>
  <c r="X79" i="9" s="1"/>
  <c r="H76" i="8"/>
  <c r="T71" i="9"/>
  <c r="X62" i="9"/>
  <c r="X53" i="9" l="1"/>
  <c r="T59" i="9"/>
  <c r="X58" i="9" s="1"/>
  <c r="G30" i="8"/>
  <c r="H11" i="8"/>
  <c r="H56" i="8" s="1"/>
  <c r="G56" i="8"/>
  <c r="G59" i="8" s="1"/>
  <c r="G62" i="8" s="1"/>
  <c r="G49" i="8"/>
  <c r="G50" i="8" s="1"/>
  <c r="G43" i="8"/>
  <c r="T75" i="9"/>
  <c r="X69" i="9"/>
  <c r="X76" i="9"/>
  <c r="AA45" i="9" s="1"/>
  <c r="H68" i="8"/>
  <c r="H77" i="8" l="1"/>
  <c r="J77" i="8" s="1"/>
  <c r="J68" i="8"/>
  <c r="M68" i="8" s="1"/>
  <c r="H59" i="8"/>
  <c r="H62" i="8" s="1"/>
  <c r="J69" i="8"/>
  <c r="M69" i="8" s="1"/>
  <c r="J71" i="8"/>
  <c r="M71" i="8" s="1"/>
  <c r="J80" i="8"/>
  <c r="J78" i="8"/>
  <c r="J66" i="8"/>
  <c r="M66" i="8" s="1"/>
  <c r="M75" i="8" s="1"/>
  <c r="J65" i="8"/>
  <c r="M65" i="8" s="1"/>
  <c r="J75" i="8"/>
  <c r="J74" i="8"/>
  <c r="J67" i="8"/>
  <c r="M67" i="8" s="1"/>
  <c r="G70" i="8"/>
  <c r="G79" i="8" s="1"/>
  <c r="H30" i="8"/>
  <c r="J76" i="8"/>
  <c r="Q66" i="8" l="1"/>
  <c r="M76" i="8"/>
  <c r="Q75" i="8" s="1"/>
  <c r="H70" i="8"/>
  <c r="H32" i="8"/>
  <c r="Q70" i="8"/>
  <c r="M80" i="8"/>
  <c r="Q78" i="8" s="1"/>
  <c r="Q68" i="8"/>
  <c r="M78" i="8"/>
  <c r="Q76" i="8" s="1"/>
  <c r="M77" i="8"/>
  <c r="Q67" i="8"/>
  <c r="Q65" i="8"/>
  <c r="M74" i="8"/>
  <c r="Q74" i="8" s="1"/>
  <c r="H48" i="8" l="1"/>
  <c r="H49" i="8" s="1"/>
  <c r="H50" i="8" s="1"/>
  <c r="M56" i="8"/>
  <c r="M59" i="8" s="1"/>
  <c r="M62" i="8" s="1"/>
  <c r="H33" i="8"/>
  <c r="H34" i="8" s="1"/>
  <c r="J70" i="8"/>
  <c r="M70" i="8" s="1"/>
  <c r="H79" i="8"/>
  <c r="J79" i="8" s="1"/>
  <c r="M79" i="8" l="1"/>
  <c r="Q77" i="8" s="1"/>
  <c r="Q6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ID#AAAAkFYZvnw
elena    (2022-11-16 08:53:57)
Замена MaxValue на MinValue. Чем ниже Valuation, тем больше доля инвестора. Конвертация идет по низшему из этих двух значений.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DMlKo0vjS+FmSEtvwkKqGgkUm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2000000}">
      <text>
        <r>
          <rPr>
            <sz val="12"/>
            <color theme="1"/>
            <rFont val="Calibri"/>
            <scheme val="minor"/>
          </rPr>
          <t>======
ID#AAAAkFYZvn8
Liz Lovelace    (2022-11-16 09:30:32)
Feb 29 is a leap day</t>
        </r>
      </text>
    </comment>
    <comment ref="C1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ID#AAAAoG1ulAk
Liz Lovelace    (2023-01-26 02:53:33)
Это колонка нужна для того, чтобы рассчитать Paper IRR (бумажный IRR). Showcase делает это автоматически.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qblLFm87V+rZT27b5DTiZChi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700-000002000000}">
      <text>
        <r>
          <rPr>
            <sz val="12"/>
            <color theme="1"/>
            <rFont val="Calibri"/>
            <scheme val="minor"/>
          </rPr>
          <t>======
ID#AAAAkFYZvno
allselead@gmail.com    (2022-11-16 08:53:57)
Same share as on previous round</t>
        </r>
      </text>
    </comment>
    <comment ref="H25" authorId="0" shapeId="0" xr:uid="{00000000-0006-0000-0700-000001000000}">
      <text>
        <r>
          <rPr>
            <sz val="12"/>
            <color theme="1"/>
            <rFont val="Calibri"/>
            <scheme val="minor"/>
          </rPr>
          <t>======
ID#AAAAkFYZvn4
allselead@gmail.com    (2022-11-16 08:53:57)
Доля не размывается перед выходом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JRBP/wcEvT/T5oCutJtSRiLRq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7" authorId="0" shapeId="0" xr:uid="{00000000-0006-0000-0800-000001000000}">
      <text>
        <r>
          <rPr>
            <sz val="12"/>
            <color theme="1"/>
            <rFont val="Calibri"/>
            <scheme val="minor"/>
          </rPr>
          <t>======
ID#AAAAkFYZvn0
tc={15E2B749-BEFB-7941-8204-E299155E21CB}    (2022-11-16 08:53:57)
[Threaded comment]
Your version of Excel allows you to read this threaded comment; however, any edits to it will get removed if the file is opened in a newer version of Excel. Learn more: https://go.microsoft.com/fwlink/?linkid=870924
Comment:
    Do not add posivite value of shares (on exit)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qs97O/1l4lElgH2zDTpUCFDvd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C00-000001000000}">
      <text>
        <r>
          <rPr>
            <sz val="12"/>
            <color theme="1"/>
            <rFont val="Calibri"/>
            <scheme val="minor"/>
          </rPr>
          <t>======
ID#AAAAkFYZvns
elena    (2022-11-16 08:53:57)
Замена MaxValue на MinValue. Чем ниже Valuation, тем больше доля инвестора. Конвертация идет по низшему из этих двух значений.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Yyl6YCnj/Y4GCiRKM7vL37ikk7g=="/>
    </ext>
  </extLst>
</comments>
</file>

<file path=xl/sharedStrings.xml><?xml version="1.0" encoding="utf-8"?>
<sst xmlns="http://schemas.openxmlformats.org/spreadsheetml/2006/main" count="974" uniqueCount="112">
  <si>
    <t>Company name</t>
  </si>
  <si>
    <t>Record type</t>
  </si>
  <si>
    <t>Initial investment</t>
  </si>
  <si>
    <t>Investment</t>
  </si>
  <si>
    <t xml:space="preserve">safe - берем виртуальную оценку на следующем раунде если это safe или реальную, если equity. </t>
  </si>
  <si>
    <t>Investment type</t>
  </si>
  <si>
    <t>SAFE</t>
  </si>
  <si>
    <t>Equity</t>
  </si>
  <si>
    <t>Equity считается сразу</t>
  </si>
  <si>
    <t>Discount</t>
  </si>
  <si>
    <t>Investments Gross</t>
  </si>
  <si>
    <t>Investments Net</t>
  </si>
  <si>
    <t>commission</t>
  </si>
  <si>
    <t>carry</t>
  </si>
  <si>
    <t>Value of shares</t>
  </si>
  <si>
    <t>% ownership in current round</t>
  </si>
  <si>
    <t>Round size</t>
  </si>
  <si>
    <t>Valuation Post</t>
  </si>
  <si>
    <t>CAP</t>
  </si>
  <si>
    <t>MinValue(Cap,Valuation Post * Discount)</t>
  </si>
  <si>
    <t>Final valuation</t>
  </si>
  <si>
    <t>Kappa</t>
  </si>
  <si>
    <t>Investments gross</t>
  </si>
  <si>
    <t>Investments gross integral</t>
  </si>
  <si>
    <t>Share value amount gross</t>
  </si>
  <si>
    <t>Carry percent</t>
  </si>
  <si>
    <t>Carry 1 share</t>
  </si>
  <si>
    <t>Carry 2 share</t>
  </si>
  <si>
    <t>Carry 3 share</t>
  </si>
  <si>
    <t>Carry 4 share</t>
  </si>
  <si>
    <t>Carry 5 share</t>
  </si>
  <si>
    <t>Carry total</t>
  </si>
  <si>
    <t>Net profit</t>
  </si>
  <si>
    <t>Net profitability</t>
  </si>
  <si>
    <t>Gross cash flow</t>
  </si>
  <si>
    <t>Net cash flow</t>
  </si>
  <si>
    <t>Gross IRR</t>
  </si>
  <si>
    <t>Net IRR</t>
  </si>
  <si>
    <t>Company Calculations</t>
  </si>
  <si>
    <t>sharePercent</t>
  </si>
  <si>
    <t>amountGross</t>
  </si>
  <si>
    <t>amountNet</t>
  </si>
  <si>
    <t>valuation</t>
  </si>
  <si>
    <t>shareValueAmountGross</t>
  </si>
  <si>
    <t>carryValue</t>
  </si>
  <si>
    <t>netProfit</t>
  </si>
  <si>
    <t>netProfitalility</t>
  </si>
  <si>
    <t>Acme</t>
  </si>
  <si>
    <t>Company</t>
  </si>
  <si>
    <t>Share part</t>
  </si>
  <si>
    <t>in</t>
  </si>
  <si>
    <t>out</t>
  </si>
  <si>
    <t>legalEntityJurisdiction</t>
  </si>
  <si>
    <t>Cyprus</t>
  </si>
  <si>
    <t>legalEntityContractLaw</t>
  </si>
  <si>
    <t>UK</t>
  </si>
  <si>
    <t>Scope</t>
  </si>
  <si>
    <t>AdTech</t>
  </si>
  <si>
    <t>Legal entities</t>
  </si>
  <si>
    <t>investmentVehicleJurisdiction</t>
  </si>
  <si>
    <t>US</t>
  </si>
  <si>
    <t>-</t>
  </si>
  <si>
    <t>investmentVehicleContractLaw</t>
  </si>
  <si>
    <t>USD Company</t>
  </si>
  <si>
    <t>EUR Company</t>
  </si>
  <si>
    <t>RUB Company</t>
  </si>
  <si>
    <t>Amount equivalent to 1 USD</t>
  </si>
  <si>
    <t xml:space="preserve">not </t>
  </si>
  <si>
    <t>Sigma</t>
  </si>
  <si>
    <t>Fund report</t>
  </si>
  <si>
    <t>EXIT</t>
  </si>
  <si>
    <t>Mega</t>
  </si>
  <si>
    <t>Carry 6 share</t>
  </si>
  <si>
    <t>Carry 7 share</t>
  </si>
  <si>
    <t>AgroTech</t>
  </si>
  <si>
    <t>Singapore</t>
  </si>
  <si>
    <t>France</t>
  </si>
  <si>
    <t>Alpha</t>
  </si>
  <si>
    <t>Нужно ли учитывать carry при расчёте виртуального CF (думаю да там где в плюс выходит)</t>
  </si>
  <si>
    <t>Integral values</t>
  </si>
  <si>
    <t>Year</t>
  </si>
  <si>
    <t>Date</t>
  </si>
  <si>
    <t>Column</t>
  </si>
  <si>
    <t>B</t>
  </si>
  <si>
    <t>K</t>
  </si>
  <si>
    <t>C</t>
  </si>
  <si>
    <t>L</t>
  </si>
  <si>
    <t>M</t>
  </si>
  <si>
    <t>G</t>
  </si>
  <si>
    <t>N</t>
  </si>
  <si>
    <t>H</t>
  </si>
  <si>
    <t>O</t>
  </si>
  <si>
    <t>D</t>
  </si>
  <si>
    <t>company</t>
  </si>
  <si>
    <t>carryValues</t>
  </si>
  <si>
    <t>investmentsGross</t>
  </si>
  <si>
    <t>scope</t>
  </si>
  <si>
    <t>investmentsNet</t>
  </si>
  <si>
    <t>FinTech</t>
  </si>
  <si>
    <t>Belgium</t>
  </si>
  <si>
    <t>Netherlands</t>
  </si>
  <si>
    <t>Germany</t>
  </si>
  <si>
    <t>Austria</t>
  </si>
  <si>
    <t>Malta</t>
  </si>
  <si>
    <t>Canada</t>
  </si>
  <si>
    <t>Italy</t>
  </si>
  <si>
    <t>Argentina</t>
  </si>
  <si>
    <t>AI</t>
  </si>
  <si>
    <t>Write Off</t>
  </si>
  <si>
    <t>Zeta</t>
  </si>
  <si>
    <t>Zetta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</si>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</sst>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m/d/yy"/>
    <numFmt numFmtId="165" formatCode="[$-409]d\-mmm\-yyyy"/>
    <numFmt numFmtId="166" formatCode="_(* #,##0_);_(* \(#,##0\);_(* &quot;-&quot;??_);_(@_)"/>
    <numFmt numFmtId="167" formatCode="0.0%"/>
    <numFmt numFmtId="168" formatCode="_-[$$-409]* #,##0_ ;_-[$$-409]* \-#,##0\ ;_-[$$-409]* &quot;-&quot;???_ ;_-@_ "/>
    <numFmt numFmtId="169" formatCode="_-[$$-409]* #,##0.00_ ;_-[$$-409]* \-#,##0.00\ ;_-[$$-409]* &quot;-&quot;??_ ;_-@_ "/>
    <numFmt numFmtId="170" formatCode="_-[$$-409]* #,##0_ ;_-[$$-409]* \-#,##0\ ;_-[$$-409]* &quot;-&quot;??_ ;_-@_ "/>
    <numFmt numFmtId="171" formatCode="0.000%"/>
    <numFmt numFmtId="172" formatCode="d\-mmm\-yyyy"/>
    <numFmt numFmtId="173" formatCode="yyyy\-mm\-dd"/>
    <numFmt numFmtId="174" formatCode="d/m/yyyy"/>
  </numFmts>
  <fonts count="6" x14ac:knownFonts="1">
    <font>
      <sz val="12"/>
      <color theme="1"/>
      <name val="Calibri"/>
      <scheme val="minor"/>
    </font>
    <font>
      <sz val="12"/>
      <color rgb="FF31383D"/>
      <name val="Helvetica Neue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Helvetica Neue"/>
    </font>
    <font>
      <sz val="12"/>
      <color rgb="FF385623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6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3" fillId="0" borderId="0" xfId="0" applyFont="1"/>
    <xf numFmtId="0" fontId="3" fillId="2" borderId="2" xfId="0" applyFont="1" applyFill="1" applyBorder="1"/>
    <xf numFmtId="168" fontId="2" fillId="2" borderId="2" xfId="0" applyNumberFormat="1" applyFont="1" applyFill="1" applyBorder="1"/>
    <xf numFmtId="0" fontId="1" fillId="0" borderId="0" xfId="0" applyFont="1"/>
    <xf numFmtId="166" fontId="2" fillId="0" borderId="2" xfId="0" applyNumberFormat="1" applyFont="1" applyBorder="1"/>
    <xf numFmtId="170" fontId="2" fillId="0" borderId="0" xfId="0" applyNumberFormat="1" applyFont="1"/>
    <xf numFmtId="171" fontId="2" fillId="0" borderId="0" xfId="0" applyNumberFormat="1" applyFont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169" fontId="2" fillId="0" borderId="6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72" fontId="1" fillId="3" borderId="7" xfId="0" applyNumberFormat="1" applyFont="1" applyFill="1" applyBorder="1"/>
    <xf numFmtId="164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6" fontId="2" fillId="3" borderId="2" xfId="0" applyNumberFormat="1" applyFont="1" applyFill="1" applyBorder="1"/>
    <xf numFmtId="9" fontId="2" fillId="3" borderId="2" xfId="0" applyNumberFormat="1" applyFont="1" applyFill="1" applyBorder="1"/>
    <xf numFmtId="0" fontId="2" fillId="3" borderId="2" xfId="0" applyFont="1" applyFill="1" applyBorder="1"/>
    <xf numFmtId="168" fontId="2" fillId="3" borderId="2" xfId="0" applyNumberFormat="1" applyFont="1" applyFill="1" applyBorder="1"/>
    <xf numFmtId="10" fontId="2" fillId="3" borderId="2" xfId="0" applyNumberFormat="1" applyFont="1" applyFill="1" applyBorder="1"/>
    <xf numFmtId="169" fontId="2" fillId="3" borderId="2" xfId="0" applyNumberFormat="1" applyFont="1" applyFill="1" applyBorder="1"/>
    <xf numFmtId="167" fontId="2" fillId="3" borderId="2" xfId="0" applyNumberFormat="1" applyFont="1" applyFill="1" applyBorder="1"/>
    <xf numFmtId="170" fontId="2" fillId="3" borderId="2" xfId="0" applyNumberFormat="1" applyFont="1" applyFill="1" applyBorder="1"/>
    <xf numFmtId="0" fontId="1" fillId="0" borderId="0" xfId="0" applyFont="1" applyAlignment="1">
      <alignment horizontal="center"/>
    </xf>
    <xf numFmtId="10" fontId="2" fillId="0" borderId="2" xfId="0" applyNumberFormat="1" applyFont="1" applyBorder="1"/>
    <xf numFmtId="16" fontId="2" fillId="0" borderId="0" xfId="0" applyNumberFormat="1" applyFont="1"/>
    <xf numFmtId="165" fontId="1" fillId="0" borderId="0" xfId="0" applyNumberFormat="1" applyFont="1"/>
    <xf numFmtId="164" fontId="4" fillId="0" borderId="0" xfId="0" applyNumberFormat="1" applyFont="1" applyAlignment="1">
      <alignment wrapText="1"/>
    </xf>
    <xf numFmtId="0" fontId="2" fillId="4" borderId="2" xfId="0" applyFont="1" applyFill="1" applyBorder="1"/>
    <xf numFmtId="0" fontId="2" fillId="5" borderId="2" xfId="0" applyFont="1" applyFill="1" applyBorder="1"/>
    <xf numFmtId="173" fontId="2" fillId="0" borderId="0" xfId="0" applyNumberFormat="1" applyFont="1"/>
    <xf numFmtId="173" fontId="2" fillId="5" borderId="2" xfId="0" applyNumberFormat="1" applyFont="1" applyFill="1" applyBorder="1"/>
    <xf numFmtId="0" fontId="2" fillId="5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6" fontId="2" fillId="5" borderId="2" xfId="0" applyNumberFormat="1" applyFont="1" applyFill="1" applyBorder="1"/>
    <xf numFmtId="168" fontId="2" fillId="5" borderId="2" xfId="0" applyNumberFormat="1" applyFont="1" applyFill="1" applyBorder="1"/>
    <xf numFmtId="168" fontId="2" fillId="0" borderId="2" xfId="0" applyNumberFormat="1" applyFont="1" applyBorder="1"/>
    <xf numFmtId="173" fontId="1" fillId="0" borderId="1" xfId="0" applyNumberFormat="1" applyFont="1" applyBorder="1"/>
    <xf numFmtId="17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1.1640625" defaultRowHeight="15" customHeight="1" x14ac:dyDescent="0.2"/>
  <cols>
    <col min="1" max="1" width="41.33203125" customWidth="1"/>
    <col min="2" max="2" width="16.6640625" customWidth="1"/>
    <col min="3" max="3" width="14.83203125" customWidth="1"/>
    <col min="4" max="4" width="17.83203125" customWidth="1"/>
    <col min="5" max="6" width="15.83203125" customWidth="1"/>
    <col min="7" max="7" width="10.6640625" customWidth="1"/>
    <col min="8" max="8" width="11.33203125" customWidth="1"/>
    <col min="9" max="26" width="10.6640625" customWidth="1"/>
  </cols>
  <sheetData>
    <row r="1" spans="1:13" ht="15.75" customHeight="1" x14ac:dyDescent="0.2">
      <c r="A1" s="1"/>
      <c r="B1" s="2">
        <v>42370</v>
      </c>
      <c r="C1" s="2">
        <v>42868</v>
      </c>
      <c r="D1" s="2">
        <v>43195</v>
      </c>
      <c r="E1" s="2">
        <v>43567</v>
      </c>
      <c r="F1" s="2">
        <v>44190</v>
      </c>
    </row>
    <row r="2" spans="1:13" ht="15.75" customHeight="1" x14ac:dyDescent="0.2">
      <c r="A2" s="3" t="s">
        <v>0</v>
      </c>
      <c r="B2" s="4" t="str">
        <f t="shared" ref="B2:F2" si="0">$A$20</f>
        <v>Kappa</v>
      </c>
      <c r="C2" s="4" t="str">
        <f t="shared" si="0"/>
        <v>Kappa</v>
      </c>
      <c r="D2" s="4" t="str">
        <f t="shared" si="0"/>
        <v>Kappa</v>
      </c>
      <c r="E2" s="4" t="str">
        <f t="shared" si="0"/>
        <v>Kappa</v>
      </c>
      <c r="F2" s="4" t="str">
        <f t="shared" si="0"/>
        <v>Kappa</v>
      </c>
    </row>
    <row r="3" spans="1:13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E3" s="5" t="s">
        <v>3</v>
      </c>
      <c r="F3" s="5" t="s">
        <v>3</v>
      </c>
      <c r="M3" s="6" t="s">
        <v>4</v>
      </c>
    </row>
    <row r="4" spans="1:13" ht="15.75" customHeight="1" x14ac:dyDescent="0.2">
      <c r="A4" s="3" t="s">
        <v>5</v>
      </c>
      <c r="B4" s="7" t="s">
        <v>6</v>
      </c>
      <c r="C4" s="7" t="s">
        <v>7</v>
      </c>
      <c r="D4" s="7" t="s">
        <v>6</v>
      </c>
      <c r="E4" s="7" t="s">
        <v>7</v>
      </c>
      <c r="F4" s="7" t="s">
        <v>7</v>
      </c>
      <c r="M4" s="6" t="s">
        <v>8</v>
      </c>
    </row>
    <row r="5" spans="1:13" ht="15.75" customHeight="1" x14ac:dyDescent="0.2">
      <c r="A5" s="3" t="s">
        <v>9</v>
      </c>
      <c r="B5" s="8">
        <v>0.15</v>
      </c>
      <c r="C5" s="7"/>
      <c r="D5" s="8">
        <v>0.1</v>
      </c>
      <c r="E5" s="7"/>
      <c r="F5" s="7"/>
    </row>
    <row r="6" spans="1:13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-253000</f>
        <v>-253000</v>
      </c>
      <c r="E6" s="9">
        <v>0</v>
      </c>
      <c r="F6" s="9">
        <f>-190000</f>
        <v>-190000</v>
      </c>
    </row>
    <row r="7" spans="1:13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-250000</f>
        <v>-250000</v>
      </c>
      <c r="E7" s="9">
        <v>0</v>
      </c>
      <c r="F7" s="9">
        <f>-187000</f>
        <v>-187000</v>
      </c>
    </row>
    <row r="8" spans="1:13" ht="15.75" customHeight="1" x14ac:dyDescent="0.2">
      <c r="A8" s="3" t="s">
        <v>12</v>
      </c>
      <c r="B8" s="10">
        <f t="shared" ref="B8:D8" si="1">1-B7/B6</f>
        <v>4.0000000000000036E-2</v>
      </c>
      <c r="C8" s="10">
        <f t="shared" si="1"/>
        <v>4.0000000000000036E-2</v>
      </c>
      <c r="D8" s="10">
        <f t="shared" si="1"/>
        <v>1.1857707509881465E-2</v>
      </c>
      <c r="E8" s="10">
        <f>IF(E6&lt;0,1-E7/E6,0)</f>
        <v>0</v>
      </c>
      <c r="F8" s="10">
        <f>1-F7/F6</f>
        <v>1.5789473684210575E-2</v>
      </c>
    </row>
    <row r="9" spans="1:13" ht="15.75" customHeight="1" x14ac:dyDescent="0.2">
      <c r="A9" s="3" t="s">
        <v>13</v>
      </c>
      <c r="B9" s="11">
        <v>0.03</v>
      </c>
      <c r="C9" s="11">
        <v>0.02</v>
      </c>
      <c r="D9" s="11">
        <v>1.7999999999999999E-2</v>
      </c>
      <c r="E9" s="11">
        <v>0.02</v>
      </c>
      <c r="F9" s="11">
        <v>1.4999999999999999E-2</v>
      </c>
    </row>
    <row r="10" spans="1:13" ht="15.75" customHeight="1" x14ac:dyDescent="0.2">
      <c r="A10" s="3" t="s">
        <v>14</v>
      </c>
      <c r="B10" s="12">
        <f>IF(B4="SAFE",B11*B15,B11*B13)</f>
        <v>24000</v>
      </c>
      <c r="C10" s="12">
        <f t="shared" ref="C10:F10" si="2">B11*(C17-C12)+(-C7)</f>
        <v>86000</v>
      </c>
      <c r="D10" s="12">
        <f t="shared" si="2"/>
        <v>407380</v>
      </c>
      <c r="E10" s="12">
        <f t="shared" si="2"/>
        <v>452644.44444444444</v>
      </c>
      <c r="F10" s="12">
        <f t="shared" si="2"/>
        <v>865966.66666666663</v>
      </c>
    </row>
    <row r="11" spans="1:13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F11" si="3">C10/C17</f>
        <v>1.72E-2</v>
      </c>
      <c r="D11" s="13">
        <f t="shared" si="3"/>
        <v>4.114949494949495E-2</v>
      </c>
      <c r="E11" s="13">
        <f t="shared" si="3"/>
        <v>3.7720370370370369E-2</v>
      </c>
      <c r="F11" s="13">
        <f t="shared" si="3"/>
        <v>4.3298333333333335E-2</v>
      </c>
    </row>
    <row r="12" spans="1:13" ht="15.75" customHeight="1" x14ac:dyDescent="0.2">
      <c r="A12" s="3" t="s">
        <v>16</v>
      </c>
      <c r="B12" s="14">
        <v>100000</v>
      </c>
      <c r="C12" s="14">
        <v>250000</v>
      </c>
      <c r="D12" s="14">
        <v>750000</v>
      </c>
      <c r="E12" s="14">
        <v>1000000</v>
      </c>
      <c r="F12" s="14">
        <v>2000000</v>
      </c>
    </row>
    <row r="13" spans="1:13" ht="15.75" customHeight="1" x14ac:dyDescent="0.2">
      <c r="A13" s="3" t="s">
        <v>17</v>
      </c>
      <c r="B13" s="14"/>
      <c r="C13" s="14">
        <v>5000000</v>
      </c>
      <c r="D13" s="14"/>
      <c r="E13" s="14">
        <v>12000000</v>
      </c>
      <c r="F13" s="14">
        <v>20000000</v>
      </c>
    </row>
    <row r="14" spans="1:13" ht="15.75" customHeight="1" x14ac:dyDescent="0.2">
      <c r="A14" s="3" t="s">
        <v>18</v>
      </c>
      <c r="B14" s="14">
        <v>3000000</v>
      </c>
      <c r="C14" s="14"/>
      <c r="D14" s="14">
        <v>15000000</v>
      </c>
      <c r="E14" s="14"/>
      <c r="F14" s="14"/>
    </row>
    <row r="15" spans="1:13" ht="15.75" customHeight="1" x14ac:dyDescent="0.2">
      <c r="A15" s="15" t="s">
        <v>19</v>
      </c>
      <c r="B15" s="14">
        <f>MIN(B14,(1-B5)*(C13-C12))</f>
        <v>3000000</v>
      </c>
      <c r="C15" s="14"/>
      <c r="D15" s="14">
        <f>MIN(D14,(1-D5)*(E13-E12))</f>
        <v>9900000</v>
      </c>
      <c r="E15" s="14"/>
      <c r="F15" s="14"/>
    </row>
    <row r="16" spans="1:13" ht="15.75" customHeight="1" x14ac:dyDescent="0.2">
      <c r="B16" s="14"/>
    </row>
    <row r="17" spans="1:8" ht="15.75" customHeight="1" x14ac:dyDescent="0.2">
      <c r="A17" s="16" t="s">
        <v>20</v>
      </c>
      <c r="B17" s="14">
        <f t="shared" ref="B17:F17" si="4">IF(B4="SAFE",B15,B13)</f>
        <v>3000000</v>
      </c>
      <c r="C17" s="14">
        <f t="shared" si="4"/>
        <v>5000000</v>
      </c>
      <c r="D17" s="14">
        <f t="shared" si="4"/>
        <v>9900000</v>
      </c>
      <c r="E17" s="14">
        <f t="shared" si="4"/>
        <v>12000000</v>
      </c>
      <c r="F17" s="14">
        <f t="shared" si="4"/>
        <v>20000000</v>
      </c>
    </row>
    <row r="18" spans="1:8" ht="15.75" customHeight="1" x14ac:dyDescent="0.2"/>
    <row r="19" spans="1:8" ht="15.75" customHeight="1" x14ac:dyDescent="0.2"/>
    <row r="20" spans="1:8" ht="15.75" customHeight="1" x14ac:dyDescent="0.2">
      <c r="A20" s="6" t="s">
        <v>21</v>
      </c>
    </row>
    <row r="21" spans="1:8" ht="15.75" customHeight="1" x14ac:dyDescent="0.2">
      <c r="A21" s="6" t="s">
        <v>22</v>
      </c>
      <c r="B21" s="12">
        <f t="shared" ref="B21:F21" si="5">-B6</f>
        <v>25000</v>
      </c>
      <c r="C21" s="12">
        <f t="shared" si="5"/>
        <v>50000</v>
      </c>
      <c r="D21" s="12">
        <f t="shared" si="5"/>
        <v>253000</v>
      </c>
      <c r="E21" s="12">
        <f t="shared" si="5"/>
        <v>0</v>
      </c>
      <c r="F21" s="12">
        <f t="shared" si="5"/>
        <v>190000</v>
      </c>
    </row>
    <row r="22" spans="1:8" ht="15.75" customHeight="1" x14ac:dyDescent="0.2">
      <c r="A22" s="6" t="s">
        <v>23</v>
      </c>
      <c r="B22" s="12">
        <f>B21</f>
        <v>25000</v>
      </c>
      <c r="C22" s="12">
        <f t="shared" ref="C22:F22" si="6">C21+B22</f>
        <v>75000</v>
      </c>
      <c r="D22" s="12">
        <f t="shared" si="6"/>
        <v>328000</v>
      </c>
      <c r="E22" s="12">
        <f t="shared" si="6"/>
        <v>328000</v>
      </c>
      <c r="F22" s="12">
        <f t="shared" si="6"/>
        <v>518000</v>
      </c>
    </row>
    <row r="23" spans="1:8" ht="15.75" customHeight="1" x14ac:dyDescent="0.2">
      <c r="A23" s="6" t="s">
        <v>24</v>
      </c>
      <c r="B23" s="12">
        <f t="shared" ref="B23:F23" si="7">B10</f>
        <v>24000</v>
      </c>
      <c r="C23" s="12">
        <f t="shared" si="7"/>
        <v>86000</v>
      </c>
      <c r="D23" s="12">
        <f t="shared" si="7"/>
        <v>407380</v>
      </c>
      <c r="E23" s="12">
        <f t="shared" si="7"/>
        <v>452644.44444444444</v>
      </c>
      <c r="F23" s="12">
        <f t="shared" si="7"/>
        <v>865966.66666666663</v>
      </c>
    </row>
    <row r="24" spans="1:8" ht="15.75" customHeight="1" x14ac:dyDescent="0.2">
      <c r="A24" s="17" t="s">
        <v>25</v>
      </c>
      <c r="B24" s="11">
        <f t="shared" ref="B24:F24" si="8">B9</f>
        <v>0.03</v>
      </c>
      <c r="C24" s="11">
        <f t="shared" si="8"/>
        <v>0.02</v>
      </c>
      <c r="D24" s="11">
        <f t="shared" si="8"/>
        <v>1.7999999999999999E-2</v>
      </c>
      <c r="E24" s="11">
        <f t="shared" si="8"/>
        <v>0.02</v>
      </c>
      <c r="F24" s="11">
        <f t="shared" si="8"/>
        <v>1.4999999999999999E-2</v>
      </c>
    </row>
    <row r="25" spans="1:8" ht="15.75" customHeight="1" x14ac:dyDescent="0.2">
      <c r="A25" s="17" t="s">
        <v>26</v>
      </c>
      <c r="B25" s="13">
        <f>B11</f>
        <v>8.0000000000000002E-3</v>
      </c>
      <c r="C25" s="13">
        <f t="shared" ref="C25:F25" si="9">B25*(C17-C12)/C17</f>
        <v>7.6E-3</v>
      </c>
      <c r="D25" s="13">
        <f t="shared" si="9"/>
        <v>7.0242424242424242E-3</v>
      </c>
      <c r="E25" s="13">
        <f t="shared" si="9"/>
        <v>6.438888888888889E-3</v>
      </c>
      <c r="F25" s="13">
        <f t="shared" si="9"/>
        <v>5.7949999999999998E-3</v>
      </c>
      <c r="H25" s="14">
        <f>C25*C17</f>
        <v>38000</v>
      </c>
    </row>
    <row r="26" spans="1:8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 t="shared" ref="D26:F26" si="10">C26*(D17-D12)/D17</f>
        <v>8.8727272727272734E-3</v>
      </c>
      <c r="E26" s="13">
        <f t="shared" si="10"/>
        <v>8.1333333333333344E-3</v>
      </c>
      <c r="F26" s="13">
        <f t="shared" si="10"/>
        <v>7.3200000000000019E-3</v>
      </c>
    </row>
    <row r="27" spans="1:8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2.5252525252525252E-2</v>
      </c>
      <c r="E27" s="13">
        <f t="shared" ref="E27:F27" si="11">D27*(E17-E12)/E17</f>
        <v>2.3148148148148147E-2</v>
      </c>
      <c r="F27" s="13">
        <f t="shared" si="11"/>
        <v>2.0833333333333332E-2</v>
      </c>
    </row>
    <row r="28" spans="1:8" ht="15.75" customHeight="1" x14ac:dyDescent="0.2">
      <c r="A28" s="17" t="s">
        <v>29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</row>
    <row r="29" spans="1:8" ht="15.75" customHeight="1" x14ac:dyDescent="0.2">
      <c r="A29" s="17" t="s">
        <v>30</v>
      </c>
      <c r="B29" s="13">
        <v>0</v>
      </c>
      <c r="C29" s="13">
        <v>0</v>
      </c>
      <c r="D29" s="13">
        <v>0</v>
      </c>
      <c r="E29" s="13">
        <v>0</v>
      </c>
      <c r="F29" s="13">
        <f>F11-SUM(F25:F28)</f>
        <v>9.3500000000000041E-3</v>
      </c>
    </row>
    <row r="30" spans="1:8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2163</v>
      </c>
      <c r="E30" s="19">
        <f>$B$24*(E25*E17+$B$7)+$C$24*(E26*E17+$C$7)+$D$24*(E27*E17+$D$7)</f>
        <v>3090</v>
      </c>
      <c r="F30" s="19">
        <f>$B$24*(F25*F17+$B$7)+$C$24*(F26*F17+$C$7)+$D$24*(F27*F17+$D$7)+$E$24*(F28*F17+$E$7)</f>
        <v>7725</v>
      </c>
    </row>
    <row r="31" spans="1:8" ht="15.75" customHeight="1" x14ac:dyDescent="0.2">
      <c r="A31" s="6" t="s">
        <v>32</v>
      </c>
      <c r="B31" s="12">
        <f>B23-B21-B30</f>
        <v>-1000</v>
      </c>
      <c r="C31" s="12">
        <f t="shared" ref="C31:F31" si="12">C23-C22-C30</f>
        <v>10580</v>
      </c>
      <c r="D31" s="12">
        <f t="shared" si="12"/>
        <v>77217</v>
      </c>
      <c r="E31" s="12">
        <f t="shared" si="12"/>
        <v>121554.44444444444</v>
      </c>
      <c r="F31" s="12">
        <f t="shared" si="12"/>
        <v>340241.66666666663</v>
      </c>
    </row>
    <row r="32" spans="1:8" ht="15.75" customHeight="1" x14ac:dyDescent="0.2">
      <c r="A32" s="6" t="s">
        <v>33</v>
      </c>
      <c r="B32" s="13">
        <f t="shared" ref="B32:F32" si="13">B31/B22</f>
        <v>-0.04</v>
      </c>
      <c r="C32" s="13">
        <f t="shared" si="13"/>
        <v>0.14106666666666667</v>
      </c>
      <c r="D32" s="13">
        <f t="shared" si="13"/>
        <v>0.23541768292682927</v>
      </c>
      <c r="E32" s="13">
        <f t="shared" si="13"/>
        <v>0.37059281842818426</v>
      </c>
      <c r="F32" s="13">
        <f t="shared" si="13"/>
        <v>0.65683719433719423</v>
      </c>
    </row>
    <row r="33" spans="1:6" ht="15.75" customHeight="1" x14ac:dyDescent="0.2">
      <c r="A33" s="20" t="s">
        <v>34</v>
      </c>
      <c r="B33" s="9">
        <f t="shared" ref="B33:E33" si="14">B6</f>
        <v>-25000</v>
      </c>
      <c r="C33" s="9">
        <f t="shared" si="14"/>
        <v>-50000</v>
      </c>
      <c r="D33" s="9">
        <f t="shared" si="14"/>
        <v>-253000</v>
      </c>
      <c r="E33" s="9">
        <f t="shared" si="14"/>
        <v>0</v>
      </c>
      <c r="F33" s="9">
        <f>F6+F10</f>
        <v>675966.66666666663</v>
      </c>
    </row>
    <row r="34" spans="1:6" ht="15.75" customHeight="1" x14ac:dyDescent="0.2">
      <c r="A34" s="20" t="s">
        <v>35</v>
      </c>
      <c r="B34" s="9">
        <f t="shared" ref="B34:E34" si="15">B7</f>
        <v>-24000</v>
      </c>
      <c r="C34" s="9">
        <f t="shared" si="15"/>
        <v>-48000</v>
      </c>
      <c r="D34" s="9">
        <f t="shared" si="15"/>
        <v>-250000</v>
      </c>
      <c r="E34" s="9">
        <f t="shared" si="15"/>
        <v>0</v>
      </c>
      <c r="F34" s="21">
        <f>F7+F10</f>
        <v>678966.66666666663</v>
      </c>
    </row>
    <row r="36" spans="1:6" ht="15.75" customHeight="1" x14ac:dyDescent="0.2">
      <c r="A36" s="6" t="s">
        <v>36</v>
      </c>
      <c r="B36" s="13">
        <f>XIRR(B33:F33,B1:F1)</f>
        <v>0.26375283598899846</v>
      </c>
    </row>
    <row r="37" spans="1:6" ht="15.75" customHeight="1" x14ac:dyDescent="0.2">
      <c r="A37" s="6" t="s">
        <v>37</v>
      </c>
      <c r="B37" s="13">
        <f>XIRR(B34:F34,B1:F1)</f>
        <v>0.27372127175331118</v>
      </c>
    </row>
    <row r="38" spans="1:6" ht="15.75" customHeight="1" x14ac:dyDescent="0.2"/>
    <row r="39" spans="1:6" ht="15.75" customHeight="1" x14ac:dyDescent="0.2"/>
    <row r="40" spans="1:6" ht="15.75" customHeight="1" x14ac:dyDescent="0.2">
      <c r="A40" s="6" t="s">
        <v>38</v>
      </c>
    </row>
    <row r="41" spans="1:6" ht="15.75" customHeight="1" x14ac:dyDescent="0.2">
      <c r="A41" s="6" t="s">
        <v>39</v>
      </c>
      <c r="B41" s="6">
        <f t="shared" ref="B41:F41" si="16">B45/B44</f>
        <v>8.0000000000000002E-3</v>
      </c>
      <c r="C41" s="6">
        <f t="shared" si="16"/>
        <v>1.72E-2</v>
      </c>
      <c r="D41" s="6">
        <f t="shared" si="16"/>
        <v>4.114949494949495E-2</v>
      </c>
      <c r="E41" s="6">
        <f t="shared" si="16"/>
        <v>3.7720370370370369E-2</v>
      </c>
      <c r="F41" s="6">
        <f t="shared" si="16"/>
        <v>4.3298333333333335E-2</v>
      </c>
    </row>
    <row r="42" spans="1:6" ht="15.75" customHeight="1" x14ac:dyDescent="0.2">
      <c r="A42" s="6" t="s">
        <v>40</v>
      </c>
      <c r="B42" s="22">
        <f t="shared" ref="B42:B43" si="17">-B6</f>
        <v>25000</v>
      </c>
      <c r="C42" s="22">
        <f t="shared" ref="C42:F42" si="18">-C6+B42</f>
        <v>75000</v>
      </c>
      <c r="D42" s="22">
        <f t="shared" si="18"/>
        <v>328000</v>
      </c>
      <c r="E42" s="22">
        <f t="shared" si="18"/>
        <v>328000</v>
      </c>
      <c r="F42" s="22">
        <f t="shared" si="18"/>
        <v>518000</v>
      </c>
    </row>
    <row r="43" spans="1:6" ht="15.75" customHeight="1" x14ac:dyDescent="0.2">
      <c r="A43" s="6" t="s">
        <v>41</v>
      </c>
      <c r="B43" s="22">
        <f t="shared" si="17"/>
        <v>24000</v>
      </c>
      <c r="C43" s="22">
        <f t="shared" ref="C43:F43" si="19">-C7+B43</f>
        <v>72000</v>
      </c>
      <c r="D43" s="22">
        <f t="shared" si="19"/>
        <v>322000</v>
      </c>
      <c r="E43" s="22">
        <f t="shared" si="19"/>
        <v>322000</v>
      </c>
      <c r="F43" s="22">
        <f t="shared" si="19"/>
        <v>509000</v>
      </c>
    </row>
    <row r="44" spans="1:6" ht="15.75" customHeight="1" x14ac:dyDescent="0.2">
      <c r="A44" s="6" t="s">
        <v>42</v>
      </c>
      <c r="B44" s="22">
        <f t="shared" ref="B44:F44" si="20">B17</f>
        <v>3000000</v>
      </c>
      <c r="C44" s="22">
        <f t="shared" si="20"/>
        <v>5000000</v>
      </c>
      <c r="D44" s="22">
        <f t="shared" si="20"/>
        <v>9900000</v>
      </c>
      <c r="E44" s="22">
        <f t="shared" si="20"/>
        <v>12000000</v>
      </c>
      <c r="F44" s="22">
        <f t="shared" si="20"/>
        <v>20000000</v>
      </c>
    </row>
    <row r="45" spans="1:6" ht="15.75" customHeight="1" x14ac:dyDescent="0.2">
      <c r="A45" s="6" t="s">
        <v>43</v>
      </c>
      <c r="B45" s="22">
        <f t="shared" ref="B45:F45" si="21">B10</f>
        <v>24000</v>
      </c>
      <c r="C45" s="22">
        <f t="shared" si="21"/>
        <v>86000</v>
      </c>
      <c r="D45" s="22">
        <f t="shared" si="21"/>
        <v>407380</v>
      </c>
      <c r="E45" s="22">
        <f t="shared" si="21"/>
        <v>452644.44444444444</v>
      </c>
      <c r="F45" s="22">
        <f t="shared" si="21"/>
        <v>865966.66666666663</v>
      </c>
    </row>
    <row r="46" spans="1:6" ht="15.75" customHeight="1" x14ac:dyDescent="0.2">
      <c r="A46" s="6" t="s">
        <v>44</v>
      </c>
      <c r="B46" s="12">
        <f t="shared" ref="B46:F46" si="22">B30</f>
        <v>0</v>
      </c>
      <c r="C46" s="12">
        <f t="shared" si="22"/>
        <v>420</v>
      </c>
      <c r="D46" s="12">
        <f t="shared" si="22"/>
        <v>2163</v>
      </c>
      <c r="E46" s="12">
        <f t="shared" si="22"/>
        <v>3090</v>
      </c>
      <c r="F46" s="12">
        <f t="shared" si="22"/>
        <v>7725</v>
      </c>
    </row>
    <row r="47" spans="1:6" ht="15.75" customHeight="1" x14ac:dyDescent="0.2">
      <c r="A47" s="6" t="s">
        <v>45</v>
      </c>
      <c r="B47" s="22">
        <f t="shared" ref="B47:F47" si="23">B45-B42-B46</f>
        <v>-1000</v>
      </c>
      <c r="C47" s="22">
        <f t="shared" si="23"/>
        <v>10580</v>
      </c>
      <c r="D47" s="22">
        <f t="shared" si="23"/>
        <v>77217</v>
      </c>
      <c r="E47" s="22">
        <f t="shared" si="23"/>
        <v>121554.44444444444</v>
      </c>
      <c r="F47" s="22">
        <f t="shared" si="23"/>
        <v>340241.66666666663</v>
      </c>
    </row>
    <row r="48" spans="1:6" ht="15.75" customHeight="1" x14ac:dyDescent="0.2">
      <c r="A48" s="6" t="s">
        <v>46</v>
      </c>
      <c r="B48" s="6">
        <f t="shared" ref="B48:F48" si="24">B47/B42</f>
        <v>-0.04</v>
      </c>
      <c r="C48" s="6">
        <f t="shared" si="24"/>
        <v>0.14106666666666667</v>
      </c>
      <c r="D48" s="6">
        <f t="shared" si="24"/>
        <v>0.23541768292682927</v>
      </c>
      <c r="E48" s="6">
        <f t="shared" si="24"/>
        <v>0.37059281842818426</v>
      </c>
      <c r="F48" s="6">
        <f t="shared" si="24"/>
        <v>0.65683719433719423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4" width="14.83203125" customWidth="1"/>
    <col min="5" max="8" width="10.5" customWidth="1"/>
    <col min="9" max="9" width="18.1640625" customWidth="1"/>
    <col min="10" max="10" width="10.5" customWidth="1"/>
    <col min="11" max="11" width="12.33203125" customWidth="1"/>
    <col min="12" max="14" width="10.5" customWidth="1"/>
    <col min="15" max="15" width="14.83203125" customWidth="1"/>
    <col min="16" max="26" width="10.5" customWidth="1"/>
  </cols>
  <sheetData>
    <row r="1" spans="1:4" ht="15.75" customHeight="1" x14ac:dyDescent="0.2">
      <c r="A1" s="1"/>
      <c r="B1" s="2">
        <v>42736</v>
      </c>
      <c r="C1" s="2">
        <v>42799</v>
      </c>
      <c r="D1" s="2">
        <v>44196</v>
      </c>
    </row>
    <row r="2" spans="1:4" ht="15.75" customHeight="1" x14ac:dyDescent="0.2">
      <c r="A2" s="3" t="s">
        <v>0</v>
      </c>
      <c r="B2" s="4" t="str">
        <f t="shared" ref="B2:D2" si="0">$A$20</f>
        <v>Acme</v>
      </c>
      <c r="C2" s="4" t="str">
        <f t="shared" si="0"/>
        <v>Acme</v>
      </c>
      <c r="D2" s="4" t="str">
        <f t="shared" si="0"/>
        <v>Acme</v>
      </c>
    </row>
    <row r="3" spans="1:4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</row>
    <row r="4" spans="1:4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</row>
    <row r="5" spans="1:4" ht="15.75" customHeight="1" x14ac:dyDescent="0.2">
      <c r="A5" s="3" t="s">
        <v>9</v>
      </c>
      <c r="B5" s="8"/>
      <c r="C5" s="7"/>
      <c r="D5" s="7"/>
    </row>
    <row r="6" spans="1:4" ht="15.75" customHeight="1" x14ac:dyDescent="0.2">
      <c r="A6" s="3" t="s">
        <v>10</v>
      </c>
      <c r="B6" s="9">
        <f>-(31000)</f>
        <v>-31000</v>
      </c>
      <c r="C6" s="9">
        <f>-105000</f>
        <v>-105000</v>
      </c>
      <c r="D6" s="9">
        <f>-155000</f>
        <v>-155000</v>
      </c>
    </row>
    <row r="7" spans="1:4" ht="15.75" customHeight="1" x14ac:dyDescent="0.2">
      <c r="A7" s="3" t="s">
        <v>11</v>
      </c>
      <c r="B7" s="9">
        <f>-(30000)</f>
        <v>-30000</v>
      </c>
      <c r="C7" s="9">
        <f>-100000</f>
        <v>-100000</v>
      </c>
      <c r="D7" s="9">
        <f>-150000</f>
        <v>-150000</v>
      </c>
    </row>
    <row r="8" spans="1:4" ht="15.75" customHeight="1" x14ac:dyDescent="0.2">
      <c r="A8" s="3" t="s">
        <v>12</v>
      </c>
      <c r="B8" s="10">
        <f t="shared" ref="B8:D8" si="1">1-B7/B6</f>
        <v>3.2258064516129004E-2</v>
      </c>
      <c r="C8" s="10">
        <f t="shared" si="1"/>
        <v>4.7619047619047672E-2</v>
      </c>
      <c r="D8" s="10">
        <f t="shared" si="1"/>
        <v>3.2258064516129004E-2</v>
      </c>
    </row>
    <row r="9" spans="1:4" ht="15.75" customHeight="1" x14ac:dyDescent="0.2">
      <c r="A9" s="3" t="s">
        <v>13</v>
      </c>
      <c r="B9" s="11">
        <v>0.02</v>
      </c>
      <c r="C9" s="11">
        <v>0.04</v>
      </c>
      <c r="D9" s="11">
        <v>0.05</v>
      </c>
    </row>
    <row r="10" spans="1:4" ht="15.75" customHeight="1" x14ac:dyDescent="0.2">
      <c r="A10" s="3" t="s">
        <v>14</v>
      </c>
      <c r="B10" s="12">
        <f>IF(B4="SAFE",B11*B15,B11*B13)</f>
        <v>30000</v>
      </c>
      <c r="C10" s="12">
        <f t="shared" ref="C10:D10" si="2">B11*(C17-C12)+(-C7)</f>
        <v>145000</v>
      </c>
      <c r="D10" s="12">
        <f t="shared" si="2"/>
        <v>411000</v>
      </c>
    </row>
    <row r="11" spans="1:4" ht="15.75" customHeight="1" x14ac:dyDescent="0.2">
      <c r="A11" s="3" t="s">
        <v>15</v>
      </c>
      <c r="B11" s="13">
        <f>IF(B4="SAFE",-B7/B15,-B7/B13)</f>
        <v>0.01</v>
      </c>
      <c r="C11" s="13">
        <f t="shared" ref="C11:D11" si="3">C10/C17</f>
        <v>2.9000000000000001E-2</v>
      </c>
      <c r="D11" s="13">
        <f t="shared" si="3"/>
        <v>4.1099999999999998E-2</v>
      </c>
    </row>
    <row r="12" spans="1:4" ht="15.75" customHeight="1" x14ac:dyDescent="0.2">
      <c r="A12" s="3" t="s">
        <v>16</v>
      </c>
      <c r="B12" s="14">
        <v>300000</v>
      </c>
      <c r="C12" s="14">
        <v>500000</v>
      </c>
      <c r="D12" s="14">
        <v>1000000</v>
      </c>
    </row>
    <row r="13" spans="1:4" ht="15.75" customHeight="1" x14ac:dyDescent="0.2">
      <c r="A13" s="3" t="s">
        <v>17</v>
      </c>
      <c r="B13" s="14">
        <v>3000000</v>
      </c>
      <c r="C13" s="14">
        <v>5000000</v>
      </c>
      <c r="D13" s="14">
        <v>10000000</v>
      </c>
    </row>
    <row r="14" spans="1:4" ht="15.75" customHeight="1" x14ac:dyDescent="0.2">
      <c r="A14" s="3" t="s">
        <v>18</v>
      </c>
      <c r="B14" s="14"/>
      <c r="C14" s="14"/>
      <c r="D14" s="14"/>
    </row>
    <row r="15" spans="1:4" ht="15.75" customHeight="1" x14ac:dyDescent="0.2">
      <c r="A15" s="15" t="s">
        <v>19</v>
      </c>
      <c r="B15" s="14"/>
      <c r="C15" s="14"/>
      <c r="D15" s="14"/>
    </row>
    <row r="16" spans="1:4" ht="15.75" customHeight="1" x14ac:dyDescent="0.2">
      <c r="B16" s="14"/>
    </row>
    <row r="17" spans="1:4" ht="15.75" customHeight="1" x14ac:dyDescent="0.2">
      <c r="A17" s="16" t="s">
        <v>20</v>
      </c>
      <c r="B17" s="14">
        <f t="shared" ref="B17:D17" si="4">IF(B4="SAFE",B15,B13)</f>
        <v>3000000</v>
      </c>
      <c r="C17" s="14">
        <f t="shared" si="4"/>
        <v>5000000</v>
      </c>
      <c r="D17" s="14">
        <f t="shared" si="4"/>
        <v>10000000</v>
      </c>
    </row>
    <row r="18" spans="1:4" ht="15.75" customHeight="1" x14ac:dyDescent="0.2"/>
    <row r="19" spans="1:4" ht="15.75" customHeight="1" x14ac:dyDescent="0.2"/>
    <row r="20" spans="1:4" ht="15.75" customHeight="1" x14ac:dyDescent="0.2">
      <c r="A20" s="6" t="s">
        <v>47</v>
      </c>
    </row>
    <row r="21" spans="1:4" ht="15.75" customHeight="1" x14ac:dyDescent="0.2">
      <c r="A21" s="6" t="s">
        <v>22</v>
      </c>
      <c r="B21" s="12">
        <f t="shared" ref="B21:D21" si="5">-B6</f>
        <v>31000</v>
      </c>
      <c r="C21" s="12">
        <f t="shared" si="5"/>
        <v>105000</v>
      </c>
      <c r="D21" s="12">
        <f t="shared" si="5"/>
        <v>155000</v>
      </c>
    </row>
    <row r="22" spans="1:4" ht="15.75" customHeight="1" x14ac:dyDescent="0.2">
      <c r="A22" s="6" t="s">
        <v>23</v>
      </c>
      <c r="B22" s="12">
        <f>B21</f>
        <v>31000</v>
      </c>
      <c r="C22" s="12">
        <f t="shared" ref="C22:D22" si="6">C21+B22</f>
        <v>136000</v>
      </c>
      <c r="D22" s="12">
        <f t="shared" si="6"/>
        <v>291000</v>
      </c>
    </row>
    <row r="23" spans="1:4" ht="15.75" customHeight="1" x14ac:dyDescent="0.2">
      <c r="A23" s="6" t="s">
        <v>24</v>
      </c>
      <c r="B23" s="12">
        <f t="shared" ref="B23:D23" si="7">B10</f>
        <v>30000</v>
      </c>
      <c r="C23" s="12">
        <f t="shared" si="7"/>
        <v>145000</v>
      </c>
      <c r="D23" s="12">
        <f t="shared" si="7"/>
        <v>411000</v>
      </c>
    </row>
    <row r="24" spans="1:4" ht="15.75" customHeight="1" x14ac:dyDescent="0.2">
      <c r="A24" s="17" t="s">
        <v>25</v>
      </c>
      <c r="B24" s="11">
        <f t="shared" ref="B24:D24" si="8">B9</f>
        <v>0.02</v>
      </c>
      <c r="C24" s="11">
        <f t="shared" si="8"/>
        <v>0.04</v>
      </c>
      <c r="D24" s="11">
        <f t="shared" si="8"/>
        <v>0.05</v>
      </c>
    </row>
    <row r="25" spans="1:4" ht="15.75" customHeight="1" x14ac:dyDescent="0.2">
      <c r="A25" s="17" t="s">
        <v>26</v>
      </c>
      <c r="B25" s="13">
        <f>B11</f>
        <v>0.01</v>
      </c>
      <c r="C25" s="13">
        <f t="shared" ref="C25:D25" si="9">B25*(C17-C12)/C17</f>
        <v>8.9999999999999993E-3</v>
      </c>
      <c r="D25" s="13">
        <f t="shared" si="9"/>
        <v>8.0999999999999996E-3</v>
      </c>
    </row>
    <row r="26" spans="1:4" ht="15.75" customHeight="1" x14ac:dyDescent="0.2">
      <c r="A26" s="17" t="s">
        <v>27</v>
      </c>
      <c r="B26" s="13">
        <v>0</v>
      </c>
      <c r="C26" s="13">
        <f>C11-C25</f>
        <v>2.0000000000000004E-2</v>
      </c>
      <c r="D26" s="13">
        <f>C26*(D17-D12)/D17</f>
        <v>1.8000000000000002E-2</v>
      </c>
    </row>
    <row r="27" spans="1:4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1.4999999999999996E-2</v>
      </c>
    </row>
    <row r="28" spans="1:4" ht="15.75" customHeight="1" x14ac:dyDescent="0.2">
      <c r="A28" s="17" t="s">
        <v>29</v>
      </c>
      <c r="B28" s="13">
        <v>0</v>
      </c>
      <c r="C28" s="13">
        <v>0</v>
      </c>
      <c r="D28" s="13">
        <v>0</v>
      </c>
    </row>
    <row r="29" spans="1:4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</row>
    <row r="30" spans="1:4" ht="15.75" customHeight="1" x14ac:dyDescent="0.2">
      <c r="A30" s="18" t="s">
        <v>31</v>
      </c>
      <c r="B30" s="19">
        <f>MAX(0,(B23-B22)*B24)</f>
        <v>0</v>
      </c>
      <c r="C30" s="19">
        <f>$B$24*(C25*C17+$B$7)</f>
        <v>300</v>
      </c>
      <c r="D30" s="19">
        <f>$B$24*(D25*D17+$B$7)+$C$24*(D26*D17+$C$7)</f>
        <v>4220.0000000000018</v>
      </c>
    </row>
    <row r="31" spans="1:4" ht="15.75" customHeight="1" x14ac:dyDescent="0.2">
      <c r="A31" s="6" t="s">
        <v>32</v>
      </c>
      <c r="B31" s="12">
        <f>B23-B21-B30</f>
        <v>-1000</v>
      </c>
      <c r="C31" s="12">
        <f t="shared" ref="C31:D31" si="10">C23-C22-C30</f>
        <v>8700</v>
      </c>
      <c r="D31" s="12">
        <f t="shared" si="10"/>
        <v>115780</v>
      </c>
    </row>
    <row r="32" spans="1:4" ht="15.75" customHeight="1" x14ac:dyDescent="0.2">
      <c r="A32" s="6" t="s">
        <v>33</v>
      </c>
      <c r="B32" s="13">
        <f t="shared" ref="B32:D32" si="11">B31/B22</f>
        <v>-3.2258064516129031E-2</v>
      </c>
      <c r="C32" s="13">
        <f t="shared" si="11"/>
        <v>6.3970588235294112E-2</v>
      </c>
      <c r="D32" s="13">
        <f t="shared" si="11"/>
        <v>0.39786941580756013</v>
      </c>
    </row>
    <row r="33" spans="1:4" ht="15.75" customHeight="1" x14ac:dyDescent="0.2">
      <c r="A33" s="20" t="s">
        <v>34</v>
      </c>
      <c r="B33" s="9">
        <f t="shared" ref="B33:C33" si="12">B6</f>
        <v>-31000</v>
      </c>
      <c r="C33" s="9">
        <f t="shared" si="12"/>
        <v>-105000</v>
      </c>
      <c r="D33" s="9">
        <f>D6+D10</f>
        <v>256000</v>
      </c>
    </row>
    <row r="34" spans="1:4" ht="15.75" customHeight="1" x14ac:dyDescent="0.2">
      <c r="A34" s="20" t="s">
        <v>35</v>
      </c>
      <c r="B34" s="9">
        <f t="shared" ref="B34:C34" si="13">B7</f>
        <v>-30000</v>
      </c>
      <c r="C34" s="9">
        <f t="shared" si="13"/>
        <v>-100000</v>
      </c>
      <c r="D34" s="21">
        <f>D7+D10</f>
        <v>261000</v>
      </c>
    </row>
    <row r="36" spans="1:4" ht="15.75" customHeight="1" x14ac:dyDescent="0.2">
      <c r="A36" s="6" t="s">
        <v>36</v>
      </c>
      <c r="B36" s="23">
        <f>XIRR(B33:D33,B1:D1)</f>
        <v>0.17769845128059389</v>
      </c>
    </row>
    <row r="37" spans="1:4" ht="15.75" customHeight="1" x14ac:dyDescent="0.2">
      <c r="A37" s="6" t="s">
        <v>37</v>
      </c>
      <c r="B37" s="23">
        <f>XIRR(B34:D34,B1:D1)</f>
        <v>0.19746456742286686</v>
      </c>
    </row>
    <row r="38" spans="1:4" ht="15.75" customHeight="1" x14ac:dyDescent="0.2"/>
    <row r="39" spans="1:4" ht="15.75" customHeight="1" x14ac:dyDescent="0.2"/>
    <row r="40" spans="1:4" ht="15.75" customHeight="1" x14ac:dyDescent="0.2">
      <c r="A40" s="6" t="s">
        <v>38</v>
      </c>
    </row>
    <row r="41" spans="1:4" ht="15.75" customHeight="1" x14ac:dyDescent="0.2">
      <c r="A41" s="6" t="s">
        <v>39</v>
      </c>
      <c r="B41" s="6">
        <f t="shared" ref="B41:D41" si="14">B45/B44</f>
        <v>0.01</v>
      </c>
      <c r="C41" s="6">
        <f t="shared" si="14"/>
        <v>2.9000000000000001E-2</v>
      </c>
      <c r="D41" s="6">
        <f t="shared" si="14"/>
        <v>4.1099999999999998E-2</v>
      </c>
    </row>
    <row r="42" spans="1:4" ht="15.75" customHeight="1" x14ac:dyDescent="0.2">
      <c r="A42" s="6" t="s">
        <v>40</v>
      </c>
      <c r="B42" s="22">
        <f t="shared" ref="B42:B43" si="15">-B6</f>
        <v>31000</v>
      </c>
      <c r="C42" s="22">
        <f t="shared" ref="C42:D42" si="16">-C6+B42</f>
        <v>136000</v>
      </c>
      <c r="D42" s="22">
        <f t="shared" si="16"/>
        <v>291000</v>
      </c>
    </row>
    <row r="43" spans="1:4" ht="15.75" customHeight="1" x14ac:dyDescent="0.2">
      <c r="A43" s="6" t="s">
        <v>41</v>
      </c>
      <c r="B43" s="22">
        <f t="shared" si="15"/>
        <v>30000</v>
      </c>
      <c r="C43" s="22">
        <f t="shared" ref="C43:D43" si="17">-C7+B43</f>
        <v>130000</v>
      </c>
      <c r="D43" s="22">
        <f t="shared" si="17"/>
        <v>280000</v>
      </c>
    </row>
    <row r="44" spans="1:4" ht="15.75" customHeight="1" x14ac:dyDescent="0.2">
      <c r="A44" s="6" t="s">
        <v>42</v>
      </c>
      <c r="B44" s="22">
        <f t="shared" ref="B44:D44" si="18">B17</f>
        <v>3000000</v>
      </c>
      <c r="C44" s="22">
        <f t="shared" si="18"/>
        <v>5000000</v>
      </c>
      <c r="D44" s="22">
        <f t="shared" si="18"/>
        <v>10000000</v>
      </c>
    </row>
    <row r="45" spans="1:4" ht="15.75" customHeight="1" x14ac:dyDescent="0.2">
      <c r="A45" s="6" t="s">
        <v>43</v>
      </c>
      <c r="B45" s="22">
        <f t="shared" ref="B45:D45" si="19">B10</f>
        <v>30000</v>
      </c>
      <c r="C45" s="22">
        <f t="shared" si="19"/>
        <v>145000</v>
      </c>
      <c r="D45" s="22">
        <f t="shared" si="19"/>
        <v>411000</v>
      </c>
    </row>
    <row r="46" spans="1:4" ht="15.75" customHeight="1" x14ac:dyDescent="0.2">
      <c r="A46" s="6" t="s">
        <v>44</v>
      </c>
      <c r="B46" s="12">
        <f t="shared" ref="B46:D46" si="20">B30</f>
        <v>0</v>
      </c>
      <c r="C46" s="12">
        <f t="shared" si="20"/>
        <v>300</v>
      </c>
      <c r="D46" s="12">
        <f t="shared" si="20"/>
        <v>4220.0000000000018</v>
      </c>
    </row>
    <row r="47" spans="1:4" ht="15.75" customHeight="1" x14ac:dyDescent="0.2">
      <c r="A47" s="6" t="s">
        <v>45</v>
      </c>
      <c r="B47" s="22">
        <f t="shared" ref="B47:D47" si="21">B45-B42-B46</f>
        <v>-1000</v>
      </c>
      <c r="C47" s="22">
        <f t="shared" si="21"/>
        <v>8700</v>
      </c>
      <c r="D47" s="22">
        <f t="shared" si="21"/>
        <v>115780</v>
      </c>
    </row>
    <row r="48" spans="1:4" ht="15.75" customHeight="1" x14ac:dyDescent="0.2">
      <c r="A48" s="6" t="s">
        <v>46</v>
      </c>
      <c r="B48" s="6">
        <f t="shared" ref="B48:D48" si="22">B47/B42</f>
        <v>-3.2258064516129031E-2</v>
      </c>
      <c r="C48" s="6">
        <f t="shared" si="22"/>
        <v>6.3970588235294112E-2</v>
      </c>
      <c r="D48" s="6">
        <f t="shared" si="22"/>
        <v>0.39786941580756013</v>
      </c>
    </row>
    <row r="49" spans="1:9" ht="15.75" customHeight="1" x14ac:dyDescent="0.2"/>
    <row r="50" spans="1:9" ht="15.75" customHeight="1" x14ac:dyDescent="0.2"/>
    <row r="51" spans="1:9" ht="15.75" customHeight="1" x14ac:dyDescent="0.2"/>
    <row r="52" spans="1:9" ht="15.75" customHeight="1" x14ac:dyDescent="0.2">
      <c r="A52" s="24" t="s">
        <v>48</v>
      </c>
      <c r="F52" s="6" t="s">
        <v>49</v>
      </c>
      <c r="H52" s="7" t="s">
        <v>50</v>
      </c>
      <c r="I52" s="7" t="s">
        <v>51</v>
      </c>
    </row>
    <row r="53" spans="1:9" ht="15.75" customHeight="1" x14ac:dyDescent="0.2">
      <c r="A53" s="24" t="s">
        <v>52</v>
      </c>
      <c r="B53" s="6" t="s">
        <v>106</v>
      </c>
      <c r="C53" s="6" t="s">
        <v>106</v>
      </c>
      <c r="D53" s="6" t="s">
        <v>106</v>
      </c>
    </row>
    <row r="54" spans="1:9" ht="15.75" customHeight="1" x14ac:dyDescent="0.2">
      <c r="A54" s="6" t="s">
        <v>106</v>
      </c>
      <c r="B54" s="13">
        <f t="shared" ref="B54:D54" si="23">B11</f>
        <v>0.01</v>
      </c>
      <c r="C54" s="13">
        <f t="shared" si="23"/>
        <v>2.9000000000000001E-2</v>
      </c>
      <c r="D54" s="13">
        <f t="shared" si="23"/>
        <v>4.1099999999999998E-2</v>
      </c>
      <c r="F54" s="13">
        <f>D54/$D$11</f>
        <v>1</v>
      </c>
      <c r="H54" s="12">
        <f>D22</f>
        <v>291000</v>
      </c>
      <c r="I54" s="12">
        <f>D23-D30</f>
        <v>406780</v>
      </c>
    </row>
    <row r="55" spans="1:9" ht="15.75" customHeight="1" x14ac:dyDescent="0.2"/>
    <row r="56" spans="1:9" ht="15.75" customHeight="1" x14ac:dyDescent="0.2">
      <c r="A56" s="25" t="s">
        <v>54</v>
      </c>
      <c r="B56" s="6" t="s">
        <v>106</v>
      </c>
      <c r="C56" s="6" t="s">
        <v>106</v>
      </c>
      <c r="D56" s="6" t="s">
        <v>106</v>
      </c>
    </row>
    <row r="57" spans="1:9" ht="15.75" customHeight="1" x14ac:dyDescent="0.2">
      <c r="A57" s="6" t="s">
        <v>106</v>
      </c>
      <c r="B57" s="13">
        <f t="shared" ref="B57:D57" si="24">B11</f>
        <v>0.01</v>
      </c>
      <c r="C57" s="13">
        <f t="shared" si="24"/>
        <v>2.9000000000000001E-2</v>
      </c>
      <c r="D57" s="13">
        <f t="shared" si="24"/>
        <v>4.1099999999999998E-2</v>
      </c>
      <c r="F57" s="13">
        <f>D57/$D$11</f>
        <v>1</v>
      </c>
      <c r="H57" s="12">
        <f>D22</f>
        <v>291000</v>
      </c>
      <c r="I57" s="12">
        <f>D23-D30</f>
        <v>406780</v>
      </c>
    </row>
    <row r="58" spans="1:9" ht="15.75" customHeight="1" x14ac:dyDescent="0.2"/>
    <row r="59" spans="1:9" ht="15.75" customHeight="1" x14ac:dyDescent="0.2">
      <c r="A59" s="26" t="s">
        <v>56</v>
      </c>
      <c r="B59" s="6" t="s">
        <v>107</v>
      </c>
      <c r="C59" s="6" t="s">
        <v>107</v>
      </c>
      <c r="D59" s="6" t="s">
        <v>107</v>
      </c>
    </row>
    <row r="60" spans="1:9" ht="15.75" customHeight="1" x14ac:dyDescent="0.2">
      <c r="A60" s="6" t="s">
        <v>107</v>
      </c>
      <c r="B60" s="13">
        <f t="shared" ref="B60:D60" si="25">B11</f>
        <v>0.01</v>
      </c>
      <c r="C60" s="13">
        <f t="shared" si="25"/>
        <v>2.9000000000000001E-2</v>
      </c>
      <c r="D60" s="13">
        <f t="shared" si="25"/>
        <v>4.1099999999999998E-2</v>
      </c>
      <c r="F60" s="13">
        <f>D60/$D$11</f>
        <v>1</v>
      </c>
      <c r="H60" s="12">
        <f>D22</f>
        <v>291000</v>
      </c>
      <c r="I60" s="12">
        <f>D23-D30</f>
        <v>406780</v>
      </c>
    </row>
    <row r="61" spans="1:9" ht="15.75" customHeight="1" x14ac:dyDescent="0.2"/>
    <row r="62" spans="1:9" ht="15.75" customHeight="1" x14ac:dyDescent="0.2"/>
    <row r="63" spans="1:9" ht="15.75" customHeight="1" x14ac:dyDescent="0.2">
      <c r="A63" s="27" t="s">
        <v>58</v>
      </c>
      <c r="H63" s="7" t="s">
        <v>50</v>
      </c>
      <c r="I63" s="7" t="s">
        <v>51</v>
      </c>
    </row>
    <row r="64" spans="1:9" ht="15.75" customHeight="1" x14ac:dyDescent="0.2">
      <c r="A64" s="25" t="s">
        <v>59</v>
      </c>
      <c r="B64" s="6" t="s">
        <v>106</v>
      </c>
      <c r="C64" s="6" t="s">
        <v>53</v>
      </c>
      <c r="D64" s="6" t="s">
        <v>53</v>
      </c>
    </row>
    <row r="65" spans="1:15" ht="15.75" customHeight="1" x14ac:dyDescent="0.2">
      <c r="A65" s="6" t="s">
        <v>106</v>
      </c>
      <c r="B65" s="13">
        <f t="shared" ref="B65:D65" si="26">B25</f>
        <v>0.01</v>
      </c>
      <c r="C65" s="13">
        <f t="shared" si="26"/>
        <v>8.9999999999999993E-3</v>
      </c>
      <c r="D65" s="13">
        <f t="shared" si="26"/>
        <v>8.0999999999999996E-3</v>
      </c>
      <c r="F65" s="13">
        <f t="shared" ref="F65:F67" si="27">D65/$D$11</f>
        <v>0.19708029197080293</v>
      </c>
      <c r="H65" s="12">
        <f>B21</f>
        <v>31000</v>
      </c>
      <c r="I65" s="14">
        <f>$D$23*F65-$B$24*(D25*D17+$B$7)</f>
        <v>79980</v>
      </c>
      <c r="K65" s="14"/>
    </row>
    <row r="66" spans="1:15" ht="15.75" customHeight="1" x14ac:dyDescent="0.2">
      <c r="A66" s="6" t="s">
        <v>53</v>
      </c>
      <c r="C66" s="13">
        <f t="shared" ref="C66:D66" si="28">C26</f>
        <v>2.0000000000000004E-2</v>
      </c>
      <c r="D66" s="13">
        <f t="shared" si="28"/>
        <v>1.8000000000000002E-2</v>
      </c>
      <c r="F66" s="13">
        <f t="shared" si="27"/>
        <v>0.43795620437956212</v>
      </c>
      <c r="H66" s="12">
        <f>C21</f>
        <v>105000</v>
      </c>
      <c r="I66" s="14">
        <f>$D$23*F66-$C$24*(D26*D17+$C$7)</f>
        <v>176800.00000000003</v>
      </c>
      <c r="K66" s="14">
        <f>SUM(I66:I67)</f>
        <v>326800</v>
      </c>
    </row>
    <row r="67" spans="1:15" ht="15.75" customHeight="1" x14ac:dyDescent="0.2">
      <c r="A67" s="6" t="s">
        <v>53</v>
      </c>
      <c r="D67" s="13">
        <f>D27</f>
        <v>1.4999999999999996E-2</v>
      </c>
      <c r="F67" s="13">
        <f t="shared" si="27"/>
        <v>0.36496350364963498</v>
      </c>
      <c r="H67" s="12">
        <f>D21</f>
        <v>155000</v>
      </c>
      <c r="I67" s="14">
        <f>$D$23*F67</f>
        <v>149999.99999999997</v>
      </c>
      <c r="K67" s="11"/>
      <c r="M67" s="13"/>
      <c r="O67" s="14"/>
    </row>
    <row r="68" spans="1:15" ht="15.75" customHeight="1" x14ac:dyDescent="0.2">
      <c r="I68" s="12"/>
    </row>
    <row r="69" spans="1:15" ht="15.75" customHeight="1" x14ac:dyDescent="0.2">
      <c r="A69" s="25" t="s">
        <v>62</v>
      </c>
      <c r="B69" s="6" t="s">
        <v>106</v>
      </c>
      <c r="C69" s="6" t="s">
        <v>53</v>
      </c>
      <c r="D69" s="6" t="s">
        <v>53</v>
      </c>
    </row>
    <row r="70" spans="1:15" ht="15.75" customHeight="1" x14ac:dyDescent="0.2">
      <c r="A70" s="6" t="s">
        <v>106</v>
      </c>
      <c r="B70" s="13">
        <f>B11</f>
        <v>0.01</v>
      </c>
      <c r="C70" s="13">
        <f t="shared" ref="C70:D70" si="29">C25</f>
        <v>8.9999999999999993E-3</v>
      </c>
      <c r="D70" s="13">
        <f t="shared" si="29"/>
        <v>8.0999999999999996E-3</v>
      </c>
      <c r="F70" s="13">
        <f t="shared" ref="F70:F72" si="30">D70/$D$11</f>
        <v>0.19708029197080293</v>
      </c>
      <c r="H70" s="12">
        <f t="shared" ref="H70:H72" si="31">H65</f>
        <v>31000</v>
      </c>
      <c r="I70" s="14">
        <f>$D$23*F70-$B$24*(D25*D17+$B$7)</f>
        <v>79980</v>
      </c>
    </row>
    <row r="71" spans="1:15" ht="15.75" customHeight="1" x14ac:dyDescent="0.2">
      <c r="A71" s="6" t="s">
        <v>53</v>
      </c>
      <c r="C71" s="13">
        <f t="shared" ref="C71:D71" si="32">C26</f>
        <v>2.0000000000000004E-2</v>
      </c>
      <c r="D71" s="13">
        <f t="shared" si="32"/>
        <v>1.8000000000000002E-2</v>
      </c>
      <c r="F71" s="13">
        <f t="shared" si="30"/>
        <v>0.43795620437956212</v>
      </c>
      <c r="H71" s="12">
        <f t="shared" si="31"/>
        <v>105000</v>
      </c>
      <c r="I71" s="14">
        <f>$D$23*F71-$C$24*(D26*D17+$C$7)</f>
        <v>176800.00000000003</v>
      </c>
    </row>
    <row r="72" spans="1:15" ht="15.75" customHeight="1" x14ac:dyDescent="0.2">
      <c r="A72" s="6" t="s">
        <v>53</v>
      </c>
      <c r="D72" s="13">
        <f>D27</f>
        <v>1.4999999999999996E-2</v>
      </c>
      <c r="F72" s="13">
        <f t="shared" si="30"/>
        <v>0.36496350364963498</v>
      </c>
      <c r="H72" s="12">
        <f t="shared" si="31"/>
        <v>155000</v>
      </c>
      <c r="I72" s="14">
        <f>F72*$D$23</f>
        <v>149999.99999999997</v>
      </c>
    </row>
    <row r="73" spans="1:15" ht="15.75" customHeight="1" x14ac:dyDescent="0.2"/>
    <row r="74" spans="1:15" ht="15.75" customHeight="1" x14ac:dyDescent="0.2"/>
    <row r="75" spans="1:15" ht="15.75" customHeight="1" x14ac:dyDescent="0.2"/>
    <row r="76" spans="1:15" ht="15.75" customHeight="1" x14ac:dyDescent="0.2"/>
    <row r="77" spans="1:15" ht="15.75" customHeight="1" x14ac:dyDescent="0.2"/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26" width="10.5" customWidth="1"/>
  </cols>
  <sheetData>
    <row r="1" spans="1:3" ht="15.75" customHeight="1" x14ac:dyDescent="0.2">
      <c r="A1" s="1"/>
      <c r="B1" s="2">
        <v>43412</v>
      </c>
      <c r="C1" s="2">
        <v>44033</v>
      </c>
    </row>
    <row r="2" spans="1:3" ht="15.75" customHeight="1" x14ac:dyDescent="0.2">
      <c r="A2" s="3" t="s">
        <v>0</v>
      </c>
      <c r="B2" s="4" t="str">
        <f t="shared" ref="B2:C2" si="0">$A$20</f>
        <v>Alpha</v>
      </c>
      <c r="C2" s="4" t="str">
        <f t="shared" si="0"/>
        <v>Alpha</v>
      </c>
    </row>
    <row r="3" spans="1:3" ht="15.75" customHeight="1" x14ac:dyDescent="0.2">
      <c r="A3" s="3" t="s">
        <v>1</v>
      </c>
      <c r="B3" s="5" t="s">
        <v>2</v>
      </c>
      <c r="C3" s="5" t="s">
        <v>70</v>
      </c>
    </row>
    <row r="4" spans="1:3" ht="15.75" customHeight="1" x14ac:dyDescent="0.2">
      <c r="A4" s="3" t="s">
        <v>5</v>
      </c>
      <c r="B4" s="7" t="s">
        <v>7</v>
      </c>
      <c r="C4" s="7" t="s">
        <v>7</v>
      </c>
    </row>
    <row r="5" spans="1:3" ht="15.75" customHeight="1" x14ac:dyDescent="0.2">
      <c r="A5" s="3" t="s">
        <v>9</v>
      </c>
      <c r="B5" s="8"/>
      <c r="C5" s="7"/>
    </row>
    <row r="6" spans="1:3" ht="15.75" customHeight="1" x14ac:dyDescent="0.2">
      <c r="A6" s="3" t="s">
        <v>10</v>
      </c>
      <c r="B6" s="9">
        <f>-(51000)</f>
        <v>-51000</v>
      </c>
      <c r="C6" s="9">
        <f t="shared" ref="C6:C7" si="1">0</f>
        <v>0</v>
      </c>
    </row>
    <row r="7" spans="1:3" ht="15.75" customHeight="1" x14ac:dyDescent="0.2">
      <c r="A7" s="3" t="s">
        <v>11</v>
      </c>
      <c r="B7" s="9">
        <f>-(50000)</f>
        <v>-50000</v>
      </c>
      <c r="C7" s="9">
        <f t="shared" si="1"/>
        <v>0</v>
      </c>
    </row>
    <row r="8" spans="1:3" ht="15.75" customHeight="1" x14ac:dyDescent="0.2">
      <c r="A8" s="3" t="s">
        <v>12</v>
      </c>
      <c r="B8" s="10">
        <f>1-B7/B6</f>
        <v>1.9607843137254943E-2</v>
      </c>
      <c r="C8" s="10">
        <f>IF(C6&lt;0,1-C7/C6,0)</f>
        <v>0</v>
      </c>
    </row>
    <row r="9" spans="1:3" ht="15.75" customHeight="1" x14ac:dyDescent="0.2">
      <c r="A9" s="3" t="s">
        <v>13</v>
      </c>
      <c r="B9" s="11">
        <v>0.02</v>
      </c>
      <c r="C9" s="11">
        <v>0</v>
      </c>
    </row>
    <row r="10" spans="1:3" ht="15.75" customHeight="1" x14ac:dyDescent="0.2">
      <c r="A10" s="3" t="s">
        <v>14</v>
      </c>
      <c r="B10" s="12">
        <f>IF(B4="SAFE",B11*B15,B11*B13)</f>
        <v>50000</v>
      </c>
      <c r="C10" s="57">
        <f>C13*B11</f>
        <v>375000</v>
      </c>
    </row>
    <row r="11" spans="1:3" ht="15.75" customHeight="1" x14ac:dyDescent="0.2">
      <c r="A11" s="3" t="s">
        <v>15</v>
      </c>
      <c r="B11" s="13">
        <f>IF(B4="SAFE",-B7/B15,-B7/B13)</f>
        <v>0.05</v>
      </c>
      <c r="C11" s="13">
        <f>C10/C17</f>
        <v>0.05</v>
      </c>
    </row>
    <row r="12" spans="1:3" ht="15.75" customHeight="1" x14ac:dyDescent="0.2">
      <c r="A12" s="3" t="s">
        <v>16</v>
      </c>
      <c r="B12" s="14">
        <v>50000</v>
      </c>
      <c r="C12" s="14"/>
    </row>
    <row r="13" spans="1:3" ht="15.75" customHeight="1" x14ac:dyDescent="0.2">
      <c r="A13" s="3" t="s">
        <v>17</v>
      </c>
      <c r="B13" s="14">
        <v>1000000</v>
      </c>
      <c r="C13" s="14">
        <v>7500000</v>
      </c>
    </row>
    <row r="14" spans="1:3" ht="15.75" customHeight="1" x14ac:dyDescent="0.2">
      <c r="A14" s="3" t="s">
        <v>18</v>
      </c>
      <c r="B14" s="14"/>
      <c r="C14" s="14"/>
    </row>
    <row r="15" spans="1:3" ht="15.75" customHeight="1" x14ac:dyDescent="0.2">
      <c r="A15" s="15" t="s">
        <v>19</v>
      </c>
      <c r="B15" s="14"/>
      <c r="C15" s="14"/>
    </row>
    <row r="16" spans="1:3" ht="15.75" customHeight="1" x14ac:dyDescent="0.2">
      <c r="B16" s="14"/>
    </row>
    <row r="17" spans="1:3" ht="15.75" customHeight="1" x14ac:dyDescent="0.2">
      <c r="A17" s="16" t="s">
        <v>20</v>
      </c>
      <c r="B17" s="14">
        <f t="shared" ref="B17:C17" si="2">IF(B4="SAFE",B15,B13)</f>
        <v>1000000</v>
      </c>
      <c r="C17" s="14">
        <f t="shared" si="2"/>
        <v>7500000</v>
      </c>
    </row>
    <row r="18" spans="1:3" ht="15.75" customHeight="1" x14ac:dyDescent="0.2"/>
    <row r="19" spans="1:3" ht="15.75" customHeight="1" x14ac:dyDescent="0.2"/>
    <row r="20" spans="1:3" ht="15.75" customHeight="1" x14ac:dyDescent="0.2">
      <c r="A20" s="6" t="s">
        <v>77</v>
      </c>
    </row>
    <row r="21" spans="1:3" ht="15.75" customHeight="1" x14ac:dyDescent="0.2">
      <c r="A21" s="6" t="s">
        <v>22</v>
      </c>
      <c r="B21" s="12">
        <f t="shared" ref="B21:C21" si="3">-B6</f>
        <v>51000</v>
      </c>
      <c r="C21" s="12">
        <f t="shared" si="3"/>
        <v>0</v>
      </c>
    </row>
    <row r="22" spans="1:3" ht="15.75" customHeight="1" x14ac:dyDescent="0.2">
      <c r="A22" s="6" t="s">
        <v>23</v>
      </c>
      <c r="B22" s="12">
        <f>B21</f>
        <v>51000</v>
      </c>
      <c r="C22" s="12">
        <f>C21+B22</f>
        <v>51000</v>
      </c>
    </row>
    <row r="23" spans="1:3" ht="15.75" customHeight="1" x14ac:dyDescent="0.2">
      <c r="A23" s="6" t="s">
        <v>24</v>
      </c>
      <c r="B23" s="12">
        <f t="shared" ref="B23:C23" si="4">B10</f>
        <v>50000</v>
      </c>
      <c r="C23" s="12">
        <f t="shared" si="4"/>
        <v>375000</v>
      </c>
    </row>
    <row r="24" spans="1:3" ht="15.75" customHeight="1" x14ac:dyDescent="0.2">
      <c r="A24" s="17" t="s">
        <v>25</v>
      </c>
      <c r="B24" s="11">
        <f t="shared" ref="B24:C24" si="5">B9</f>
        <v>0.02</v>
      </c>
      <c r="C24" s="11">
        <f t="shared" si="5"/>
        <v>0</v>
      </c>
    </row>
    <row r="25" spans="1:3" ht="15.75" customHeight="1" x14ac:dyDescent="0.2">
      <c r="A25" s="17" t="s">
        <v>26</v>
      </c>
      <c r="B25" s="13">
        <f>B11</f>
        <v>0.05</v>
      </c>
      <c r="C25" s="13">
        <f>B25*(C17-C12)/C17</f>
        <v>0.05</v>
      </c>
    </row>
    <row r="26" spans="1:3" ht="15.75" customHeight="1" x14ac:dyDescent="0.2">
      <c r="A26" s="17" t="s">
        <v>27</v>
      </c>
      <c r="B26" s="13">
        <v>0</v>
      </c>
      <c r="C26" s="13">
        <f>C11-C25</f>
        <v>0</v>
      </c>
    </row>
    <row r="27" spans="1:3" ht="15.75" customHeight="1" x14ac:dyDescent="0.2">
      <c r="A27" s="17" t="s">
        <v>28</v>
      </c>
      <c r="B27" s="13">
        <v>0</v>
      </c>
      <c r="C27" s="13">
        <v>0</v>
      </c>
    </row>
    <row r="28" spans="1:3" ht="15.75" customHeight="1" x14ac:dyDescent="0.2">
      <c r="A28" s="17" t="s">
        <v>29</v>
      </c>
      <c r="B28" s="13">
        <v>0</v>
      </c>
      <c r="C28" s="13">
        <v>0</v>
      </c>
    </row>
    <row r="29" spans="1:3" ht="15.75" customHeight="1" x14ac:dyDescent="0.2">
      <c r="A29" s="17" t="s">
        <v>30</v>
      </c>
      <c r="B29" s="13">
        <v>0</v>
      </c>
      <c r="C29" s="13">
        <v>0</v>
      </c>
    </row>
    <row r="30" spans="1:3" ht="15.75" customHeight="1" x14ac:dyDescent="0.2">
      <c r="A30" s="18" t="s">
        <v>31</v>
      </c>
      <c r="B30" s="19">
        <f>MAX(0,(B23-B22)*B24)</f>
        <v>0</v>
      </c>
      <c r="C30" s="19">
        <f>$B$24*(C25*C17+$B$7)</f>
        <v>6500</v>
      </c>
    </row>
    <row r="31" spans="1:3" ht="15.75" customHeight="1" x14ac:dyDescent="0.2">
      <c r="A31" s="6" t="s">
        <v>32</v>
      </c>
      <c r="B31" s="12">
        <f>B23-B21-B30</f>
        <v>-1000</v>
      </c>
      <c r="C31" s="12">
        <f>C23-C22-C30</f>
        <v>317500</v>
      </c>
    </row>
    <row r="32" spans="1:3" ht="15.75" customHeight="1" x14ac:dyDescent="0.2">
      <c r="A32" s="6" t="s">
        <v>33</v>
      </c>
      <c r="B32" s="13">
        <f t="shared" ref="B32:C32" si="6">B31/B22</f>
        <v>-1.9607843137254902E-2</v>
      </c>
      <c r="C32" s="13">
        <f t="shared" si="6"/>
        <v>6.2254901960784315</v>
      </c>
    </row>
    <row r="33" spans="1:3" ht="15.75" customHeight="1" x14ac:dyDescent="0.2">
      <c r="A33" s="20" t="s">
        <v>34</v>
      </c>
      <c r="B33" s="9">
        <f t="shared" ref="B33:B34" si="7">B6</f>
        <v>-51000</v>
      </c>
      <c r="C33" s="9">
        <f>C23</f>
        <v>375000</v>
      </c>
    </row>
    <row r="34" spans="1:3" ht="15.75" customHeight="1" x14ac:dyDescent="0.2">
      <c r="A34" s="20" t="s">
        <v>35</v>
      </c>
      <c r="B34" s="9">
        <f t="shared" si="7"/>
        <v>-50000</v>
      </c>
      <c r="C34" s="9">
        <f>C23</f>
        <v>375000</v>
      </c>
    </row>
    <row r="36" spans="1:3" ht="15.75" customHeight="1" x14ac:dyDescent="0.2">
      <c r="A36" s="6" t="s">
        <v>36</v>
      </c>
      <c r="B36" s="13">
        <f>XIRR(B33:C33,B1:C1)</f>
        <v>2.2305214166641236</v>
      </c>
    </row>
    <row r="37" spans="1:3" ht="15.75" customHeight="1" x14ac:dyDescent="0.2">
      <c r="A37" s="6" t="s">
        <v>37</v>
      </c>
      <c r="B37" s="13">
        <f>XIRR(B34:C34,B1:C1)</f>
        <v>2.2683418512344358</v>
      </c>
    </row>
    <row r="38" spans="1:3" ht="15.75" customHeight="1" x14ac:dyDescent="0.2"/>
    <row r="39" spans="1:3" ht="15.75" customHeight="1" x14ac:dyDescent="0.2"/>
    <row r="40" spans="1:3" ht="15.75" customHeight="1" x14ac:dyDescent="0.2">
      <c r="A40" s="6" t="s">
        <v>38</v>
      </c>
    </row>
    <row r="41" spans="1:3" ht="15.75" customHeight="1" x14ac:dyDescent="0.2">
      <c r="A41" s="6" t="s">
        <v>39</v>
      </c>
      <c r="B41" s="6">
        <f t="shared" ref="B41:C41" si="8">B45/B44</f>
        <v>0.05</v>
      </c>
      <c r="C41" s="6">
        <f t="shared" si="8"/>
        <v>0.05</v>
      </c>
    </row>
    <row r="42" spans="1:3" ht="15.75" customHeight="1" x14ac:dyDescent="0.2">
      <c r="A42" s="6" t="s">
        <v>40</v>
      </c>
      <c r="B42" s="22">
        <f t="shared" ref="B42:B43" si="9">-B6</f>
        <v>51000</v>
      </c>
      <c r="C42" s="22">
        <f t="shared" ref="C42:C43" si="10">-C6+B42</f>
        <v>51000</v>
      </c>
    </row>
    <row r="43" spans="1:3" ht="15.75" customHeight="1" x14ac:dyDescent="0.2">
      <c r="A43" s="6" t="s">
        <v>41</v>
      </c>
      <c r="B43" s="22">
        <f t="shared" si="9"/>
        <v>50000</v>
      </c>
      <c r="C43" s="22">
        <f t="shared" si="10"/>
        <v>50000</v>
      </c>
    </row>
    <row r="44" spans="1:3" ht="15.75" customHeight="1" x14ac:dyDescent="0.2">
      <c r="A44" s="6" t="s">
        <v>42</v>
      </c>
      <c r="B44" s="22">
        <f t="shared" ref="B44:C44" si="11">B17</f>
        <v>1000000</v>
      </c>
      <c r="C44" s="22">
        <f t="shared" si="11"/>
        <v>7500000</v>
      </c>
    </row>
    <row r="45" spans="1:3" ht="15.75" customHeight="1" x14ac:dyDescent="0.2">
      <c r="A45" s="6" t="s">
        <v>43</v>
      </c>
      <c r="B45" s="22">
        <f t="shared" ref="B45:C45" si="12">B10</f>
        <v>50000</v>
      </c>
      <c r="C45" s="22">
        <f t="shared" si="12"/>
        <v>375000</v>
      </c>
    </row>
    <row r="46" spans="1:3" ht="15.75" customHeight="1" x14ac:dyDescent="0.2">
      <c r="A46" s="6" t="s">
        <v>44</v>
      </c>
      <c r="B46" s="12">
        <f t="shared" ref="B46:C46" si="13">B30</f>
        <v>0</v>
      </c>
      <c r="C46" s="12">
        <f t="shared" si="13"/>
        <v>6500</v>
      </c>
    </row>
    <row r="47" spans="1:3" ht="15.75" customHeight="1" x14ac:dyDescent="0.2">
      <c r="A47" s="6" t="s">
        <v>45</v>
      </c>
      <c r="B47" s="22">
        <f t="shared" ref="B47:C47" si="14">B45-B42-B46</f>
        <v>-1000</v>
      </c>
      <c r="C47" s="22">
        <f t="shared" si="14"/>
        <v>317500</v>
      </c>
    </row>
    <row r="48" spans="1:3" ht="15.75" customHeight="1" x14ac:dyDescent="0.2">
      <c r="A48" s="6" t="s">
        <v>46</v>
      </c>
      <c r="B48" s="6">
        <f t="shared" ref="B48:C48" si="15">B47/B42</f>
        <v>-1.9607843137254902E-2</v>
      </c>
      <c r="C48" s="6">
        <f t="shared" si="15"/>
        <v>6.2254901960784315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40.83203125" customWidth="1"/>
    <col min="2" max="2" width="16.5" customWidth="1"/>
    <col min="3" max="3" width="13.83203125" customWidth="1"/>
    <col min="4" max="26" width="10.5" customWidth="1"/>
  </cols>
  <sheetData>
    <row r="1" spans="1:3" ht="15.75" customHeight="1" x14ac:dyDescent="0.2">
      <c r="A1" s="1"/>
      <c r="B1" s="2">
        <v>43125</v>
      </c>
      <c r="C1" s="2">
        <v>43891</v>
      </c>
    </row>
    <row r="2" spans="1:3" ht="15.75" customHeight="1" x14ac:dyDescent="0.2">
      <c r="A2" s="3" t="s">
        <v>0</v>
      </c>
      <c r="B2" s="4" t="str">
        <f t="shared" ref="B2:C2" si="0">$A$20</f>
        <v>Zeta</v>
      </c>
      <c r="C2" s="4" t="str">
        <f t="shared" si="0"/>
        <v>Zeta</v>
      </c>
    </row>
    <row r="3" spans="1:3" ht="15.75" customHeight="1" x14ac:dyDescent="0.2">
      <c r="A3" s="3" t="s">
        <v>1</v>
      </c>
      <c r="B3" s="5" t="s">
        <v>2</v>
      </c>
      <c r="C3" s="5" t="s">
        <v>108</v>
      </c>
    </row>
    <row r="4" spans="1:3" ht="15.75" customHeight="1" x14ac:dyDescent="0.2">
      <c r="A4" s="3" t="s">
        <v>5</v>
      </c>
      <c r="B4" s="7" t="s">
        <v>7</v>
      </c>
      <c r="C4" s="7" t="s">
        <v>7</v>
      </c>
    </row>
    <row r="5" spans="1:3" ht="15.75" customHeight="1" x14ac:dyDescent="0.2">
      <c r="A5" s="3" t="s">
        <v>9</v>
      </c>
      <c r="B5" s="8"/>
      <c r="C5" s="7"/>
    </row>
    <row r="6" spans="1:3" ht="15.75" customHeight="1" x14ac:dyDescent="0.2">
      <c r="A6" s="3" t="s">
        <v>10</v>
      </c>
      <c r="B6" s="9">
        <f>-(1050000)</f>
        <v>-1050000</v>
      </c>
      <c r="C6" s="9">
        <f>-2000</f>
        <v>-2000</v>
      </c>
    </row>
    <row r="7" spans="1:3" ht="15.75" customHeight="1" x14ac:dyDescent="0.2">
      <c r="A7" s="3" t="s">
        <v>11</v>
      </c>
      <c r="B7" s="9">
        <f>-(1000000)</f>
        <v>-1000000</v>
      </c>
      <c r="C7" s="9">
        <v>0</v>
      </c>
    </row>
    <row r="8" spans="1:3" ht="15.75" customHeight="1" x14ac:dyDescent="0.2">
      <c r="A8" s="3" t="s">
        <v>12</v>
      </c>
      <c r="B8" s="10">
        <f t="shared" ref="B8:C8" si="1">1-B7/B6</f>
        <v>4.7619047619047672E-2</v>
      </c>
      <c r="C8" s="10">
        <f t="shared" si="1"/>
        <v>1</v>
      </c>
    </row>
    <row r="9" spans="1:3" ht="15.75" customHeight="1" x14ac:dyDescent="0.2">
      <c r="A9" s="3" t="s">
        <v>13</v>
      </c>
      <c r="B9" s="11">
        <v>2.5000000000000001E-2</v>
      </c>
      <c r="C9" s="11">
        <v>0</v>
      </c>
    </row>
    <row r="10" spans="1:3" ht="15.75" customHeight="1" x14ac:dyDescent="0.2">
      <c r="A10" s="3" t="s">
        <v>14</v>
      </c>
      <c r="B10" s="12">
        <f>IF(B4="SAFE",B11*B15,B11*B13)</f>
        <v>1000000</v>
      </c>
      <c r="C10" s="12">
        <f>C7</f>
        <v>0</v>
      </c>
    </row>
    <row r="11" spans="1:3" ht="15.75" customHeight="1" x14ac:dyDescent="0.2">
      <c r="A11" s="3" t="s">
        <v>15</v>
      </c>
      <c r="B11" s="13">
        <f>IF(B4="SAFE",-B7/B15,-B7/B13)</f>
        <v>0.1</v>
      </c>
      <c r="C11" s="13" t="e">
        <f>C10/C17</f>
        <v>#DIV/0!</v>
      </c>
    </row>
    <row r="12" spans="1:3" ht="15.75" customHeight="1" x14ac:dyDescent="0.2">
      <c r="A12" s="3" t="s">
        <v>16</v>
      </c>
      <c r="B12" s="14">
        <v>1000000</v>
      </c>
      <c r="C12" s="14"/>
    </row>
    <row r="13" spans="1:3" ht="15.75" customHeight="1" x14ac:dyDescent="0.2">
      <c r="A13" s="3" t="s">
        <v>17</v>
      </c>
      <c r="B13" s="14">
        <v>10000000</v>
      </c>
      <c r="C13" s="14">
        <v>0</v>
      </c>
    </row>
    <row r="14" spans="1:3" ht="15.75" customHeight="1" x14ac:dyDescent="0.2">
      <c r="A14" s="3" t="s">
        <v>18</v>
      </c>
      <c r="B14" s="14"/>
      <c r="C14" s="14"/>
    </row>
    <row r="15" spans="1:3" ht="15.75" customHeight="1" x14ac:dyDescent="0.2">
      <c r="A15" s="15" t="s">
        <v>19</v>
      </c>
      <c r="B15" s="14"/>
      <c r="C15" s="14"/>
    </row>
    <row r="16" spans="1:3" ht="15.75" customHeight="1" x14ac:dyDescent="0.2">
      <c r="B16" s="14"/>
    </row>
    <row r="17" spans="1:3" ht="15.75" customHeight="1" x14ac:dyDescent="0.2">
      <c r="A17" s="16" t="s">
        <v>20</v>
      </c>
      <c r="B17" s="14">
        <f t="shared" ref="B17:C17" si="2">IF(B4="SAFE",B15,B13)</f>
        <v>10000000</v>
      </c>
      <c r="C17" s="14">
        <f t="shared" si="2"/>
        <v>0</v>
      </c>
    </row>
    <row r="18" spans="1:3" ht="15.75" customHeight="1" x14ac:dyDescent="0.2"/>
    <row r="19" spans="1:3" ht="15.75" customHeight="1" x14ac:dyDescent="0.2"/>
    <row r="20" spans="1:3" ht="15.75" customHeight="1" x14ac:dyDescent="0.2">
      <c r="A20" s="6" t="s">
        <v>109</v>
      </c>
    </row>
    <row r="21" spans="1:3" ht="15.75" customHeight="1" x14ac:dyDescent="0.2">
      <c r="A21" s="6" t="s">
        <v>22</v>
      </c>
      <c r="B21" s="12">
        <f t="shared" ref="B21:C21" si="3">-B6</f>
        <v>1050000</v>
      </c>
      <c r="C21" s="12">
        <f t="shared" si="3"/>
        <v>2000</v>
      </c>
    </row>
    <row r="22" spans="1:3" ht="15.75" customHeight="1" x14ac:dyDescent="0.2">
      <c r="A22" s="6" t="s">
        <v>23</v>
      </c>
      <c r="B22" s="12">
        <f>B21</f>
        <v>1050000</v>
      </c>
      <c r="C22" s="12">
        <f>C21+B22</f>
        <v>1052000</v>
      </c>
    </row>
    <row r="23" spans="1:3" ht="15.75" customHeight="1" x14ac:dyDescent="0.2">
      <c r="A23" s="6" t="s">
        <v>24</v>
      </c>
      <c r="B23" s="12">
        <f t="shared" ref="B23:C23" si="4">B10</f>
        <v>1000000</v>
      </c>
      <c r="C23" s="12">
        <f t="shared" si="4"/>
        <v>0</v>
      </c>
    </row>
    <row r="24" spans="1:3" ht="15.75" customHeight="1" x14ac:dyDescent="0.2">
      <c r="A24" s="17" t="s">
        <v>25</v>
      </c>
      <c r="B24" s="11">
        <f t="shared" ref="B24:C24" si="5">B9</f>
        <v>2.5000000000000001E-2</v>
      </c>
      <c r="C24" s="11">
        <f t="shared" si="5"/>
        <v>0</v>
      </c>
    </row>
    <row r="25" spans="1:3" ht="15.75" customHeight="1" x14ac:dyDescent="0.2">
      <c r="A25" s="17" t="s">
        <v>26</v>
      </c>
      <c r="B25" s="13">
        <f>B11</f>
        <v>0.1</v>
      </c>
      <c r="C25" s="13" t="e">
        <f>B25*(C17-C12)/C17</f>
        <v>#DIV/0!</v>
      </c>
    </row>
    <row r="26" spans="1:3" ht="15.75" customHeight="1" x14ac:dyDescent="0.2">
      <c r="A26" s="17" t="s">
        <v>27</v>
      </c>
      <c r="B26" s="13">
        <v>0</v>
      </c>
      <c r="C26" s="13" t="e">
        <f>C11-C25</f>
        <v>#DIV/0!</v>
      </c>
    </row>
    <row r="27" spans="1:3" ht="15.75" customHeight="1" x14ac:dyDescent="0.2">
      <c r="A27" s="17" t="s">
        <v>28</v>
      </c>
      <c r="B27" s="13">
        <v>0</v>
      </c>
      <c r="C27" s="13">
        <v>0</v>
      </c>
    </row>
    <row r="28" spans="1:3" ht="15.75" customHeight="1" x14ac:dyDescent="0.2">
      <c r="A28" s="17" t="s">
        <v>29</v>
      </c>
      <c r="B28" s="13">
        <v>0</v>
      </c>
      <c r="C28" s="13">
        <v>0</v>
      </c>
    </row>
    <row r="29" spans="1:3" ht="15.75" customHeight="1" x14ac:dyDescent="0.2">
      <c r="A29" s="17" t="s">
        <v>30</v>
      </c>
      <c r="B29" s="13">
        <v>0</v>
      </c>
      <c r="C29" s="13">
        <v>0</v>
      </c>
    </row>
    <row r="30" spans="1:3" ht="15.75" customHeight="1" x14ac:dyDescent="0.2">
      <c r="A30" s="18" t="s">
        <v>31</v>
      </c>
      <c r="B30" s="19">
        <f>MAX(0,(B23-B22)*B24)</f>
        <v>0</v>
      </c>
      <c r="C30" s="19" t="e">
        <f>$B$24*(C25*C17+$B$7)</f>
        <v>#DIV/0!</v>
      </c>
    </row>
    <row r="31" spans="1:3" ht="15.75" customHeight="1" x14ac:dyDescent="0.2">
      <c r="A31" s="6" t="s">
        <v>32</v>
      </c>
      <c r="B31" s="12">
        <f>B23-B21-B30</f>
        <v>-50000</v>
      </c>
      <c r="C31" s="12" t="e">
        <f>C23-C22-C30</f>
        <v>#DIV/0!</v>
      </c>
    </row>
    <row r="32" spans="1:3" ht="15.75" customHeight="1" x14ac:dyDescent="0.2">
      <c r="A32" s="6" t="s">
        <v>33</v>
      </c>
      <c r="B32" s="13">
        <f t="shared" ref="B32:C32" si="6">B31/B22</f>
        <v>-4.7619047619047616E-2</v>
      </c>
      <c r="C32" s="13" t="e">
        <f t="shared" si="6"/>
        <v>#DIV/0!</v>
      </c>
    </row>
    <row r="33" spans="1:3" ht="15.75" customHeight="1" x14ac:dyDescent="0.2">
      <c r="A33" s="20" t="s">
        <v>34</v>
      </c>
      <c r="B33" s="9">
        <f t="shared" ref="B33:B34" si="7">B6</f>
        <v>-1050000</v>
      </c>
      <c r="C33" s="9">
        <f>C23</f>
        <v>0</v>
      </c>
    </row>
    <row r="34" spans="1:3" ht="15.75" customHeight="1" x14ac:dyDescent="0.2">
      <c r="A34" s="20" t="s">
        <v>35</v>
      </c>
      <c r="B34" s="9">
        <f t="shared" si="7"/>
        <v>-1000000</v>
      </c>
      <c r="C34" s="9">
        <f>C23</f>
        <v>0</v>
      </c>
    </row>
    <row r="35" spans="1:3" ht="15.75" customHeight="1" x14ac:dyDescent="0.2"/>
    <row r="36" spans="1:3" ht="15.75" customHeight="1" x14ac:dyDescent="0.2">
      <c r="A36" s="6"/>
    </row>
    <row r="37" spans="1:3" ht="15.75" customHeight="1" x14ac:dyDescent="0.2">
      <c r="A37" s="6"/>
    </row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0"/>
  <sheetViews>
    <sheetView workbookViewId="0"/>
  </sheetViews>
  <sheetFormatPr baseColWidth="10" defaultColWidth="11.1640625" defaultRowHeight="15" customHeight="1" x14ac:dyDescent="0.2"/>
  <cols>
    <col min="1" max="1" width="41.33203125" customWidth="1"/>
    <col min="2" max="2" width="16.5" customWidth="1"/>
    <col min="3" max="3" width="13.83203125" customWidth="1"/>
    <col min="4" max="6" width="14.83203125" customWidth="1"/>
    <col min="7" max="26" width="10.6640625" customWidth="1"/>
  </cols>
  <sheetData>
    <row r="1" spans="1:17" ht="15.75" customHeight="1" x14ac:dyDescent="0.2">
      <c r="A1" s="1"/>
      <c r="B1" s="58">
        <v>42370</v>
      </c>
      <c r="C1" s="58">
        <v>42740</v>
      </c>
      <c r="D1" s="58">
        <v>43225</v>
      </c>
      <c r="E1" s="58">
        <v>43567</v>
      </c>
      <c r="F1" s="58">
        <v>44196</v>
      </c>
    </row>
    <row r="2" spans="1:17" ht="15.75" customHeight="1" x14ac:dyDescent="0.2">
      <c r="A2" s="3" t="s">
        <v>0</v>
      </c>
      <c r="B2" s="4" t="s">
        <v>110</v>
      </c>
      <c r="C2" s="4" t="s">
        <v>110</v>
      </c>
      <c r="D2" s="4" t="s">
        <v>110</v>
      </c>
      <c r="E2" s="4" t="s">
        <v>110</v>
      </c>
      <c r="F2" s="4" t="s">
        <v>110</v>
      </c>
    </row>
    <row r="3" spans="1:17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E3" s="5" t="s">
        <v>3</v>
      </c>
      <c r="F3" s="5" t="s">
        <v>3</v>
      </c>
    </row>
    <row r="4" spans="1:17" ht="15.75" customHeight="1" x14ac:dyDescent="0.2">
      <c r="A4" s="3" t="s">
        <v>5</v>
      </c>
      <c r="B4" s="7" t="s">
        <v>6</v>
      </c>
      <c r="C4" s="7" t="s">
        <v>6</v>
      </c>
      <c r="D4" s="7" t="s">
        <v>6</v>
      </c>
      <c r="E4" s="7" t="s">
        <v>7</v>
      </c>
      <c r="F4" s="7" t="s">
        <v>7</v>
      </c>
      <c r="O4" s="59">
        <v>44348</v>
      </c>
      <c r="P4" s="59">
        <v>44501</v>
      </c>
      <c r="Q4" s="59">
        <v>44531</v>
      </c>
    </row>
    <row r="5" spans="1:17" ht="15.75" customHeight="1" x14ac:dyDescent="0.2">
      <c r="A5" s="3" t="s">
        <v>9</v>
      </c>
      <c r="B5" s="8">
        <v>0.15</v>
      </c>
      <c r="C5" s="8">
        <v>0.12</v>
      </c>
      <c r="D5" s="8">
        <v>0.1</v>
      </c>
      <c r="E5" s="7"/>
      <c r="F5" s="7"/>
      <c r="O5" s="9">
        <f>-98000</f>
        <v>-98000</v>
      </c>
      <c r="P5" s="9">
        <f>-11000</f>
        <v>-11000</v>
      </c>
      <c r="Q5" s="9">
        <f>382500-52000</f>
        <v>330500</v>
      </c>
    </row>
    <row r="6" spans="1:17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-253000</f>
        <v>-253000</v>
      </c>
      <c r="E6" s="9">
        <f>-215000</f>
        <v>-215000</v>
      </c>
      <c r="F6" s="9">
        <f>-190000</f>
        <v>-190000</v>
      </c>
    </row>
    <row r="7" spans="1:17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-250000</f>
        <v>-250000</v>
      </c>
      <c r="E7" s="9">
        <f>-210000</f>
        <v>-210000</v>
      </c>
      <c r="F7" s="9">
        <f>-180000</f>
        <v>-180000</v>
      </c>
    </row>
    <row r="8" spans="1:17" ht="15.75" customHeight="1" x14ac:dyDescent="0.2">
      <c r="A8" s="3" t="s">
        <v>12</v>
      </c>
      <c r="B8" s="10">
        <f t="shared" ref="B8:F8" si="0">1-B7/B6</f>
        <v>4.0000000000000036E-2</v>
      </c>
      <c r="C8" s="10">
        <f t="shared" si="0"/>
        <v>4.0000000000000036E-2</v>
      </c>
      <c r="D8" s="10">
        <f t="shared" si="0"/>
        <v>1.1857707509881465E-2</v>
      </c>
      <c r="E8" s="10">
        <f t="shared" si="0"/>
        <v>2.3255813953488413E-2</v>
      </c>
      <c r="F8" s="10">
        <f t="shared" si="0"/>
        <v>5.2631578947368474E-2</v>
      </c>
      <c r="N8" s="10">
        <f>XIRR(O5:Q5,O4:Q4)</f>
        <v>9.4071022987365769</v>
      </c>
    </row>
    <row r="9" spans="1:17" ht="15.75" customHeight="1" x14ac:dyDescent="0.2">
      <c r="A9" s="3" t="s">
        <v>13</v>
      </c>
      <c r="B9" s="11">
        <v>0.03</v>
      </c>
      <c r="C9" s="11">
        <v>0.02</v>
      </c>
      <c r="D9" s="11">
        <v>1.7999999999999999E-2</v>
      </c>
      <c r="E9" s="11">
        <v>0.02</v>
      </c>
      <c r="F9" s="11">
        <v>1.4999999999999999E-2</v>
      </c>
    </row>
    <row r="10" spans="1:17" ht="15.75" customHeight="1" x14ac:dyDescent="0.2">
      <c r="A10" s="3" t="s">
        <v>14</v>
      </c>
      <c r="B10" s="12">
        <f>IF(B4="SAFE",B11*B15,B11*B13)</f>
        <v>24000</v>
      </c>
      <c r="C10" s="12">
        <f t="shared" ref="C10:F10" si="1">B11*(C17-C12)+(-C7)</f>
        <v>106000</v>
      </c>
      <c r="D10" s="12">
        <f t="shared" si="1"/>
        <v>379320</v>
      </c>
      <c r="E10" s="12">
        <f t="shared" si="1"/>
        <v>631466.66666666674</v>
      </c>
      <c r="F10" s="12">
        <f t="shared" si="1"/>
        <v>1127200</v>
      </c>
    </row>
    <row r="11" spans="1:17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F11" si="2">C10/C17</f>
        <v>1.4133333333333333E-2</v>
      </c>
      <c r="D11" s="13">
        <f t="shared" si="2"/>
        <v>3.8315151515151517E-2</v>
      </c>
      <c r="E11" s="13">
        <f t="shared" si="2"/>
        <v>5.262222222222223E-2</v>
      </c>
      <c r="F11" s="13">
        <f t="shared" si="2"/>
        <v>5.636E-2</v>
      </c>
    </row>
    <row r="12" spans="1:17" ht="15.75" customHeight="1" x14ac:dyDescent="0.2">
      <c r="A12" s="3" t="s">
        <v>16</v>
      </c>
      <c r="B12" s="14">
        <v>100000</v>
      </c>
      <c r="C12" s="14">
        <v>250000</v>
      </c>
      <c r="D12" s="14">
        <v>750000</v>
      </c>
      <c r="E12" s="14">
        <v>1000000</v>
      </c>
      <c r="F12" s="14">
        <v>2000000</v>
      </c>
      <c r="O12" s="59">
        <v>44348</v>
      </c>
      <c r="P12" s="59">
        <v>44531</v>
      </c>
      <c r="Q12" s="59">
        <v>44866</v>
      </c>
    </row>
    <row r="13" spans="1:17" ht="15.75" customHeight="1" x14ac:dyDescent="0.2">
      <c r="A13" s="3" t="s">
        <v>17</v>
      </c>
      <c r="B13" s="14"/>
      <c r="C13" s="14"/>
      <c r="D13" s="14"/>
      <c r="E13" s="14">
        <v>12000000</v>
      </c>
      <c r="F13" s="14">
        <v>20000000</v>
      </c>
      <c r="O13" s="9">
        <f>-98000</f>
        <v>-98000</v>
      </c>
      <c r="P13" s="9">
        <f>382500-52000</f>
        <v>330500</v>
      </c>
      <c r="Q13" s="9">
        <f>-11000</f>
        <v>-11000</v>
      </c>
    </row>
    <row r="14" spans="1:17" ht="15.75" customHeight="1" x14ac:dyDescent="0.2">
      <c r="A14" s="3" t="s">
        <v>18</v>
      </c>
      <c r="B14" s="14">
        <v>3000000</v>
      </c>
      <c r="C14" s="14">
        <v>7500000</v>
      </c>
      <c r="D14" s="14">
        <v>15000000</v>
      </c>
      <c r="E14" s="14"/>
      <c r="F14" s="14"/>
    </row>
    <row r="15" spans="1:17" ht="15.75" customHeight="1" x14ac:dyDescent="0.2">
      <c r="A15" s="15" t="s">
        <v>19</v>
      </c>
      <c r="B15" s="14">
        <f t="shared" ref="B15:C15" si="3">MIN(B14,(1-B5)*(C14-C12))</f>
        <v>3000000</v>
      </c>
      <c r="C15" s="14">
        <f t="shared" si="3"/>
        <v>7500000</v>
      </c>
      <c r="D15" s="14">
        <f>MIN(D14,(1-D5)*(E13-E12))</f>
        <v>9900000</v>
      </c>
      <c r="E15" s="14"/>
      <c r="F15" s="14"/>
    </row>
    <row r="16" spans="1:17" ht="15.75" customHeight="1" x14ac:dyDescent="0.2">
      <c r="B16" s="14"/>
      <c r="N16" s="10">
        <f>XIRR(O13:Q13,O12:Q12)</f>
        <v>10.216694355010988</v>
      </c>
    </row>
    <row r="17" spans="1:6" ht="15.75" customHeight="1" x14ac:dyDescent="0.2">
      <c r="A17" s="16" t="s">
        <v>20</v>
      </c>
      <c r="B17" s="14">
        <f t="shared" ref="B17:F17" si="4">IF(B4="SAFE",B15,B13)</f>
        <v>3000000</v>
      </c>
      <c r="C17" s="14">
        <f t="shared" si="4"/>
        <v>7500000</v>
      </c>
      <c r="D17" s="14">
        <f t="shared" si="4"/>
        <v>9900000</v>
      </c>
      <c r="E17" s="14">
        <f t="shared" si="4"/>
        <v>12000000</v>
      </c>
      <c r="F17" s="14">
        <f t="shared" si="4"/>
        <v>20000000</v>
      </c>
    </row>
    <row r="18" spans="1:6" ht="15.75" customHeight="1" x14ac:dyDescent="0.2"/>
    <row r="19" spans="1:6" ht="15.75" customHeight="1" x14ac:dyDescent="0.2"/>
    <row r="20" spans="1:6" ht="15.75" customHeight="1" x14ac:dyDescent="0.2">
      <c r="A20" s="6" t="s">
        <v>111</v>
      </c>
    </row>
    <row r="21" spans="1:6" ht="15.75" customHeight="1" x14ac:dyDescent="0.2">
      <c r="A21" s="6" t="s">
        <v>22</v>
      </c>
      <c r="B21" s="12">
        <f t="shared" ref="B21:F21" si="5">-B6</f>
        <v>25000</v>
      </c>
      <c r="C21" s="12">
        <f t="shared" si="5"/>
        <v>50000</v>
      </c>
      <c r="D21" s="12">
        <f t="shared" si="5"/>
        <v>253000</v>
      </c>
      <c r="E21" s="12">
        <f t="shared" si="5"/>
        <v>215000</v>
      </c>
      <c r="F21" s="12">
        <f t="shared" si="5"/>
        <v>190000</v>
      </c>
    </row>
    <row r="22" spans="1:6" ht="15.75" customHeight="1" x14ac:dyDescent="0.2">
      <c r="A22" s="6" t="s">
        <v>23</v>
      </c>
      <c r="B22" s="12">
        <f>B21</f>
        <v>25000</v>
      </c>
      <c r="C22" s="12">
        <f t="shared" ref="C22:F22" si="6">C21+B22</f>
        <v>75000</v>
      </c>
      <c r="D22" s="12">
        <f t="shared" si="6"/>
        <v>328000</v>
      </c>
      <c r="E22" s="12">
        <f t="shared" si="6"/>
        <v>543000</v>
      </c>
      <c r="F22" s="12">
        <f t="shared" si="6"/>
        <v>733000</v>
      </c>
    </row>
    <row r="23" spans="1:6" ht="15.75" customHeight="1" x14ac:dyDescent="0.2">
      <c r="A23" s="6" t="s">
        <v>24</v>
      </c>
      <c r="B23" s="12">
        <f t="shared" ref="B23:F23" si="7">B10</f>
        <v>24000</v>
      </c>
      <c r="C23" s="12">
        <f t="shared" si="7"/>
        <v>106000</v>
      </c>
      <c r="D23" s="12">
        <f t="shared" si="7"/>
        <v>379320</v>
      </c>
      <c r="E23" s="12">
        <f t="shared" si="7"/>
        <v>631466.66666666674</v>
      </c>
      <c r="F23" s="12">
        <f t="shared" si="7"/>
        <v>1127200</v>
      </c>
    </row>
    <row r="24" spans="1:6" ht="15.75" customHeight="1" x14ac:dyDescent="0.2">
      <c r="A24" s="17" t="s">
        <v>25</v>
      </c>
      <c r="B24" s="11">
        <f t="shared" ref="B24:F24" si="8">B9</f>
        <v>0.03</v>
      </c>
      <c r="C24" s="11">
        <f t="shared" si="8"/>
        <v>0.02</v>
      </c>
      <c r="D24" s="11">
        <f t="shared" si="8"/>
        <v>1.7999999999999999E-2</v>
      </c>
      <c r="E24" s="11">
        <f t="shared" si="8"/>
        <v>0.02</v>
      </c>
      <c r="F24" s="11">
        <f t="shared" si="8"/>
        <v>1.4999999999999999E-2</v>
      </c>
    </row>
    <row r="25" spans="1:6" ht="15.75" customHeight="1" x14ac:dyDescent="0.2">
      <c r="A25" s="17" t="s">
        <v>26</v>
      </c>
      <c r="B25" s="13">
        <f>B11</f>
        <v>8.0000000000000002E-3</v>
      </c>
      <c r="C25" s="13">
        <f t="shared" ref="C25:F25" si="9">B25*(C17-C12)/C17</f>
        <v>7.7333333333333334E-3</v>
      </c>
      <c r="D25" s="13">
        <f t="shared" si="9"/>
        <v>7.147474747474747E-3</v>
      </c>
      <c r="E25" s="13">
        <f t="shared" si="9"/>
        <v>6.5518518518518512E-3</v>
      </c>
      <c r="F25" s="13">
        <f t="shared" si="9"/>
        <v>5.8966666666666664E-3</v>
      </c>
    </row>
    <row r="26" spans="1:6" ht="15.75" customHeight="1" x14ac:dyDescent="0.2">
      <c r="A26" s="17" t="s">
        <v>27</v>
      </c>
      <c r="B26" s="13">
        <v>0</v>
      </c>
      <c r="C26" s="13">
        <f>C11-C25</f>
        <v>6.3999999999999994E-3</v>
      </c>
      <c r="D26" s="13">
        <f t="shared" ref="D26:F26" si="10">C26*(D17-D12)/D17</f>
        <v>5.9151515151515148E-3</v>
      </c>
      <c r="E26" s="13">
        <f t="shared" si="10"/>
        <v>5.4222222222222224E-3</v>
      </c>
      <c r="F26" s="13">
        <f t="shared" si="10"/>
        <v>4.8799999999999998E-3</v>
      </c>
    </row>
    <row r="27" spans="1:6" ht="15.75" customHeight="1" x14ac:dyDescent="0.2">
      <c r="A27" s="17" t="s">
        <v>28</v>
      </c>
      <c r="B27" s="11">
        <v>0</v>
      </c>
      <c r="C27" s="11">
        <v>0</v>
      </c>
      <c r="D27" s="11">
        <f>D11-SUM(D25:D26)</f>
        <v>2.5252525252525256E-2</v>
      </c>
      <c r="E27" s="11">
        <f t="shared" ref="E27:F27" si="11">D27*(E17-E12)/E17</f>
        <v>2.314814814814815E-2</v>
      </c>
      <c r="F27" s="11">
        <f t="shared" si="11"/>
        <v>2.0833333333333336E-2</v>
      </c>
    </row>
    <row r="28" spans="1:6" ht="15.75" customHeight="1" x14ac:dyDescent="0.2">
      <c r="A28" s="17" t="s">
        <v>29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</row>
    <row r="29" spans="1:6" ht="15.75" customHeight="1" x14ac:dyDescent="0.2">
      <c r="A29" s="17" t="s">
        <v>30</v>
      </c>
      <c r="B29" s="11">
        <v>0</v>
      </c>
      <c r="C29" s="11">
        <v>0</v>
      </c>
      <c r="D29" s="11">
        <v>0</v>
      </c>
      <c r="E29" s="11">
        <v>0</v>
      </c>
      <c r="F29" s="11">
        <f>F11-SUM(F25:F28)</f>
        <v>2.4750000000000001E-2</v>
      </c>
    </row>
    <row r="30" spans="1:6" ht="15.75" customHeight="1" x14ac:dyDescent="0.2">
      <c r="A30" s="18" t="s">
        <v>31</v>
      </c>
      <c r="B30" s="19">
        <f>MAX(0,(B23-B22)*B24)</f>
        <v>0</v>
      </c>
      <c r="C30" s="19">
        <f>$B$24*(C25*C17+$B$7)</f>
        <v>1020</v>
      </c>
      <c r="D30" s="19">
        <f>$B$24*(D25*D17+$B$7)+$C$24*(D26*D17+$C$7)</f>
        <v>1613.9999999999998</v>
      </c>
      <c r="E30" s="19">
        <f>$B$24*(E25*E17+$B$7)+$C$24*(E26*E17+$C$7)+$D$24*(E27*E17+$D$7)</f>
        <v>2480.0000000000005</v>
      </c>
      <c r="F30" s="19">
        <f>$B$24*(F25*F17+$B$7)+$C$24*(F26*F17+$C$7)+$D$24*(F27*F17+$D$7)+$E$24*(F28*F17+$E$7)</f>
        <v>2610</v>
      </c>
    </row>
    <row r="31" spans="1:6" ht="15.75" customHeight="1" x14ac:dyDescent="0.2">
      <c r="A31" s="6" t="s">
        <v>32</v>
      </c>
      <c r="B31" s="12">
        <f>B23-B21-B24</f>
        <v>-1000.03</v>
      </c>
      <c r="C31" s="12">
        <f t="shared" ref="C31:F31" si="12">C23-C22-C30</f>
        <v>29980</v>
      </c>
      <c r="D31" s="12">
        <f t="shared" si="12"/>
        <v>49706</v>
      </c>
      <c r="E31" s="12">
        <f t="shared" si="12"/>
        <v>85986.666666666744</v>
      </c>
      <c r="F31" s="12">
        <f t="shared" si="12"/>
        <v>391590</v>
      </c>
    </row>
    <row r="32" spans="1:6" ht="15.75" customHeight="1" x14ac:dyDescent="0.2">
      <c r="A32" s="6" t="s">
        <v>33</v>
      </c>
      <c r="B32" s="13">
        <f t="shared" ref="B32:F32" si="13">B31/B22</f>
        <v>-4.0001200000000001E-2</v>
      </c>
      <c r="C32" s="13">
        <f t="shared" si="13"/>
        <v>0.39973333333333333</v>
      </c>
      <c r="D32" s="13">
        <f t="shared" si="13"/>
        <v>0.15154268292682926</v>
      </c>
      <c r="E32" s="13">
        <f t="shared" si="13"/>
        <v>0.15835481890730524</v>
      </c>
      <c r="F32" s="13">
        <f t="shared" si="13"/>
        <v>0.53422919508867672</v>
      </c>
    </row>
    <row r="33" spans="1:6" ht="15.75" customHeight="1" x14ac:dyDescent="0.2">
      <c r="A33" s="20" t="s">
        <v>34</v>
      </c>
      <c r="B33" s="9">
        <f t="shared" ref="B33:E33" si="14">B6</f>
        <v>-25000</v>
      </c>
      <c r="C33" s="9">
        <f t="shared" si="14"/>
        <v>-50000</v>
      </c>
      <c r="D33" s="9">
        <f t="shared" si="14"/>
        <v>-253000</v>
      </c>
      <c r="E33" s="9">
        <f t="shared" si="14"/>
        <v>-215000</v>
      </c>
      <c r="F33" s="9">
        <f>F6+F10</f>
        <v>937200</v>
      </c>
    </row>
    <row r="34" spans="1:6" ht="15.75" customHeight="1" x14ac:dyDescent="0.2">
      <c r="A34" s="20" t="s">
        <v>35</v>
      </c>
      <c r="B34" s="9">
        <f t="shared" ref="B34:E34" si="15">B7</f>
        <v>-24000</v>
      </c>
      <c r="C34" s="9">
        <f t="shared" si="15"/>
        <v>-48000</v>
      </c>
      <c r="D34" s="9">
        <f t="shared" si="15"/>
        <v>-250000</v>
      </c>
      <c r="E34" s="9">
        <f t="shared" si="15"/>
        <v>-210000</v>
      </c>
      <c r="F34" s="21">
        <f>F7+F10</f>
        <v>947200</v>
      </c>
    </row>
    <row r="35" spans="1:6" ht="15.75" customHeight="1" x14ac:dyDescent="0.2"/>
    <row r="36" spans="1:6" ht="15.75" customHeight="1" x14ac:dyDescent="0.2">
      <c r="A36" s="6"/>
    </row>
    <row r="37" spans="1:6" ht="15.75" customHeight="1" x14ac:dyDescent="0.2">
      <c r="A37" s="6"/>
    </row>
    <row r="38" spans="1:6" ht="15.75" customHeight="1" x14ac:dyDescent="0.2"/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4" width="14.83203125" customWidth="1"/>
    <col min="5" max="26" width="10.5" customWidth="1"/>
  </cols>
  <sheetData>
    <row r="1" spans="1:4" ht="15.75" customHeight="1" x14ac:dyDescent="0.2">
      <c r="A1" s="1"/>
      <c r="B1" s="2">
        <v>42370</v>
      </c>
      <c r="C1" s="2">
        <v>42740</v>
      </c>
      <c r="D1" s="2">
        <v>44196</v>
      </c>
    </row>
    <row r="2" spans="1:4" ht="15.75" customHeight="1" x14ac:dyDescent="0.2">
      <c r="A2" s="3" t="s">
        <v>0</v>
      </c>
      <c r="B2" s="4" t="str">
        <f t="shared" ref="B2:D2" si="0">$A$20</f>
        <v>Acme</v>
      </c>
      <c r="C2" s="4" t="str">
        <f t="shared" si="0"/>
        <v>Acme</v>
      </c>
      <c r="D2" s="4" t="str">
        <f t="shared" si="0"/>
        <v>Acme</v>
      </c>
    </row>
    <row r="3" spans="1:4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</row>
    <row r="4" spans="1:4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</row>
    <row r="5" spans="1:4" ht="15.75" customHeight="1" x14ac:dyDescent="0.2">
      <c r="A5" s="3" t="s">
        <v>9</v>
      </c>
      <c r="B5" s="8"/>
      <c r="C5" s="7"/>
      <c r="D5" s="7"/>
    </row>
    <row r="6" spans="1:4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-190000</f>
        <v>-190000</v>
      </c>
    </row>
    <row r="7" spans="1:4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-180000</f>
        <v>-180000</v>
      </c>
    </row>
    <row r="8" spans="1:4" ht="15.75" customHeight="1" x14ac:dyDescent="0.2">
      <c r="A8" s="3" t="s">
        <v>12</v>
      </c>
      <c r="B8" s="10">
        <f t="shared" ref="B8:D8" si="1">1-B7/B6</f>
        <v>4.0000000000000036E-2</v>
      </c>
      <c r="C8" s="10">
        <f t="shared" si="1"/>
        <v>4.0000000000000036E-2</v>
      </c>
      <c r="D8" s="10">
        <f t="shared" si="1"/>
        <v>5.2631578947368474E-2</v>
      </c>
    </row>
    <row r="9" spans="1:4" ht="15.75" customHeight="1" x14ac:dyDescent="0.2">
      <c r="A9" s="3" t="s">
        <v>13</v>
      </c>
      <c r="B9" s="11">
        <v>0.03</v>
      </c>
      <c r="C9" s="11">
        <v>0.04</v>
      </c>
      <c r="D9" s="11">
        <v>0.05</v>
      </c>
    </row>
    <row r="10" spans="1:4" ht="15.75" customHeight="1" x14ac:dyDescent="0.2">
      <c r="A10" s="3" t="s">
        <v>14</v>
      </c>
      <c r="B10" s="12">
        <f>IF(B4="SAFE",B11*B15,B11*B13)</f>
        <v>24000</v>
      </c>
      <c r="C10" s="12">
        <f t="shared" ref="C10:D10" si="2">B11*(C17-C12)+(-C7)</f>
        <v>86000</v>
      </c>
      <c r="D10" s="12">
        <f t="shared" si="2"/>
        <v>489600</v>
      </c>
    </row>
    <row r="11" spans="1:4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D11" si="3">C10/C17</f>
        <v>1.72E-2</v>
      </c>
      <c r="D11" s="13">
        <f t="shared" si="3"/>
        <v>2.4479999999999998E-2</v>
      </c>
    </row>
    <row r="12" spans="1:4" ht="15.75" customHeight="1" x14ac:dyDescent="0.2">
      <c r="A12" s="3" t="s">
        <v>16</v>
      </c>
      <c r="B12" s="14">
        <v>100000</v>
      </c>
      <c r="C12" s="14">
        <v>250000</v>
      </c>
      <c r="D12" s="14">
        <v>2000000</v>
      </c>
    </row>
    <row r="13" spans="1:4" ht="15.75" customHeight="1" x14ac:dyDescent="0.2">
      <c r="A13" s="3" t="s">
        <v>17</v>
      </c>
      <c r="B13" s="14">
        <v>3000000</v>
      </c>
      <c r="C13" s="14">
        <v>5000000</v>
      </c>
      <c r="D13" s="14">
        <v>20000000</v>
      </c>
    </row>
    <row r="14" spans="1:4" ht="15.75" customHeight="1" x14ac:dyDescent="0.2">
      <c r="A14" s="3" t="s">
        <v>18</v>
      </c>
      <c r="B14" s="14"/>
      <c r="C14" s="14"/>
      <c r="D14" s="14"/>
    </row>
    <row r="15" spans="1:4" ht="15.75" customHeight="1" x14ac:dyDescent="0.2">
      <c r="A15" s="15" t="s">
        <v>19</v>
      </c>
      <c r="B15" s="14"/>
      <c r="C15" s="14"/>
      <c r="D15" s="14"/>
    </row>
    <row r="16" spans="1:4" ht="15.75" customHeight="1" x14ac:dyDescent="0.2">
      <c r="B16" s="14"/>
    </row>
    <row r="17" spans="1:4" ht="15.75" customHeight="1" x14ac:dyDescent="0.2">
      <c r="A17" s="16" t="s">
        <v>20</v>
      </c>
      <c r="B17" s="14">
        <f t="shared" ref="B17:D17" si="4">IF(B4="SAFE",B15,B13)</f>
        <v>3000000</v>
      </c>
      <c r="C17" s="14">
        <f t="shared" si="4"/>
        <v>5000000</v>
      </c>
      <c r="D17" s="14">
        <f t="shared" si="4"/>
        <v>20000000</v>
      </c>
    </row>
    <row r="18" spans="1:4" ht="15.75" customHeight="1" x14ac:dyDescent="0.2"/>
    <row r="19" spans="1:4" ht="15.75" customHeight="1" x14ac:dyDescent="0.2"/>
    <row r="20" spans="1:4" ht="15.75" customHeight="1" x14ac:dyDescent="0.2">
      <c r="A20" s="6" t="s">
        <v>47</v>
      </c>
    </row>
    <row r="21" spans="1:4" ht="15.75" customHeight="1" x14ac:dyDescent="0.2">
      <c r="A21" s="6" t="s">
        <v>22</v>
      </c>
      <c r="B21" s="12">
        <f t="shared" ref="B21:D21" si="5">-B6</f>
        <v>25000</v>
      </c>
      <c r="C21" s="12">
        <f t="shared" si="5"/>
        <v>50000</v>
      </c>
      <c r="D21" s="12">
        <f t="shared" si="5"/>
        <v>190000</v>
      </c>
    </row>
    <row r="22" spans="1:4" ht="15.75" customHeight="1" x14ac:dyDescent="0.2">
      <c r="A22" s="6" t="s">
        <v>23</v>
      </c>
      <c r="B22" s="12">
        <f>B21</f>
        <v>25000</v>
      </c>
      <c r="C22" s="12">
        <f t="shared" ref="C22:D22" si="6">C21+B22</f>
        <v>75000</v>
      </c>
      <c r="D22" s="12">
        <f t="shared" si="6"/>
        <v>265000</v>
      </c>
    </row>
    <row r="23" spans="1:4" ht="15.75" customHeight="1" x14ac:dyDescent="0.2">
      <c r="A23" s="6" t="s">
        <v>24</v>
      </c>
      <c r="B23" s="12">
        <f t="shared" ref="B23:D23" si="7">B10</f>
        <v>24000</v>
      </c>
      <c r="C23" s="12">
        <f t="shared" si="7"/>
        <v>86000</v>
      </c>
      <c r="D23" s="12">
        <f t="shared" si="7"/>
        <v>489600</v>
      </c>
    </row>
    <row r="24" spans="1:4" ht="15.75" customHeight="1" x14ac:dyDescent="0.2">
      <c r="A24" s="17" t="s">
        <v>25</v>
      </c>
      <c r="B24" s="11">
        <f t="shared" ref="B24:D24" si="8">B9</f>
        <v>0.03</v>
      </c>
      <c r="C24" s="11">
        <f t="shared" si="8"/>
        <v>0.04</v>
      </c>
      <c r="D24" s="11">
        <f t="shared" si="8"/>
        <v>0.05</v>
      </c>
    </row>
    <row r="25" spans="1:4" ht="15.75" customHeight="1" x14ac:dyDescent="0.2">
      <c r="A25" s="17" t="s">
        <v>26</v>
      </c>
      <c r="B25" s="13">
        <f>B11</f>
        <v>8.0000000000000002E-3</v>
      </c>
      <c r="C25" s="13">
        <f t="shared" ref="C25:D25" si="9">B25*(C17-C12)/C17</f>
        <v>7.6E-3</v>
      </c>
      <c r="D25" s="13">
        <f t="shared" si="9"/>
        <v>6.8399999999999997E-3</v>
      </c>
    </row>
    <row r="26" spans="1:4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>C26*(D17-D12)/D17</f>
        <v>8.6400000000000018E-3</v>
      </c>
    </row>
    <row r="27" spans="1:4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8.9999999999999976E-3</v>
      </c>
    </row>
    <row r="28" spans="1:4" ht="15.75" customHeight="1" x14ac:dyDescent="0.2">
      <c r="A28" s="17" t="s">
        <v>29</v>
      </c>
      <c r="B28" s="13">
        <v>0</v>
      </c>
      <c r="C28" s="13">
        <v>0</v>
      </c>
      <c r="D28" s="13">
        <v>0</v>
      </c>
    </row>
    <row r="29" spans="1:4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</row>
    <row r="30" spans="1:4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8376</v>
      </c>
    </row>
    <row r="31" spans="1:4" ht="15.75" customHeight="1" x14ac:dyDescent="0.2">
      <c r="A31" s="6" t="s">
        <v>32</v>
      </c>
      <c r="B31" s="12">
        <f>B23-B21-B30</f>
        <v>-1000</v>
      </c>
      <c r="C31" s="12">
        <f t="shared" ref="C31:D31" si="10">C23-C22-C30</f>
        <v>10580</v>
      </c>
      <c r="D31" s="12">
        <f t="shared" si="10"/>
        <v>216224</v>
      </c>
    </row>
    <row r="32" spans="1:4" ht="15.75" customHeight="1" x14ac:dyDescent="0.2">
      <c r="A32" s="6" t="s">
        <v>33</v>
      </c>
      <c r="B32" s="13">
        <f t="shared" ref="B32:D32" si="11">B31/B22</f>
        <v>-0.04</v>
      </c>
      <c r="C32" s="13">
        <f t="shared" si="11"/>
        <v>0.14106666666666667</v>
      </c>
      <c r="D32" s="13">
        <f t="shared" si="11"/>
        <v>0.81593962264150943</v>
      </c>
    </row>
    <row r="33" spans="1:4" ht="15.75" customHeight="1" x14ac:dyDescent="0.2">
      <c r="A33" s="20" t="s">
        <v>34</v>
      </c>
      <c r="B33" s="9">
        <f t="shared" ref="B33:C33" si="12">B6</f>
        <v>-25000</v>
      </c>
      <c r="C33" s="9">
        <f t="shared" si="12"/>
        <v>-50000</v>
      </c>
      <c r="D33" s="9">
        <f>D6+D10</f>
        <v>299600</v>
      </c>
    </row>
    <row r="34" spans="1:4" ht="15.75" customHeight="1" x14ac:dyDescent="0.2">
      <c r="A34" s="20" t="s">
        <v>35</v>
      </c>
      <c r="B34" s="9">
        <f t="shared" ref="B34:C34" si="13">B7</f>
        <v>-24000</v>
      </c>
      <c r="C34" s="9">
        <f t="shared" si="13"/>
        <v>-48000</v>
      </c>
      <c r="D34" s="21">
        <f>D7+D10</f>
        <v>309600</v>
      </c>
    </row>
    <row r="36" spans="1:4" ht="15.75" customHeight="1" x14ac:dyDescent="0.2">
      <c r="A36" s="6" t="s">
        <v>36</v>
      </c>
      <c r="B36" s="23">
        <f>XIRR(B33:D33,B1:D1)</f>
        <v>0.37346206307411189</v>
      </c>
    </row>
    <row r="37" spans="1:4" ht="15.75" customHeight="1" x14ac:dyDescent="0.2">
      <c r="A37" s="6" t="s">
        <v>37</v>
      </c>
      <c r="B37" s="23">
        <f>XIRR(B34:D34,B1:D1)</f>
        <v>0.39662098288536074</v>
      </c>
    </row>
    <row r="38" spans="1:4" ht="15.75" customHeight="1" x14ac:dyDescent="0.2"/>
    <row r="39" spans="1:4" ht="15.75" customHeight="1" x14ac:dyDescent="0.2"/>
    <row r="40" spans="1:4" ht="15.75" customHeight="1" x14ac:dyDescent="0.2">
      <c r="A40" s="6" t="s">
        <v>38</v>
      </c>
    </row>
    <row r="41" spans="1:4" ht="15.75" customHeight="1" x14ac:dyDescent="0.2">
      <c r="A41" s="6" t="s">
        <v>39</v>
      </c>
      <c r="B41" s="6">
        <f t="shared" ref="B41:D41" si="14">B45/B44</f>
        <v>8.0000000000000002E-3</v>
      </c>
      <c r="C41" s="6">
        <f t="shared" si="14"/>
        <v>1.72E-2</v>
      </c>
      <c r="D41" s="6">
        <f t="shared" si="14"/>
        <v>2.4479999999999998E-2</v>
      </c>
    </row>
    <row r="42" spans="1:4" ht="15.75" customHeight="1" x14ac:dyDescent="0.2">
      <c r="A42" s="6" t="s">
        <v>40</v>
      </c>
      <c r="B42" s="22">
        <f t="shared" ref="B42:B43" si="15">-B6</f>
        <v>25000</v>
      </c>
      <c r="C42" s="22">
        <f t="shared" ref="C42:D42" si="16">-C6+B42</f>
        <v>75000</v>
      </c>
      <c r="D42" s="22">
        <f t="shared" si="16"/>
        <v>265000</v>
      </c>
    </row>
    <row r="43" spans="1:4" ht="15.75" customHeight="1" x14ac:dyDescent="0.2">
      <c r="A43" s="6" t="s">
        <v>41</v>
      </c>
      <c r="B43" s="22">
        <f t="shared" si="15"/>
        <v>24000</v>
      </c>
      <c r="C43" s="22">
        <f t="shared" ref="C43:D43" si="17">-C7+B43</f>
        <v>72000</v>
      </c>
      <c r="D43" s="22">
        <f t="shared" si="17"/>
        <v>252000</v>
      </c>
    </row>
    <row r="44" spans="1:4" ht="15.75" customHeight="1" x14ac:dyDescent="0.2">
      <c r="A44" s="6" t="s">
        <v>42</v>
      </c>
      <c r="B44" s="22">
        <f t="shared" ref="B44:D44" si="18">B17</f>
        <v>3000000</v>
      </c>
      <c r="C44" s="22">
        <f t="shared" si="18"/>
        <v>5000000</v>
      </c>
      <c r="D44" s="22">
        <f t="shared" si="18"/>
        <v>20000000</v>
      </c>
    </row>
    <row r="45" spans="1:4" ht="15.75" customHeight="1" x14ac:dyDescent="0.2">
      <c r="A45" s="6" t="s">
        <v>43</v>
      </c>
      <c r="B45" s="22">
        <f t="shared" ref="B45:D45" si="19">B10</f>
        <v>24000</v>
      </c>
      <c r="C45" s="22">
        <f t="shared" si="19"/>
        <v>86000</v>
      </c>
      <c r="D45" s="22">
        <f t="shared" si="19"/>
        <v>489600</v>
      </c>
    </row>
    <row r="46" spans="1:4" ht="15.75" customHeight="1" x14ac:dyDescent="0.2">
      <c r="A46" s="6" t="s">
        <v>44</v>
      </c>
      <c r="B46" s="12">
        <f t="shared" ref="B46:D46" si="20">B30</f>
        <v>0</v>
      </c>
      <c r="C46" s="12">
        <f t="shared" si="20"/>
        <v>420</v>
      </c>
      <c r="D46" s="12">
        <f t="shared" si="20"/>
        <v>8376</v>
      </c>
    </row>
    <row r="47" spans="1:4" ht="15.75" customHeight="1" x14ac:dyDescent="0.2">
      <c r="A47" s="6" t="s">
        <v>45</v>
      </c>
      <c r="B47" s="22">
        <f t="shared" ref="B47:D47" si="21">B45-B42-B46</f>
        <v>-1000</v>
      </c>
      <c r="C47" s="22">
        <f t="shared" si="21"/>
        <v>10580</v>
      </c>
      <c r="D47" s="22">
        <f t="shared" si="21"/>
        <v>216224</v>
      </c>
    </row>
    <row r="48" spans="1:4" ht="15.75" customHeight="1" x14ac:dyDescent="0.2">
      <c r="A48" s="6" t="s">
        <v>46</v>
      </c>
      <c r="B48" s="6">
        <f t="shared" ref="B48:D48" si="22">B47/B42</f>
        <v>-0.04</v>
      </c>
      <c r="C48" s="6">
        <f t="shared" si="22"/>
        <v>0.14106666666666667</v>
      </c>
      <c r="D48" s="6">
        <f t="shared" si="22"/>
        <v>0.81593962264150943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14" zoomScale="142" workbookViewId="0">
      <selection activeCell="A16" sqref="A16"/>
    </sheetView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5" width="14.83203125" customWidth="1"/>
    <col min="6" max="26" width="10.5" customWidth="1"/>
  </cols>
  <sheetData>
    <row r="1" spans="1:5" ht="15.75" customHeight="1" x14ac:dyDescent="0.2">
      <c r="A1" s="1">
        <v>1</v>
      </c>
      <c r="B1" s="2">
        <v>42370</v>
      </c>
      <c r="C1" s="2">
        <v>42740</v>
      </c>
      <c r="D1" s="2">
        <v>44196</v>
      </c>
      <c r="E1" s="2">
        <v>44408</v>
      </c>
    </row>
    <row r="2" spans="1:5" ht="15.75" customHeight="1" x14ac:dyDescent="0.2">
      <c r="A2" s="3" t="s">
        <v>0</v>
      </c>
      <c r="B2" s="4" t="str">
        <f t="shared" ref="B2:E2" si="0">$A$20</f>
        <v>Acme</v>
      </c>
      <c r="C2" s="4" t="str">
        <f t="shared" si="0"/>
        <v>Acme</v>
      </c>
      <c r="D2" s="4" t="str">
        <f t="shared" si="0"/>
        <v>Acme</v>
      </c>
      <c r="E2" s="4" t="str">
        <f t="shared" si="0"/>
        <v>Acme</v>
      </c>
    </row>
    <row r="3" spans="1:5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E3" s="5" t="s">
        <v>3</v>
      </c>
    </row>
    <row r="4" spans="1:5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  <c r="E4" s="7" t="s">
        <v>7</v>
      </c>
    </row>
    <row r="5" spans="1:5" ht="15.75" customHeight="1" x14ac:dyDescent="0.2">
      <c r="A5" s="3" t="s">
        <v>9</v>
      </c>
      <c r="B5" s="8"/>
      <c r="C5" s="7"/>
      <c r="D5" s="7"/>
    </row>
    <row r="6" spans="1:5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-190000</f>
        <v>-190000</v>
      </c>
      <c r="E6" s="9">
        <f>-92000</f>
        <v>-92000</v>
      </c>
    </row>
    <row r="7" spans="1:5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-180000</f>
        <v>-180000</v>
      </c>
      <c r="E7" s="9">
        <f>-90000</f>
        <v>-90000</v>
      </c>
    </row>
    <row r="8" spans="1:5" ht="15.75" customHeight="1" x14ac:dyDescent="0.2">
      <c r="A8" s="3" t="s">
        <v>12</v>
      </c>
      <c r="B8" s="10">
        <f t="shared" ref="B8:E8" si="1">1-B7/B6</f>
        <v>4.0000000000000036E-2</v>
      </c>
      <c r="C8" s="10">
        <f t="shared" si="1"/>
        <v>4.0000000000000036E-2</v>
      </c>
      <c r="D8" s="10">
        <f t="shared" si="1"/>
        <v>5.2631578947368474E-2</v>
      </c>
      <c r="E8" s="10">
        <f t="shared" si="1"/>
        <v>2.1739130434782594E-2</v>
      </c>
    </row>
    <row r="9" spans="1:5" ht="15.75" customHeight="1" x14ac:dyDescent="0.2">
      <c r="A9" s="3" t="s">
        <v>13</v>
      </c>
      <c r="B9" s="11">
        <v>0.03</v>
      </c>
      <c r="C9" s="11">
        <v>0.04</v>
      </c>
      <c r="D9" s="11">
        <v>0.05</v>
      </c>
      <c r="E9" s="11">
        <v>0</v>
      </c>
    </row>
    <row r="10" spans="1:5" ht="15.75" customHeight="1" x14ac:dyDescent="0.2">
      <c r="A10" s="3" t="s">
        <v>14</v>
      </c>
      <c r="B10" s="12">
        <f>IF(B4="SAFE",B11*B15,B11*B13)</f>
        <v>24000</v>
      </c>
      <c r="C10" s="12">
        <f t="shared" ref="C10:E10" si="2">B11*(C17-C12)+(-C7)</f>
        <v>86000</v>
      </c>
      <c r="D10" s="12">
        <f t="shared" si="2"/>
        <v>489600</v>
      </c>
      <c r="E10" s="12">
        <f t="shared" si="2"/>
        <v>567360</v>
      </c>
    </row>
    <row r="11" spans="1:5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E11" si="3">C10/C17</f>
        <v>1.72E-2</v>
      </c>
      <c r="D11" s="13">
        <f t="shared" si="3"/>
        <v>2.4479999999999998E-2</v>
      </c>
      <c r="E11" s="13">
        <f t="shared" si="3"/>
        <v>2.8368000000000001E-2</v>
      </c>
    </row>
    <row r="12" spans="1:5" ht="15.75" customHeight="1" x14ac:dyDescent="0.2">
      <c r="A12" s="3" t="s">
        <v>16</v>
      </c>
      <c r="B12" s="14">
        <v>100000</v>
      </c>
      <c r="C12" s="14">
        <v>250000</v>
      </c>
      <c r="D12" s="14">
        <v>2000000</v>
      </c>
      <c r="E12" s="14">
        <v>500000</v>
      </c>
    </row>
    <row r="13" spans="1:5" ht="15.75" customHeight="1" x14ac:dyDescent="0.2">
      <c r="A13" s="3" t="s">
        <v>17</v>
      </c>
      <c r="B13" s="14">
        <v>3000000</v>
      </c>
      <c r="C13" s="14">
        <v>5000000</v>
      </c>
      <c r="D13" s="14">
        <v>20000000</v>
      </c>
      <c r="E13" s="14">
        <v>20000000</v>
      </c>
    </row>
    <row r="14" spans="1:5" ht="15.75" customHeight="1" x14ac:dyDescent="0.2">
      <c r="A14" s="3" t="s">
        <v>18</v>
      </c>
      <c r="B14" s="14"/>
      <c r="C14" s="14"/>
      <c r="D14" s="14"/>
    </row>
    <row r="15" spans="1:5" ht="15.75" customHeight="1" x14ac:dyDescent="0.2">
      <c r="A15" s="15" t="s">
        <v>19</v>
      </c>
      <c r="B15" s="14"/>
      <c r="C15" s="14"/>
      <c r="D15" s="14"/>
    </row>
    <row r="16" spans="1:5" ht="15.75" customHeight="1" x14ac:dyDescent="0.2">
      <c r="B16" s="14"/>
    </row>
    <row r="17" spans="1:5" ht="15.75" customHeight="1" x14ac:dyDescent="0.2">
      <c r="A17" s="16" t="s">
        <v>20</v>
      </c>
      <c r="B17" s="14">
        <f t="shared" ref="B17:E17" si="4">IF(B4="SAFE",B15,B13)</f>
        <v>3000000</v>
      </c>
      <c r="C17" s="14">
        <f t="shared" si="4"/>
        <v>5000000</v>
      </c>
      <c r="D17" s="14">
        <f t="shared" si="4"/>
        <v>20000000</v>
      </c>
      <c r="E17" s="14">
        <f t="shared" si="4"/>
        <v>20000000</v>
      </c>
    </row>
    <row r="18" spans="1:5" ht="15.75" customHeight="1" x14ac:dyDescent="0.2"/>
    <row r="19" spans="1:5" ht="15.75" customHeight="1" x14ac:dyDescent="0.2"/>
    <row r="20" spans="1:5" ht="15.75" customHeight="1" x14ac:dyDescent="0.2">
      <c r="A20" s="6" t="s">
        <v>47</v>
      </c>
    </row>
    <row r="21" spans="1:5" ht="15.75" customHeight="1" x14ac:dyDescent="0.2">
      <c r="A21" s="6" t="s">
        <v>22</v>
      </c>
      <c r="B21" s="12">
        <f t="shared" ref="B21:D21" si="5">-B6</f>
        <v>25000</v>
      </c>
      <c r="C21" s="12">
        <f t="shared" si="5"/>
        <v>50000</v>
      </c>
      <c r="D21" s="12">
        <f t="shared" si="5"/>
        <v>190000</v>
      </c>
      <c r="E21" s="12">
        <f t="shared" ref="E21" si="6">-E6</f>
        <v>92000</v>
      </c>
    </row>
    <row r="22" spans="1:5" ht="15.75" customHeight="1" x14ac:dyDescent="0.2">
      <c r="A22" s="6" t="s">
        <v>23</v>
      </c>
      <c r="B22" s="12">
        <f>B21</f>
        <v>25000</v>
      </c>
      <c r="C22" s="12">
        <f t="shared" ref="C22:E22" si="7">C21+B22</f>
        <v>75000</v>
      </c>
      <c r="D22" s="12">
        <f t="shared" si="7"/>
        <v>265000</v>
      </c>
      <c r="E22" s="12">
        <f t="shared" si="7"/>
        <v>357000</v>
      </c>
    </row>
    <row r="23" spans="1:5" ht="15.75" customHeight="1" x14ac:dyDescent="0.2">
      <c r="A23" s="6" t="s">
        <v>24</v>
      </c>
      <c r="B23" s="12">
        <f t="shared" ref="B23:D23" si="8">B10</f>
        <v>24000</v>
      </c>
      <c r="C23" s="12">
        <f t="shared" si="8"/>
        <v>86000</v>
      </c>
      <c r="D23" s="12">
        <f t="shared" si="8"/>
        <v>489600</v>
      </c>
      <c r="E23" s="12">
        <f t="shared" ref="E23" si="9">E10</f>
        <v>567360</v>
      </c>
    </row>
    <row r="24" spans="1:5" ht="15.75" customHeight="1" x14ac:dyDescent="0.2">
      <c r="A24" s="17" t="s">
        <v>25</v>
      </c>
      <c r="B24" s="11">
        <f t="shared" ref="B24:D24" si="10">B9</f>
        <v>0.03</v>
      </c>
      <c r="C24" s="11">
        <f t="shared" si="10"/>
        <v>0.04</v>
      </c>
      <c r="D24" s="11">
        <f t="shared" si="10"/>
        <v>0.05</v>
      </c>
      <c r="E24" s="11">
        <f t="shared" ref="E24" si="11">E9</f>
        <v>0</v>
      </c>
    </row>
    <row r="25" spans="1:5" ht="15.75" customHeight="1" x14ac:dyDescent="0.2">
      <c r="A25" s="17" t="s">
        <v>26</v>
      </c>
      <c r="B25" s="13">
        <f>B11</f>
        <v>8.0000000000000002E-3</v>
      </c>
      <c r="C25" s="13">
        <f t="shared" ref="C25:E25" si="12">B25*(C17-C12)/C17</f>
        <v>7.6E-3</v>
      </c>
      <c r="D25" s="13">
        <f t="shared" si="12"/>
        <v>6.8399999999999997E-3</v>
      </c>
      <c r="E25" s="13">
        <f t="shared" si="12"/>
        <v>6.6689999999999996E-3</v>
      </c>
    </row>
    <row r="26" spans="1:5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>C26*(D17-D12)/D17</f>
        <v>8.6400000000000018E-3</v>
      </c>
      <c r="E26" s="13">
        <f>D26*(E17-E12)/E17</f>
        <v>8.4240000000000009E-3</v>
      </c>
    </row>
    <row r="27" spans="1:5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8.9999999999999976E-3</v>
      </c>
      <c r="E27" s="13">
        <f>E11-SUM(E25:E26)</f>
        <v>1.3275E-2</v>
      </c>
    </row>
    <row r="28" spans="1:5" ht="15.75" customHeight="1" x14ac:dyDescent="0.2">
      <c r="A28" s="17" t="s">
        <v>29</v>
      </c>
      <c r="B28" s="13">
        <v>0</v>
      </c>
      <c r="C28" s="13">
        <v>0</v>
      </c>
      <c r="D28" s="13">
        <v>0</v>
      </c>
      <c r="E28" s="13">
        <v>1</v>
      </c>
    </row>
    <row r="29" spans="1:5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  <c r="E29" s="13">
        <f>E11-SUM(E25:E28)</f>
        <v>-1</v>
      </c>
    </row>
    <row r="30" spans="1:5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8376</v>
      </c>
      <c r="E30" s="19">
        <f>$B$24*(E25*E17+$B$7)+$C$24*(E26*E17+$C$7)</f>
        <v>8100.6000000000022</v>
      </c>
    </row>
    <row r="31" spans="1:5" ht="15.75" customHeight="1" x14ac:dyDescent="0.2">
      <c r="A31" s="6" t="s">
        <v>32</v>
      </c>
      <c r="B31" s="12">
        <f>B23-B21-B30</f>
        <v>-1000</v>
      </c>
      <c r="C31" s="12">
        <f t="shared" ref="C31:E31" si="13">C23-C22-C30</f>
        <v>10580</v>
      </c>
      <c r="D31" s="12">
        <f t="shared" si="13"/>
        <v>216224</v>
      </c>
      <c r="E31" s="12">
        <f t="shared" si="13"/>
        <v>202259.4</v>
      </c>
    </row>
    <row r="32" spans="1:5" ht="15.75" customHeight="1" x14ac:dyDescent="0.2">
      <c r="A32" s="6" t="s">
        <v>33</v>
      </c>
      <c r="B32" s="13">
        <f t="shared" ref="B32:E32" si="14">B31/B22</f>
        <v>-0.04</v>
      </c>
      <c r="C32" s="13">
        <f t="shared" si="14"/>
        <v>0.14106666666666667</v>
      </c>
      <c r="D32" s="13">
        <f t="shared" si="14"/>
        <v>0.81593962264150943</v>
      </c>
      <c r="E32" s="13">
        <f t="shared" si="14"/>
        <v>0.56655294117647059</v>
      </c>
    </row>
    <row r="33" spans="1:5" ht="15.75" customHeight="1" x14ac:dyDescent="0.2">
      <c r="A33" s="20" t="s">
        <v>34</v>
      </c>
      <c r="B33" s="9">
        <f t="shared" ref="B33:D33" si="15">B6</f>
        <v>-25000</v>
      </c>
      <c r="C33" s="9">
        <f t="shared" si="15"/>
        <v>-50000</v>
      </c>
      <c r="D33" s="9">
        <f t="shared" si="15"/>
        <v>-190000</v>
      </c>
      <c r="E33" s="9">
        <f>E6+E10</f>
        <v>475360</v>
      </c>
    </row>
    <row r="34" spans="1:5" ht="15.75" customHeight="1" x14ac:dyDescent="0.2">
      <c r="A34" s="20" t="s">
        <v>35</v>
      </c>
      <c r="B34" s="9">
        <f t="shared" ref="B34:D34" si="16">B7</f>
        <v>-24000</v>
      </c>
      <c r="C34" s="9">
        <f t="shared" si="16"/>
        <v>-48000</v>
      </c>
      <c r="D34" s="9">
        <f t="shared" si="16"/>
        <v>-180000</v>
      </c>
      <c r="E34" s="21">
        <f>E7+E10</f>
        <v>477360</v>
      </c>
    </row>
    <row r="36" spans="1:5" ht="15.75" customHeight="1" x14ac:dyDescent="0.2">
      <c r="A36" s="6" t="s">
        <v>36</v>
      </c>
      <c r="B36" s="23">
        <f>XIRR(B33:E33,B1:E1)</f>
        <v>0.28217673897743223</v>
      </c>
    </row>
    <row r="37" spans="1:5" ht="15.75" customHeight="1" x14ac:dyDescent="0.2">
      <c r="A37" s="6" t="s">
        <v>37</v>
      </c>
      <c r="B37" s="23">
        <f>XIRR(B34:E34,B1:E1)</f>
        <v>0.30422762036323547</v>
      </c>
    </row>
    <row r="38" spans="1:5" ht="15.75" customHeight="1" x14ac:dyDescent="0.2"/>
    <row r="39" spans="1:5" ht="15.75" customHeight="1" x14ac:dyDescent="0.2"/>
    <row r="40" spans="1:5" ht="15.75" customHeight="1" x14ac:dyDescent="0.2">
      <c r="A40" s="6" t="s">
        <v>38</v>
      </c>
    </row>
    <row r="41" spans="1:5" ht="15.75" customHeight="1" x14ac:dyDescent="0.2">
      <c r="A41" s="6" t="s">
        <v>39</v>
      </c>
      <c r="B41" s="6">
        <f t="shared" ref="B41:D41" si="17">B45/B44</f>
        <v>8.0000000000000002E-3</v>
      </c>
      <c r="C41" s="6">
        <f t="shared" si="17"/>
        <v>1.72E-2</v>
      </c>
      <c r="D41" s="6">
        <f t="shared" si="17"/>
        <v>2.4479999999999998E-2</v>
      </c>
    </row>
    <row r="42" spans="1:5" ht="15.75" customHeight="1" x14ac:dyDescent="0.2">
      <c r="A42" s="6" t="s">
        <v>40</v>
      </c>
      <c r="B42" s="22">
        <f t="shared" ref="B42:B43" si="18">-B6</f>
        <v>25000</v>
      </c>
      <c r="C42" s="22">
        <f t="shared" ref="C42:D42" si="19">-C6+B42</f>
        <v>75000</v>
      </c>
      <c r="D42" s="22">
        <f t="shared" si="19"/>
        <v>265000</v>
      </c>
    </row>
    <row r="43" spans="1:5" ht="15.75" customHeight="1" x14ac:dyDescent="0.2">
      <c r="A43" s="6" t="s">
        <v>41</v>
      </c>
      <c r="B43" s="22">
        <f t="shared" si="18"/>
        <v>24000</v>
      </c>
      <c r="C43" s="22">
        <f t="shared" ref="C43:D43" si="20">-C7+B43</f>
        <v>72000</v>
      </c>
      <c r="D43" s="22">
        <f t="shared" si="20"/>
        <v>252000</v>
      </c>
    </row>
    <row r="44" spans="1:5" ht="15.75" customHeight="1" x14ac:dyDescent="0.2">
      <c r="A44" s="6" t="s">
        <v>42</v>
      </c>
      <c r="B44" s="22">
        <f t="shared" ref="B44:D44" si="21">B17</f>
        <v>3000000</v>
      </c>
      <c r="C44" s="22">
        <f t="shared" si="21"/>
        <v>5000000</v>
      </c>
      <c r="D44" s="22">
        <f t="shared" si="21"/>
        <v>20000000</v>
      </c>
    </row>
    <row r="45" spans="1:5" ht="15.75" customHeight="1" x14ac:dyDescent="0.2">
      <c r="A45" s="6" t="s">
        <v>43</v>
      </c>
      <c r="B45" s="22">
        <f t="shared" ref="B45:D45" si="22">B10</f>
        <v>24000</v>
      </c>
      <c r="C45" s="22">
        <f t="shared" si="22"/>
        <v>86000</v>
      </c>
      <c r="D45" s="22">
        <f t="shared" si="22"/>
        <v>489600</v>
      </c>
    </row>
    <row r="46" spans="1:5" ht="15.75" customHeight="1" x14ac:dyDescent="0.2">
      <c r="A46" s="6" t="s">
        <v>44</v>
      </c>
      <c r="B46" s="12">
        <f t="shared" ref="B46:D46" si="23">B30</f>
        <v>0</v>
      </c>
      <c r="C46" s="12">
        <f t="shared" si="23"/>
        <v>420</v>
      </c>
      <c r="D46" s="12">
        <f t="shared" si="23"/>
        <v>8376</v>
      </c>
    </row>
    <row r="47" spans="1:5" ht="15.75" customHeight="1" x14ac:dyDescent="0.2">
      <c r="A47" s="6" t="s">
        <v>45</v>
      </c>
      <c r="B47" s="22">
        <f t="shared" ref="B47:D47" si="24">B45-B42-B46</f>
        <v>-1000</v>
      </c>
      <c r="C47" s="22">
        <f t="shared" si="24"/>
        <v>10580</v>
      </c>
      <c r="D47" s="22">
        <f t="shared" si="24"/>
        <v>216224</v>
      </c>
    </row>
    <row r="48" spans="1:5" ht="15.75" customHeight="1" x14ac:dyDescent="0.2">
      <c r="A48" s="6" t="s">
        <v>46</v>
      </c>
      <c r="B48" s="6">
        <f t="shared" ref="B48:D48" si="25">B47/B42</f>
        <v>-0.04</v>
      </c>
      <c r="C48" s="6">
        <f t="shared" si="25"/>
        <v>0.14106666666666667</v>
      </c>
      <c r="D48" s="6">
        <f t="shared" si="25"/>
        <v>0.81593962264150943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4" width="14.83203125" customWidth="1"/>
    <col min="5" max="8" width="10.5" customWidth="1"/>
    <col min="9" max="9" width="13" customWidth="1"/>
    <col min="10" max="10" width="10.5" customWidth="1"/>
    <col min="11" max="11" width="12.33203125" customWidth="1"/>
    <col min="12" max="14" width="10.5" customWidth="1"/>
    <col min="15" max="15" width="14.83203125" customWidth="1"/>
    <col min="16" max="26" width="10.5" customWidth="1"/>
  </cols>
  <sheetData>
    <row r="1" spans="1:4" ht="15.75" customHeight="1" x14ac:dyDescent="0.2">
      <c r="A1" s="1"/>
      <c r="B1" s="2">
        <v>42370</v>
      </c>
      <c r="C1" s="2">
        <v>42740</v>
      </c>
      <c r="D1" s="2">
        <v>44196</v>
      </c>
    </row>
    <row r="2" spans="1:4" ht="15.75" customHeight="1" x14ac:dyDescent="0.2">
      <c r="A2" s="3" t="s">
        <v>0</v>
      </c>
      <c r="B2" s="4" t="str">
        <f t="shared" ref="B2:D2" si="0">$A$20</f>
        <v>Acme</v>
      </c>
      <c r="C2" s="4" t="str">
        <f t="shared" si="0"/>
        <v>Acme</v>
      </c>
      <c r="D2" s="4" t="str">
        <f t="shared" si="0"/>
        <v>Acme</v>
      </c>
    </row>
    <row r="3" spans="1:4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</row>
    <row r="4" spans="1:4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</row>
    <row r="5" spans="1:4" ht="15.75" customHeight="1" x14ac:dyDescent="0.2">
      <c r="A5" s="3" t="s">
        <v>9</v>
      </c>
      <c r="B5" s="8"/>
      <c r="C5" s="7"/>
      <c r="D5" s="7"/>
    </row>
    <row r="6" spans="1:4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-190000</f>
        <v>-190000</v>
      </c>
    </row>
    <row r="7" spans="1:4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-180000</f>
        <v>-180000</v>
      </c>
    </row>
    <row r="8" spans="1:4" ht="15.75" customHeight="1" x14ac:dyDescent="0.2">
      <c r="A8" s="3" t="s">
        <v>12</v>
      </c>
      <c r="B8" s="10">
        <f t="shared" ref="B8:D8" si="1">1-B7/B6</f>
        <v>4.0000000000000036E-2</v>
      </c>
      <c r="C8" s="10">
        <f t="shared" si="1"/>
        <v>4.0000000000000036E-2</v>
      </c>
      <c r="D8" s="10">
        <f t="shared" si="1"/>
        <v>5.2631578947368474E-2</v>
      </c>
    </row>
    <row r="9" spans="1:4" ht="15.75" customHeight="1" x14ac:dyDescent="0.2">
      <c r="A9" s="3" t="s">
        <v>13</v>
      </c>
      <c r="B9" s="11">
        <v>0.03</v>
      </c>
      <c r="C9" s="11">
        <v>0.04</v>
      </c>
      <c r="D9" s="11">
        <v>0.05</v>
      </c>
    </row>
    <row r="10" spans="1:4" ht="15.75" customHeight="1" x14ac:dyDescent="0.2">
      <c r="A10" s="3" t="s">
        <v>14</v>
      </c>
      <c r="B10" s="12">
        <f>IF(B4="SAFE",B11*B15,B11*B13)</f>
        <v>24000</v>
      </c>
      <c r="C10" s="12">
        <f t="shared" ref="C10:D10" si="2">B11*(C17-C12)+(-C7)</f>
        <v>86000</v>
      </c>
      <c r="D10" s="12">
        <f t="shared" si="2"/>
        <v>489600</v>
      </c>
    </row>
    <row r="11" spans="1:4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D11" si="3">C10/C17</f>
        <v>1.72E-2</v>
      </c>
      <c r="D11" s="13">
        <f t="shared" si="3"/>
        <v>2.4479999999999998E-2</v>
      </c>
    </row>
    <row r="12" spans="1:4" ht="15.75" customHeight="1" x14ac:dyDescent="0.2">
      <c r="A12" s="3" t="s">
        <v>16</v>
      </c>
      <c r="B12" s="14">
        <v>100000</v>
      </c>
      <c r="C12" s="14">
        <v>250000</v>
      </c>
      <c r="D12" s="14">
        <v>2000000</v>
      </c>
    </row>
    <row r="13" spans="1:4" ht="15.75" customHeight="1" x14ac:dyDescent="0.2">
      <c r="A13" s="3" t="s">
        <v>17</v>
      </c>
      <c r="B13" s="14">
        <v>3000000</v>
      </c>
      <c r="C13" s="14">
        <v>5000000</v>
      </c>
      <c r="D13" s="14">
        <v>20000000</v>
      </c>
    </row>
    <row r="14" spans="1:4" ht="15.75" customHeight="1" x14ac:dyDescent="0.2">
      <c r="A14" s="3" t="s">
        <v>18</v>
      </c>
      <c r="B14" s="14"/>
      <c r="C14" s="14"/>
      <c r="D14" s="14"/>
    </row>
    <row r="15" spans="1:4" ht="15.75" customHeight="1" x14ac:dyDescent="0.2">
      <c r="A15" s="15" t="s">
        <v>19</v>
      </c>
      <c r="B15" s="14"/>
      <c r="C15" s="14"/>
      <c r="D15" s="14"/>
    </row>
    <row r="16" spans="1:4" ht="15.75" customHeight="1" x14ac:dyDescent="0.2">
      <c r="B16" s="14"/>
    </row>
    <row r="17" spans="1:4" ht="15.75" customHeight="1" x14ac:dyDescent="0.2">
      <c r="A17" s="16" t="s">
        <v>20</v>
      </c>
      <c r="B17" s="14">
        <f t="shared" ref="B17:D17" si="4">IF(B4="SAFE",B15,B13)</f>
        <v>3000000</v>
      </c>
      <c r="C17" s="14">
        <f t="shared" si="4"/>
        <v>5000000</v>
      </c>
      <c r="D17" s="14">
        <f t="shared" si="4"/>
        <v>20000000</v>
      </c>
    </row>
    <row r="18" spans="1:4" ht="15.75" customHeight="1" x14ac:dyDescent="0.2"/>
    <row r="19" spans="1:4" ht="15.75" customHeight="1" x14ac:dyDescent="0.2"/>
    <row r="20" spans="1:4" ht="15.75" customHeight="1" x14ac:dyDescent="0.2">
      <c r="A20" s="6" t="s">
        <v>47</v>
      </c>
    </row>
    <row r="21" spans="1:4" ht="15.75" customHeight="1" x14ac:dyDescent="0.2">
      <c r="A21" s="6" t="s">
        <v>22</v>
      </c>
      <c r="B21" s="12">
        <f t="shared" ref="B21:D21" si="5">-B6</f>
        <v>25000</v>
      </c>
      <c r="C21" s="12">
        <f t="shared" si="5"/>
        <v>50000</v>
      </c>
      <c r="D21" s="12">
        <f t="shared" si="5"/>
        <v>190000</v>
      </c>
    </row>
    <row r="22" spans="1:4" ht="15.75" customHeight="1" x14ac:dyDescent="0.2">
      <c r="A22" s="6" t="s">
        <v>23</v>
      </c>
      <c r="B22" s="12">
        <f>B21</f>
        <v>25000</v>
      </c>
      <c r="C22" s="12">
        <f t="shared" ref="C22:D22" si="6">C21+B22</f>
        <v>75000</v>
      </c>
      <c r="D22" s="12">
        <f t="shared" si="6"/>
        <v>265000</v>
      </c>
    </row>
    <row r="23" spans="1:4" ht="15.75" customHeight="1" x14ac:dyDescent="0.2">
      <c r="A23" s="6" t="s">
        <v>24</v>
      </c>
      <c r="B23" s="12">
        <f t="shared" ref="B23:D23" si="7">B10</f>
        <v>24000</v>
      </c>
      <c r="C23" s="12">
        <f t="shared" si="7"/>
        <v>86000</v>
      </c>
      <c r="D23" s="12">
        <f t="shared" si="7"/>
        <v>489600</v>
      </c>
    </row>
    <row r="24" spans="1:4" ht="15.75" customHeight="1" x14ac:dyDescent="0.2">
      <c r="A24" s="17" t="s">
        <v>25</v>
      </c>
      <c r="B24" s="11">
        <f t="shared" ref="B24:D24" si="8">B9</f>
        <v>0.03</v>
      </c>
      <c r="C24" s="11">
        <f t="shared" si="8"/>
        <v>0.04</v>
      </c>
      <c r="D24" s="11">
        <f t="shared" si="8"/>
        <v>0.05</v>
      </c>
    </row>
    <row r="25" spans="1:4" ht="15.75" customHeight="1" x14ac:dyDescent="0.2">
      <c r="A25" s="17" t="s">
        <v>26</v>
      </c>
      <c r="B25" s="13">
        <f>B11</f>
        <v>8.0000000000000002E-3</v>
      </c>
      <c r="C25" s="13">
        <f t="shared" ref="C25:D25" si="9">B25*(C17-C12)/C17</f>
        <v>7.6E-3</v>
      </c>
      <c r="D25" s="13">
        <f t="shared" si="9"/>
        <v>6.8399999999999997E-3</v>
      </c>
    </row>
    <row r="26" spans="1:4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>C26*(D17-D12)/D17</f>
        <v>8.6400000000000018E-3</v>
      </c>
    </row>
    <row r="27" spans="1:4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8.9999999999999976E-3</v>
      </c>
    </row>
    <row r="28" spans="1:4" ht="15.75" customHeight="1" x14ac:dyDescent="0.2">
      <c r="A28" s="17" t="s">
        <v>29</v>
      </c>
      <c r="B28" s="13">
        <v>0</v>
      </c>
      <c r="C28" s="13">
        <v>0</v>
      </c>
      <c r="D28" s="13">
        <v>0</v>
      </c>
    </row>
    <row r="29" spans="1:4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</row>
    <row r="30" spans="1:4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8376</v>
      </c>
    </row>
    <row r="31" spans="1:4" ht="15.75" customHeight="1" x14ac:dyDescent="0.2">
      <c r="A31" s="6" t="s">
        <v>32</v>
      </c>
      <c r="B31" s="12">
        <f>B23-B21-B30</f>
        <v>-1000</v>
      </c>
      <c r="C31" s="12">
        <f t="shared" ref="C31:D31" si="10">C23-C22-C30</f>
        <v>10580</v>
      </c>
      <c r="D31" s="12">
        <f t="shared" si="10"/>
        <v>216224</v>
      </c>
    </row>
    <row r="32" spans="1:4" ht="15.75" customHeight="1" x14ac:dyDescent="0.2">
      <c r="A32" s="6" t="s">
        <v>33</v>
      </c>
      <c r="B32" s="13">
        <f t="shared" ref="B32:D32" si="11">B31/B22</f>
        <v>-0.04</v>
      </c>
      <c r="C32" s="13">
        <f t="shared" si="11"/>
        <v>0.14106666666666667</v>
      </c>
      <c r="D32" s="13">
        <f t="shared" si="11"/>
        <v>0.81593962264150943</v>
      </c>
    </row>
    <row r="33" spans="1:4" ht="15.75" customHeight="1" x14ac:dyDescent="0.2">
      <c r="A33" s="20" t="s">
        <v>34</v>
      </c>
      <c r="B33" s="9">
        <f t="shared" ref="B33:C33" si="12">B6</f>
        <v>-25000</v>
      </c>
      <c r="C33" s="9">
        <f t="shared" si="12"/>
        <v>-50000</v>
      </c>
      <c r="D33" s="9">
        <f>D6+D10</f>
        <v>299600</v>
      </c>
    </row>
    <row r="34" spans="1:4" ht="15.75" customHeight="1" x14ac:dyDescent="0.2">
      <c r="A34" s="20" t="s">
        <v>35</v>
      </c>
      <c r="B34" s="9">
        <f t="shared" ref="B34:C34" si="13">B7</f>
        <v>-24000</v>
      </c>
      <c r="C34" s="9">
        <f t="shared" si="13"/>
        <v>-48000</v>
      </c>
      <c r="D34" s="21">
        <f>D7+D10</f>
        <v>309600</v>
      </c>
    </row>
    <row r="36" spans="1:4" ht="15.75" customHeight="1" x14ac:dyDescent="0.2">
      <c r="A36" s="6" t="s">
        <v>36</v>
      </c>
      <c r="B36" s="23">
        <f>XIRR(B33:D33,B1:D1)</f>
        <v>0.37346206307411189</v>
      </c>
    </row>
    <row r="37" spans="1:4" ht="15.75" customHeight="1" x14ac:dyDescent="0.2">
      <c r="A37" s="6" t="s">
        <v>37</v>
      </c>
      <c r="B37" s="23">
        <f>XIRR(B34:D34,B1:D1)</f>
        <v>0.39662098288536074</v>
      </c>
    </row>
    <row r="38" spans="1:4" ht="15.75" customHeight="1" x14ac:dyDescent="0.2"/>
    <row r="39" spans="1:4" ht="15.75" customHeight="1" x14ac:dyDescent="0.2"/>
    <row r="40" spans="1:4" ht="15.75" customHeight="1" x14ac:dyDescent="0.2">
      <c r="A40" s="6" t="s">
        <v>38</v>
      </c>
    </row>
    <row r="41" spans="1:4" ht="15.75" customHeight="1" x14ac:dyDescent="0.2">
      <c r="A41" s="6" t="s">
        <v>39</v>
      </c>
      <c r="B41" s="6">
        <f t="shared" ref="B41:D41" si="14">B45/B44</f>
        <v>8.0000000000000002E-3</v>
      </c>
      <c r="C41" s="6">
        <f t="shared" si="14"/>
        <v>1.72E-2</v>
      </c>
      <c r="D41" s="6">
        <f t="shared" si="14"/>
        <v>2.4479999999999998E-2</v>
      </c>
    </row>
    <row r="42" spans="1:4" ht="15.75" customHeight="1" x14ac:dyDescent="0.2">
      <c r="A42" s="6" t="s">
        <v>40</v>
      </c>
      <c r="B42" s="22">
        <f t="shared" ref="B42:B43" si="15">-B6</f>
        <v>25000</v>
      </c>
      <c r="C42" s="22">
        <f t="shared" ref="C42:D42" si="16">-C6+B42</f>
        <v>75000</v>
      </c>
      <c r="D42" s="22">
        <f t="shared" si="16"/>
        <v>265000</v>
      </c>
    </row>
    <row r="43" spans="1:4" ht="15.75" customHeight="1" x14ac:dyDescent="0.2">
      <c r="A43" s="6" t="s">
        <v>41</v>
      </c>
      <c r="B43" s="22">
        <f t="shared" si="15"/>
        <v>24000</v>
      </c>
      <c r="C43" s="22">
        <f t="shared" ref="C43:D43" si="17">-C7+B43</f>
        <v>72000</v>
      </c>
      <c r="D43" s="22">
        <f t="shared" si="17"/>
        <v>252000</v>
      </c>
    </row>
    <row r="44" spans="1:4" ht="15.75" customHeight="1" x14ac:dyDescent="0.2">
      <c r="A44" s="6" t="s">
        <v>42</v>
      </c>
      <c r="B44" s="22">
        <f t="shared" ref="B44:D44" si="18">B17</f>
        <v>3000000</v>
      </c>
      <c r="C44" s="22">
        <f t="shared" si="18"/>
        <v>5000000</v>
      </c>
      <c r="D44" s="22">
        <f t="shared" si="18"/>
        <v>20000000</v>
      </c>
    </row>
    <row r="45" spans="1:4" ht="15.75" customHeight="1" x14ac:dyDescent="0.2">
      <c r="A45" s="6" t="s">
        <v>43</v>
      </c>
      <c r="B45" s="22">
        <f t="shared" ref="B45:D45" si="19">B10</f>
        <v>24000</v>
      </c>
      <c r="C45" s="22">
        <f t="shared" si="19"/>
        <v>86000</v>
      </c>
      <c r="D45" s="22">
        <f t="shared" si="19"/>
        <v>489600</v>
      </c>
    </row>
    <row r="46" spans="1:4" ht="15.75" customHeight="1" x14ac:dyDescent="0.2">
      <c r="A46" s="6" t="s">
        <v>44</v>
      </c>
      <c r="B46" s="12">
        <f t="shared" ref="B46:D46" si="20">B30</f>
        <v>0</v>
      </c>
      <c r="C46" s="12">
        <f t="shared" si="20"/>
        <v>420</v>
      </c>
      <c r="D46" s="12">
        <f t="shared" si="20"/>
        <v>8376</v>
      </c>
    </row>
    <row r="47" spans="1:4" ht="15.75" customHeight="1" x14ac:dyDescent="0.2">
      <c r="A47" s="6" t="s">
        <v>45</v>
      </c>
      <c r="B47" s="22">
        <f t="shared" ref="B47:D47" si="21">B45-B42-B46</f>
        <v>-1000</v>
      </c>
      <c r="C47" s="22">
        <f t="shared" si="21"/>
        <v>10580</v>
      </c>
      <c r="D47" s="22">
        <f t="shared" si="21"/>
        <v>216224</v>
      </c>
    </row>
    <row r="48" spans="1:4" ht="15.75" customHeight="1" x14ac:dyDescent="0.2">
      <c r="A48" s="6" t="s">
        <v>46</v>
      </c>
      <c r="B48" s="6">
        <f t="shared" ref="B48:D48" si="22">B47/B42</f>
        <v>-0.04</v>
      </c>
      <c r="C48" s="6">
        <f t="shared" si="22"/>
        <v>0.14106666666666667</v>
      </c>
      <c r="D48" s="6">
        <f t="shared" si="22"/>
        <v>0.81593962264150943</v>
      </c>
    </row>
    <row r="49" spans="1:9" ht="15.75" customHeight="1" x14ac:dyDescent="0.2"/>
    <row r="50" spans="1:9" ht="15.75" customHeight="1" x14ac:dyDescent="0.2"/>
    <row r="51" spans="1:9" ht="15.75" customHeight="1" x14ac:dyDescent="0.2"/>
    <row r="52" spans="1:9" ht="15.75" customHeight="1" x14ac:dyDescent="0.2">
      <c r="A52" s="24" t="s">
        <v>48</v>
      </c>
      <c r="F52" s="6" t="s">
        <v>49</v>
      </c>
      <c r="H52" s="7" t="s">
        <v>50</v>
      </c>
      <c r="I52" s="7" t="s">
        <v>51</v>
      </c>
    </row>
    <row r="53" spans="1:9" ht="15.75" customHeight="1" x14ac:dyDescent="0.2">
      <c r="A53" s="24" t="s">
        <v>52</v>
      </c>
      <c r="B53" s="6" t="s">
        <v>53</v>
      </c>
      <c r="C53" s="6" t="s">
        <v>53</v>
      </c>
      <c r="D53" s="6" t="s">
        <v>53</v>
      </c>
    </row>
    <row r="54" spans="1:9" ht="15.75" customHeight="1" x14ac:dyDescent="0.2">
      <c r="A54" s="6" t="s">
        <v>53</v>
      </c>
      <c r="B54" s="13">
        <f t="shared" ref="B54:D54" si="23">B11</f>
        <v>8.0000000000000002E-3</v>
      </c>
      <c r="C54" s="13">
        <f t="shared" si="23"/>
        <v>1.72E-2</v>
      </c>
      <c r="D54" s="13">
        <f t="shared" si="23"/>
        <v>2.4479999999999998E-2</v>
      </c>
      <c r="F54" s="13">
        <f>D54/$D$11</f>
        <v>1</v>
      </c>
      <c r="H54" s="12">
        <f>D22</f>
        <v>265000</v>
      </c>
      <c r="I54" s="12">
        <f>D23-D30</f>
        <v>481224</v>
      </c>
    </row>
    <row r="55" spans="1:9" ht="15.75" customHeight="1" x14ac:dyDescent="0.2"/>
    <row r="56" spans="1:9" ht="15.75" customHeight="1" x14ac:dyDescent="0.2">
      <c r="A56" s="25" t="s">
        <v>54</v>
      </c>
      <c r="B56" s="6" t="s">
        <v>55</v>
      </c>
      <c r="C56" s="6" t="s">
        <v>55</v>
      </c>
      <c r="D56" s="6" t="s">
        <v>55</v>
      </c>
    </row>
    <row r="57" spans="1:9" ht="15.75" customHeight="1" x14ac:dyDescent="0.2">
      <c r="A57" s="6" t="s">
        <v>55</v>
      </c>
      <c r="B57" s="13">
        <f t="shared" ref="B57:D57" si="24">B11</f>
        <v>8.0000000000000002E-3</v>
      </c>
      <c r="C57" s="13">
        <f t="shared" si="24"/>
        <v>1.72E-2</v>
      </c>
      <c r="D57" s="13">
        <f t="shared" si="24"/>
        <v>2.4479999999999998E-2</v>
      </c>
      <c r="F57" s="13">
        <f>D57/$D$11</f>
        <v>1</v>
      </c>
      <c r="H57" s="12">
        <f>D22</f>
        <v>265000</v>
      </c>
      <c r="I57" s="12">
        <f>D23-D30</f>
        <v>481224</v>
      </c>
    </row>
    <row r="58" spans="1:9" ht="15.75" customHeight="1" x14ac:dyDescent="0.2"/>
    <row r="59" spans="1:9" ht="15.75" customHeight="1" x14ac:dyDescent="0.2">
      <c r="A59" s="26" t="s">
        <v>56</v>
      </c>
      <c r="B59" s="6" t="s">
        <v>57</v>
      </c>
      <c r="C59" s="6" t="s">
        <v>57</v>
      </c>
      <c r="D59" s="6" t="s">
        <v>57</v>
      </c>
    </row>
    <row r="60" spans="1:9" ht="15.75" customHeight="1" x14ac:dyDescent="0.2">
      <c r="A60" s="6" t="s">
        <v>57</v>
      </c>
      <c r="B60" s="13">
        <f t="shared" ref="B60:D60" si="25">B11</f>
        <v>8.0000000000000002E-3</v>
      </c>
      <c r="C60" s="13">
        <f t="shared" si="25"/>
        <v>1.72E-2</v>
      </c>
      <c r="D60" s="13">
        <f t="shared" si="25"/>
        <v>2.4479999999999998E-2</v>
      </c>
      <c r="F60" s="13">
        <f>D60/$D$11</f>
        <v>1</v>
      </c>
      <c r="H60" s="12">
        <f>D22</f>
        <v>265000</v>
      </c>
      <c r="I60" s="12">
        <f>D23-D30</f>
        <v>481224</v>
      </c>
    </row>
    <row r="61" spans="1:9" ht="15.75" customHeight="1" x14ac:dyDescent="0.2"/>
    <row r="62" spans="1:9" ht="15.75" customHeight="1" x14ac:dyDescent="0.2"/>
    <row r="63" spans="1:9" ht="15.75" customHeight="1" x14ac:dyDescent="0.2">
      <c r="A63" s="27" t="s">
        <v>58</v>
      </c>
      <c r="H63" s="7" t="s">
        <v>50</v>
      </c>
      <c r="I63" s="7" t="s">
        <v>51</v>
      </c>
    </row>
    <row r="64" spans="1:9" ht="15.75" customHeight="1" x14ac:dyDescent="0.2">
      <c r="A64" s="25" t="s">
        <v>59</v>
      </c>
      <c r="B64" s="6" t="s">
        <v>60</v>
      </c>
      <c r="C64" s="6" t="s">
        <v>55</v>
      </c>
      <c r="D64" s="6" t="s">
        <v>61</v>
      </c>
    </row>
    <row r="65" spans="1:15" ht="15.75" customHeight="1" x14ac:dyDescent="0.2">
      <c r="A65" s="6" t="s">
        <v>60</v>
      </c>
      <c r="B65" s="13">
        <f t="shared" ref="B65:D65" si="26">B25</f>
        <v>8.0000000000000002E-3</v>
      </c>
      <c r="C65" s="13">
        <f t="shared" si="26"/>
        <v>7.6E-3</v>
      </c>
      <c r="D65" s="13">
        <f t="shared" si="26"/>
        <v>6.8399999999999997E-3</v>
      </c>
      <c r="F65" s="13">
        <f t="shared" ref="F65:F67" si="27">D65/$D$11</f>
        <v>0.27941176470588236</v>
      </c>
      <c r="H65" s="12">
        <f>B21</f>
        <v>25000</v>
      </c>
      <c r="I65" s="14">
        <f>$D$23*F65-$B$24*(D25*D17+$B$7)</f>
        <v>133416</v>
      </c>
      <c r="K65" s="14"/>
    </row>
    <row r="66" spans="1:15" ht="15.75" customHeight="1" x14ac:dyDescent="0.2">
      <c r="A66" s="6" t="s">
        <v>55</v>
      </c>
      <c r="C66" s="13">
        <f t="shared" ref="C66:D66" si="28">C26</f>
        <v>9.6000000000000009E-3</v>
      </c>
      <c r="D66" s="13">
        <f t="shared" si="28"/>
        <v>8.6400000000000018E-3</v>
      </c>
      <c r="F66" s="13">
        <f t="shared" si="27"/>
        <v>0.35294117647058831</v>
      </c>
      <c r="H66" s="12">
        <f>C21</f>
        <v>50000</v>
      </c>
      <c r="I66" s="28">
        <f>$D$23*F66-$C$24*(D26*D17+$C$7)</f>
        <v>167808.00000000003</v>
      </c>
      <c r="K66" s="14"/>
    </row>
    <row r="67" spans="1:15" ht="15.75" customHeight="1" x14ac:dyDescent="0.2">
      <c r="A67" s="6" t="s">
        <v>61</v>
      </c>
      <c r="D67" s="13">
        <f>D27</f>
        <v>8.9999999999999976E-3</v>
      </c>
      <c r="F67" s="13">
        <f t="shared" si="27"/>
        <v>0.36764705882352933</v>
      </c>
      <c r="H67" s="12">
        <f>D21</f>
        <v>190000</v>
      </c>
      <c r="I67" s="14">
        <f>$D$23*F67</f>
        <v>179999.99999999997</v>
      </c>
      <c r="K67" s="11"/>
      <c r="M67" s="13"/>
      <c r="O67" s="14"/>
    </row>
    <row r="68" spans="1:15" ht="15.75" customHeight="1" x14ac:dyDescent="0.2">
      <c r="I68" s="12"/>
    </row>
    <row r="69" spans="1:15" ht="15.75" customHeight="1" x14ac:dyDescent="0.2">
      <c r="A69" s="25" t="s">
        <v>62</v>
      </c>
      <c r="B69" s="6" t="s">
        <v>55</v>
      </c>
      <c r="C69" s="6" t="s">
        <v>55</v>
      </c>
      <c r="D69" s="6" t="s">
        <v>61</v>
      </c>
    </row>
    <row r="70" spans="1:15" ht="15.75" customHeight="1" x14ac:dyDescent="0.2">
      <c r="A70" s="6" t="s">
        <v>55</v>
      </c>
      <c r="B70" s="13">
        <f>B11</f>
        <v>8.0000000000000002E-3</v>
      </c>
      <c r="C70" s="13">
        <f t="shared" ref="C70:D70" si="29">C25+C26</f>
        <v>1.72E-2</v>
      </c>
      <c r="D70" s="13">
        <f t="shared" si="29"/>
        <v>1.5480000000000001E-2</v>
      </c>
      <c r="F70" s="13">
        <f t="shared" ref="F70:F71" si="30">D70/$D$11</f>
        <v>0.63235294117647067</v>
      </c>
      <c r="H70" s="12">
        <f>SUM(H65:H66)</f>
        <v>75000</v>
      </c>
      <c r="I70" s="14">
        <f>F70*$D$23-D30</f>
        <v>301224.00000000006</v>
      </c>
    </row>
    <row r="71" spans="1:15" ht="15.75" customHeight="1" x14ac:dyDescent="0.2">
      <c r="A71" s="6" t="s">
        <v>61</v>
      </c>
      <c r="D71" s="13">
        <f>D27</f>
        <v>8.9999999999999976E-3</v>
      </c>
      <c r="F71" s="13">
        <f t="shared" si="30"/>
        <v>0.36764705882352933</v>
      </c>
      <c r="H71" s="12">
        <f>H67</f>
        <v>190000</v>
      </c>
      <c r="I71" s="14">
        <f>F71*$D$23</f>
        <v>179999.99999999997</v>
      </c>
    </row>
    <row r="72" spans="1:15" ht="15.75" customHeight="1" x14ac:dyDescent="0.2"/>
    <row r="73" spans="1:15" ht="15.75" customHeight="1" x14ac:dyDescent="0.2"/>
    <row r="74" spans="1:15" ht="15.75" customHeight="1" x14ac:dyDescent="0.2"/>
    <row r="75" spans="1:15" ht="15.75" customHeight="1" x14ac:dyDescent="0.2"/>
    <row r="76" spans="1:15" ht="15.75" customHeight="1" x14ac:dyDescent="0.2"/>
    <row r="77" spans="1:15" ht="15.75" customHeight="1" x14ac:dyDescent="0.2"/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4" width="14.83203125" customWidth="1"/>
    <col min="5" max="5" width="10.5" customWidth="1"/>
    <col min="6" max="6" width="14.1640625" customWidth="1"/>
    <col min="7" max="7" width="11.83203125" customWidth="1"/>
    <col min="8" max="8" width="12.6640625" customWidth="1"/>
    <col min="9" max="9" width="10.5" customWidth="1"/>
    <col min="10" max="10" width="14.1640625" customWidth="1"/>
    <col min="11" max="11" width="11.83203125" customWidth="1"/>
    <col min="12" max="12" width="12.6640625" customWidth="1"/>
    <col min="13" max="13" width="10.5" customWidth="1"/>
    <col min="14" max="14" width="11.1640625" customWidth="1"/>
    <col min="15" max="26" width="10.5" customWidth="1"/>
  </cols>
  <sheetData>
    <row r="1" spans="1:12" ht="15.75" customHeight="1" x14ac:dyDescent="0.2">
      <c r="A1" s="1"/>
      <c r="B1" s="2">
        <v>42370</v>
      </c>
      <c r="C1" s="2">
        <v>42740</v>
      </c>
      <c r="D1" s="2">
        <v>44196</v>
      </c>
      <c r="F1" s="2">
        <v>42370</v>
      </c>
      <c r="G1" s="2">
        <v>42740</v>
      </c>
      <c r="H1" s="2">
        <v>44196</v>
      </c>
      <c r="J1" s="2">
        <v>42370</v>
      </c>
      <c r="K1" s="2">
        <v>42740</v>
      </c>
      <c r="L1" s="2">
        <v>44196</v>
      </c>
    </row>
    <row r="2" spans="1:12" ht="15.75" customHeight="1" x14ac:dyDescent="0.2">
      <c r="A2" s="3" t="s">
        <v>0</v>
      </c>
      <c r="B2" s="29" t="s">
        <v>63</v>
      </c>
      <c r="C2" s="29" t="s">
        <v>63</v>
      </c>
      <c r="D2" s="29" t="s">
        <v>63</v>
      </c>
      <c r="F2" s="29" t="s">
        <v>64</v>
      </c>
      <c r="G2" s="29" t="s">
        <v>64</v>
      </c>
      <c r="H2" s="29" t="s">
        <v>64</v>
      </c>
      <c r="J2" s="29" t="s">
        <v>65</v>
      </c>
      <c r="K2" s="29" t="s">
        <v>65</v>
      </c>
      <c r="L2" s="29" t="s">
        <v>65</v>
      </c>
    </row>
    <row r="3" spans="1:12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F3" s="5" t="s">
        <v>2</v>
      </c>
      <c r="G3" s="5" t="s">
        <v>3</v>
      </c>
      <c r="H3" s="5" t="s">
        <v>3</v>
      </c>
      <c r="J3" s="5" t="s">
        <v>2</v>
      </c>
      <c r="K3" s="5" t="s">
        <v>3</v>
      </c>
      <c r="L3" s="5" t="s">
        <v>3</v>
      </c>
    </row>
    <row r="4" spans="1:12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  <c r="F4" s="7" t="s">
        <v>7</v>
      </c>
      <c r="G4" s="7" t="s">
        <v>7</v>
      </c>
      <c r="H4" s="7" t="s">
        <v>7</v>
      </c>
      <c r="J4" s="7" t="s">
        <v>7</v>
      </c>
      <c r="K4" s="7" t="s">
        <v>7</v>
      </c>
      <c r="L4" s="7" t="s">
        <v>7</v>
      </c>
    </row>
    <row r="5" spans="1:12" ht="15.75" customHeight="1" x14ac:dyDescent="0.2">
      <c r="A5" s="3" t="s">
        <v>9</v>
      </c>
      <c r="B5" s="8"/>
      <c r="C5" s="7"/>
      <c r="D5" s="7"/>
      <c r="F5" s="8"/>
      <c r="G5" s="7"/>
      <c r="H5" s="7"/>
      <c r="J5" s="8"/>
      <c r="K5" s="7"/>
      <c r="L5" s="7"/>
    </row>
    <row r="6" spans="1:12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-190000</f>
        <v>-190000</v>
      </c>
      <c r="F6" s="9">
        <f>-(25000)/F$36</f>
        <v>-27163.278776321436</v>
      </c>
      <c r="G6" s="9">
        <f>-50000/G$36</f>
        <v>-53112.15540745671</v>
      </c>
      <c r="H6" s="9">
        <f>-190000/H$36</f>
        <v>-231095.49996626444</v>
      </c>
      <c r="J6" s="9">
        <f>-(25000)/J$36</f>
        <v>-326.7050480046131</v>
      </c>
      <c r="K6" s="9">
        <f>-50000/K$36</f>
        <v>-835.09135552388841</v>
      </c>
      <c r="L6" s="9">
        <f>-190000/L$36</f>
        <v>-2565.9502858613605</v>
      </c>
    </row>
    <row r="7" spans="1:12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-180000</f>
        <v>-180000</v>
      </c>
      <c r="F7" s="9">
        <f>-(24000)/F$36</f>
        <v>-26076.747625268581</v>
      </c>
      <c r="G7" s="9">
        <f>-48000/G$36</f>
        <v>-50987.669191158442</v>
      </c>
      <c r="H7" s="9">
        <f>-180000/H$36</f>
        <v>-218932.57891540841</v>
      </c>
      <c r="J7" s="9">
        <f>-(24000)/J$36</f>
        <v>-313.63684608442856</v>
      </c>
      <c r="K7" s="9">
        <f>-48000/K$36</f>
        <v>-801.68770130293285</v>
      </c>
      <c r="L7" s="9">
        <f>-180000/L$36</f>
        <v>-2430.900270816026</v>
      </c>
    </row>
    <row r="8" spans="1:12" ht="15.75" customHeight="1" x14ac:dyDescent="0.2">
      <c r="A8" s="3" t="s">
        <v>12</v>
      </c>
      <c r="B8" s="10">
        <f t="shared" ref="B8:D8" si="0">1-B7/B6</f>
        <v>4.0000000000000036E-2</v>
      </c>
      <c r="C8" s="10">
        <f t="shared" si="0"/>
        <v>4.0000000000000036E-2</v>
      </c>
      <c r="D8" s="10">
        <f t="shared" si="0"/>
        <v>5.2631578947368474E-2</v>
      </c>
      <c r="F8" s="10">
        <f t="shared" ref="F8:H8" si="1">1-F7/F6</f>
        <v>3.9999999999999925E-2</v>
      </c>
      <c r="G8" s="10">
        <f t="shared" si="1"/>
        <v>4.0000000000000036E-2</v>
      </c>
      <c r="H8" s="10">
        <f t="shared" si="1"/>
        <v>5.2631578947368474E-2</v>
      </c>
      <c r="J8" s="10">
        <f t="shared" ref="J8:L8" si="2">1-J7/J6</f>
        <v>4.0000000000000036E-2</v>
      </c>
      <c r="K8" s="10">
        <f t="shared" si="2"/>
        <v>4.0000000000000036E-2</v>
      </c>
      <c r="L8" s="10">
        <f t="shared" si="2"/>
        <v>5.2631578947368363E-2</v>
      </c>
    </row>
    <row r="9" spans="1:12" ht="15.75" customHeight="1" x14ac:dyDescent="0.2">
      <c r="A9" s="3" t="s">
        <v>13</v>
      </c>
      <c r="B9" s="11">
        <v>0.03</v>
      </c>
      <c r="C9" s="11">
        <v>0.04</v>
      </c>
      <c r="D9" s="11">
        <v>0.05</v>
      </c>
      <c r="F9" s="11">
        <v>0.03</v>
      </c>
      <c r="G9" s="11">
        <v>0.04</v>
      </c>
      <c r="H9" s="11">
        <v>0.05</v>
      </c>
      <c r="J9" s="11">
        <v>0.03</v>
      </c>
      <c r="K9" s="11">
        <v>0.04</v>
      </c>
      <c r="L9" s="11">
        <v>0.05</v>
      </c>
    </row>
    <row r="10" spans="1:12" ht="15.75" customHeight="1" x14ac:dyDescent="0.2">
      <c r="A10" s="3" t="s">
        <v>14</v>
      </c>
      <c r="B10" s="12">
        <f>IF(B4="SAFE",B11*B15,B11*B13)</f>
        <v>24000</v>
      </c>
      <c r="C10" s="12">
        <f t="shared" ref="C10:D10" si="3">B11*(C17-C12)+(-C7)</f>
        <v>86000</v>
      </c>
      <c r="D10" s="12">
        <f t="shared" si="3"/>
        <v>489600</v>
      </c>
      <c r="F10" s="12">
        <f>IF(F4="SAFE",F11*F15,F11*F13)</f>
        <v>26076.747625268577</v>
      </c>
      <c r="G10" s="12">
        <f t="shared" ref="G10:H10" si="4">F11*(G17-G12)+(-G7)</f>
        <v>91352.907300825551</v>
      </c>
      <c r="H10" s="12">
        <f t="shared" si="4"/>
        <v>595496.61464991095</v>
      </c>
      <c r="J10" s="12">
        <f>IF(J4="SAFE",J11*J15,J11*J13)</f>
        <v>313.63684608442856</v>
      </c>
      <c r="K10" s="12">
        <f t="shared" ref="K10:L10" si="5">J11*(K17-K12)+(-K7)</f>
        <v>1436.3571315010881</v>
      </c>
      <c r="L10" s="9">
        <f t="shared" si="5"/>
        <v>6612.0487366195903</v>
      </c>
    </row>
    <row r="11" spans="1:12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D11" si="6">C10/C17</f>
        <v>1.72E-2</v>
      </c>
      <c r="D11" s="13">
        <f t="shared" si="6"/>
        <v>2.4479999999999998E-2</v>
      </c>
      <c r="F11" s="13">
        <f>IF(F4="SAFE",-F7/F15,-F7/F13)</f>
        <v>8.0000000000000002E-3</v>
      </c>
      <c r="G11" s="13">
        <f t="shared" ref="G11:H11" si="7">G10/G17</f>
        <v>1.7200000000000003E-2</v>
      </c>
      <c r="H11" s="13">
        <f t="shared" si="7"/>
        <v>2.4480000000000002E-2</v>
      </c>
      <c r="J11" s="13">
        <f>IF(J4="SAFE",-J7/J15,-J7/J13)</f>
        <v>8.0000000000000002E-3</v>
      </c>
      <c r="K11" s="13">
        <f t="shared" ref="K11:L11" si="8">K10/K17</f>
        <v>1.72E-2</v>
      </c>
      <c r="L11" s="13">
        <f t="shared" si="8"/>
        <v>2.4480000000000002E-2</v>
      </c>
    </row>
    <row r="12" spans="1:12" ht="15.75" customHeight="1" x14ac:dyDescent="0.2">
      <c r="A12" s="3" t="s">
        <v>16</v>
      </c>
      <c r="B12" s="14">
        <v>100000</v>
      </c>
      <c r="C12" s="14">
        <v>250000</v>
      </c>
      <c r="D12" s="14">
        <v>2000000</v>
      </c>
      <c r="F12" s="14">
        <f>100000/F$36</f>
        <v>108653.11510528575</v>
      </c>
      <c r="G12" s="14">
        <f>250000/G$36</f>
        <v>265560.77703728358</v>
      </c>
      <c r="H12" s="14">
        <f>2000000/H$36</f>
        <v>2432584.2101712045</v>
      </c>
      <c r="J12" s="14">
        <f>100000/J$36</f>
        <v>1306.8201920184524</v>
      </c>
      <c r="K12" s="14">
        <f>250000/K$36</f>
        <v>4175.4567776194417</v>
      </c>
      <c r="L12" s="14">
        <f>2000000/L$36</f>
        <v>27010.003009066953</v>
      </c>
    </row>
    <row r="13" spans="1:12" ht="15.75" customHeight="1" x14ac:dyDescent="0.2">
      <c r="A13" s="3" t="s">
        <v>17</v>
      </c>
      <c r="B13" s="14">
        <v>3000000</v>
      </c>
      <c r="C13" s="14">
        <v>5000000</v>
      </c>
      <c r="D13" s="14">
        <v>20000000</v>
      </c>
      <c r="F13" s="14">
        <f>3000000/F$36</f>
        <v>3259593.4531585723</v>
      </c>
      <c r="G13" s="14">
        <f>5000000/G$36</f>
        <v>5311215.5407456709</v>
      </c>
      <c r="H13" s="14">
        <f>20000000/H$36</f>
        <v>24325842.101712048</v>
      </c>
      <c r="I13" s="14"/>
      <c r="J13" s="14">
        <f>3000000/J$36</f>
        <v>39204.605760553568</v>
      </c>
      <c r="K13" s="14">
        <f>5000000/K$36</f>
        <v>83509.135552388849</v>
      </c>
      <c r="L13" s="14">
        <f>20000000/L$36</f>
        <v>270100.03009066952</v>
      </c>
    </row>
    <row r="14" spans="1:12" ht="15.75" customHeight="1" x14ac:dyDescent="0.2">
      <c r="A14" s="3" t="s">
        <v>18</v>
      </c>
      <c r="B14" s="14"/>
      <c r="C14" s="14"/>
      <c r="D14" s="14"/>
      <c r="F14" s="14"/>
      <c r="G14" s="14"/>
      <c r="H14" s="14"/>
      <c r="J14" s="14"/>
      <c r="K14" s="14"/>
      <c r="L14" s="14"/>
    </row>
    <row r="15" spans="1:12" ht="15.75" customHeight="1" x14ac:dyDescent="0.2">
      <c r="A15" s="15" t="s">
        <v>19</v>
      </c>
      <c r="B15" s="14"/>
      <c r="C15" s="14"/>
      <c r="D15" s="14"/>
      <c r="F15" s="14"/>
      <c r="G15" s="14"/>
      <c r="H15" s="14"/>
      <c r="J15" s="14"/>
      <c r="K15" s="14"/>
      <c r="L15" s="14"/>
    </row>
    <row r="16" spans="1:12" ht="15.75" customHeight="1" x14ac:dyDescent="0.2">
      <c r="B16" s="14"/>
      <c r="F16" s="14"/>
      <c r="J16" s="14"/>
    </row>
    <row r="17" spans="1:12" ht="15.75" customHeight="1" x14ac:dyDescent="0.2">
      <c r="A17" s="16" t="s">
        <v>20</v>
      </c>
      <c r="B17" s="14">
        <f t="shared" ref="B17:D17" si="9">IF(B4="SAFE",B15,B13)</f>
        <v>3000000</v>
      </c>
      <c r="C17" s="14">
        <f t="shared" si="9"/>
        <v>5000000</v>
      </c>
      <c r="D17" s="14">
        <f t="shared" si="9"/>
        <v>20000000</v>
      </c>
      <c r="F17" s="14">
        <f t="shared" ref="F17:H17" si="10">IF(F4="SAFE",F15,F13)</f>
        <v>3259593.4531585723</v>
      </c>
      <c r="G17" s="14">
        <f t="shared" si="10"/>
        <v>5311215.5407456709</v>
      </c>
      <c r="H17" s="14">
        <f t="shared" si="10"/>
        <v>24325842.101712048</v>
      </c>
      <c r="J17" s="14">
        <f t="shared" ref="J17:L17" si="11">IF(J4="SAFE",J15,J13)</f>
        <v>39204.605760553568</v>
      </c>
      <c r="K17" s="14">
        <f t="shared" si="11"/>
        <v>83509.135552388849</v>
      </c>
      <c r="L17" s="14">
        <f t="shared" si="11"/>
        <v>270100.03009066952</v>
      </c>
    </row>
    <row r="18" spans="1:12" ht="15.75" customHeight="1" x14ac:dyDescent="0.2"/>
    <row r="19" spans="1:12" ht="15.75" customHeight="1" x14ac:dyDescent="0.2"/>
    <row r="20" spans="1:12" ht="15.75" customHeight="1" x14ac:dyDescent="0.2">
      <c r="A20" s="6"/>
    </row>
    <row r="21" spans="1:12" ht="15.75" customHeight="1" x14ac:dyDescent="0.2">
      <c r="A21" s="6" t="s">
        <v>22</v>
      </c>
      <c r="B21" s="12">
        <f t="shared" ref="B21:D21" si="12">-B6</f>
        <v>25000</v>
      </c>
      <c r="C21" s="12">
        <f t="shared" si="12"/>
        <v>50000</v>
      </c>
      <c r="D21" s="12">
        <f t="shared" si="12"/>
        <v>190000</v>
      </c>
      <c r="F21" s="12">
        <f t="shared" ref="F21:H21" si="13">-F6</f>
        <v>27163.278776321436</v>
      </c>
      <c r="G21" s="12">
        <f t="shared" si="13"/>
        <v>53112.15540745671</v>
      </c>
      <c r="H21" s="12">
        <f t="shared" si="13"/>
        <v>231095.49996626444</v>
      </c>
      <c r="J21" s="12">
        <f t="shared" ref="J21:L21" si="14">-J6</f>
        <v>326.7050480046131</v>
      </c>
      <c r="K21" s="12">
        <f t="shared" si="14"/>
        <v>835.09135552388841</v>
      </c>
      <c r="L21" s="12">
        <f t="shared" si="14"/>
        <v>2565.9502858613605</v>
      </c>
    </row>
    <row r="22" spans="1:12" ht="15.75" customHeight="1" x14ac:dyDescent="0.2">
      <c r="A22" s="6" t="s">
        <v>23</v>
      </c>
      <c r="B22" s="12">
        <f>B21</f>
        <v>25000</v>
      </c>
      <c r="C22" s="12">
        <f t="shared" ref="C22:D22" si="15">C21+B22</f>
        <v>75000</v>
      </c>
      <c r="D22" s="12">
        <f t="shared" si="15"/>
        <v>265000</v>
      </c>
      <c r="F22" s="12">
        <f>F21</f>
        <v>27163.278776321436</v>
      </c>
      <c r="G22" s="12">
        <f t="shared" ref="G22:H22" si="16">G21+F22</f>
        <v>80275.434183778154</v>
      </c>
      <c r="H22" s="12">
        <f t="shared" si="16"/>
        <v>311370.93415004259</v>
      </c>
      <c r="J22" s="12">
        <f>J21</f>
        <v>326.7050480046131</v>
      </c>
      <c r="K22" s="12">
        <f t="shared" ref="K22:L22" si="17">K21+J22</f>
        <v>1161.7964035285015</v>
      </c>
      <c r="L22" s="12">
        <f t="shared" si="17"/>
        <v>3727.7466893898618</v>
      </c>
    </row>
    <row r="23" spans="1:12" ht="15.75" customHeight="1" x14ac:dyDescent="0.2">
      <c r="A23" s="6" t="s">
        <v>24</v>
      </c>
      <c r="B23" s="12">
        <f t="shared" ref="B23:D23" si="18">B10</f>
        <v>24000</v>
      </c>
      <c r="C23" s="12">
        <f t="shared" si="18"/>
        <v>86000</v>
      </c>
      <c r="D23" s="12">
        <f t="shared" si="18"/>
        <v>489600</v>
      </c>
      <c r="F23" s="12">
        <f t="shared" ref="F23:H23" si="19">F10</f>
        <v>26076.747625268577</v>
      </c>
      <c r="G23" s="12">
        <f t="shared" si="19"/>
        <v>91352.907300825551</v>
      </c>
      <c r="H23" s="12">
        <f t="shared" si="19"/>
        <v>595496.61464991095</v>
      </c>
      <c r="J23" s="12">
        <f t="shared" ref="J23:L23" si="20">J10</f>
        <v>313.63684608442856</v>
      </c>
      <c r="K23" s="12">
        <f t="shared" si="20"/>
        <v>1436.3571315010881</v>
      </c>
      <c r="L23" s="12">
        <f t="shared" si="20"/>
        <v>6612.0487366195903</v>
      </c>
    </row>
    <row r="24" spans="1:12" ht="15.75" customHeight="1" x14ac:dyDescent="0.2">
      <c r="A24" s="17" t="s">
        <v>25</v>
      </c>
      <c r="B24" s="11">
        <f t="shared" ref="B24:D24" si="21">B9</f>
        <v>0.03</v>
      </c>
      <c r="C24" s="11">
        <f t="shared" si="21"/>
        <v>0.04</v>
      </c>
      <c r="D24" s="11">
        <f t="shared" si="21"/>
        <v>0.05</v>
      </c>
      <c r="F24" s="11">
        <f t="shared" ref="F24:H24" si="22">F9</f>
        <v>0.03</v>
      </c>
      <c r="G24" s="11">
        <f t="shared" si="22"/>
        <v>0.04</v>
      </c>
      <c r="H24" s="11">
        <f t="shared" si="22"/>
        <v>0.05</v>
      </c>
      <c r="J24" s="11">
        <f t="shared" ref="J24:L24" si="23">J9</f>
        <v>0.03</v>
      </c>
      <c r="K24" s="11">
        <f t="shared" si="23"/>
        <v>0.04</v>
      </c>
      <c r="L24" s="11">
        <f t="shared" si="23"/>
        <v>0.05</v>
      </c>
    </row>
    <row r="25" spans="1:12" ht="15.75" customHeight="1" x14ac:dyDescent="0.2">
      <c r="A25" s="17" t="s">
        <v>26</v>
      </c>
      <c r="B25" s="13">
        <f>B11</f>
        <v>8.0000000000000002E-3</v>
      </c>
      <c r="C25" s="13">
        <f t="shared" ref="C25:D25" si="24">B25*(C17-C12)/C17</f>
        <v>7.6E-3</v>
      </c>
      <c r="D25" s="13">
        <f t="shared" si="24"/>
        <v>6.8399999999999997E-3</v>
      </c>
      <c r="F25" s="13">
        <f>F11</f>
        <v>8.0000000000000002E-3</v>
      </c>
      <c r="G25" s="13">
        <f t="shared" ref="G25:H25" si="25">F25*(G17-G12)/G17</f>
        <v>7.6000000000000009E-3</v>
      </c>
      <c r="H25" s="13">
        <f t="shared" si="25"/>
        <v>6.8400000000000015E-3</v>
      </c>
      <c r="J25" s="13">
        <f>J11</f>
        <v>8.0000000000000002E-3</v>
      </c>
      <c r="K25" s="13">
        <f t="shared" ref="K25:L25" si="26">J25*(K17-K12)/K17</f>
        <v>7.6E-3</v>
      </c>
      <c r="L25" s="13">
        <f t="shared" si="26"/>
        <v>6.8400000000000006E-3</v>
      </c>
    </row>
    <row r="26" spans="1:12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>C26*(D17-D12)/D17</f>
        <v>8.6400000000000018E-3</v>
      </c>
      <c r="F26" s="13">
        <v>0</v>
      </c>
      <c r="G26" s="13">
        <f>G11-G25</f>
        <v>9.6000000000000026E-3</v>
      </c>
      <c r="H26" s="13">
        <f>G26*(H17-H12)/H17</f>
        <v>8.6400000000000018E-3</v>
      </c>
      <c r="J26" s="13">
        <v>0</v>
      </c>
      <c r="K26" s="13">
        <f>K11-K25</f>
        <v>9.6000000000000009E-3</v>
      </c>
      <c r="L26" s="13">
        <f>K26*(L17-L12)/L17</f>
        <v>8.6400000000000001E-3</v>
      </c>
    </row>
    <row r="27" spans="1:12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8.9999999999999976E-3</v>
      </c>
      <c r="F27" s="13">
        <v>0</v>
      </c>
      <c r="G27" s="13">
        <v>0</v>
      </c>
      <c r="H27" s="13">
        <f>H11-SUM(H25:H26)</f>
        <v>8.9999999999999976E-3</v>
      </c>
      <c r="J27" s="13">
        <v>0</v>
      </c>
      <c r="K27" s="13">
        <v>0</v>
      </c>
      <c r="L27" s="13">
        <f>L11-SUM(L25:L26)</f>
        <v>9.0000000000000011E-3</v>
      </c>
    </row>
    <row r="28" spans="1:12" ht="15.75" customHeight="1" x14ac:dyDescent="0.2">
      <c r="A28" s="17" t="s">
        <v>29</v>
      </c>
      <c r="B28" s="13">
        <v>0</v>
      </c>
      <c r="C28" s="13">
        <v>0</v>
      </c>
      <c r="D28" s="13">
        <v>0</v>
      </c>
      <c r="F28" s="13">
        <v>0</v>
      </c>
      <c r="G28" s="13">
        <v>0</v>
      </c>
      <c r="H28" s="13">
        <v>0</v>
      </c>
      <c r="J28" s="13">
        <v>0</v>
      </c>
      <c r="K28" s="13">
        <v>0</v>
      </c>
      <c r="L28" s="13">
        <v>0</v>
      </c>
    </row>
    <row r="29" spans="1:12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  <c r="F29" s="13">
        <v>0</v>
      </c>
      <c r="G29" s="13">
        <v>0</v>
      </c>
      <c r="H29" s="13">
        <f>H11-SUM(H25:H28)</f>
        <v>0</v>
      </c>
      <c r="J29" s="13">
        <v>0</v>
      </c>
      <c r="K29" s="13">
        <v>0</v>
      </c>
      <c r="L29" s="13">
        <f>L11-SUM(L25:L28)</f>
        <v>0</v>
      </c>
    </row>
    <row r="30" spans="1:12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8376</v>
      </c>
      <c r="F30" s="19">
        <f>MAX(0,(F23-F22)*F24)</f>
        <v>0</v>
      </c>
      <c r="G30" s="19">
        <f>$F$24*(G25*G17+$F$7)</f>
        <v>428.65471453195562</v>
      </c>
      <c r="H30" s="19">
        <f>$F$24*(H25*H17+$F$7)+$G$24*(H26*H17+$G$7)</f>
        <v>10576.864633218604</v>
      </c>
      <c r="J30" s="19">
        <f>MAX(0,(J23-J22)*J24)</f>
        <v>0</v>
      </c>
      <c r="K30" s="19">
        <f>$J$24*(K25*K17+$J$7)</f>
        <v>9.6309775234118007</v>
      </c>
      <c r="L30" s="19">
        <f>$J$24*(L25*L17+$J$7)+$K$24*(L26*L17+$K$7)</f>
        <v>107.29448313929059</v>
      </c>
    </row>
    <row r="31" spans="1:12" ht="15.75" customHeight="1" x14ac:dyDescent="0.2">
      <c r="A31" s="6" t="s">
        <v>32</v>
      </c>
      <c r="B31" s="12">
        <f>B23-B21-B30</f>
        <v>-1000</v>
      </c>
      <c r="C31" s="12">
        <f t="shared" ref="C31:D31" si="27">C23-C22-C30</f>
        <v>10580</v>
      </c>
      <c r="D31" s="12">
        <f t="shared" si="27"/>
        <v>216224</v>
      </c>
      <c r="F31" s="12">
        <f>F23-F21-F30</f>
        <v>-1086.5311510528591</v>
      </c>
      <c r="G31" s="12">
        <f t="shared" ref="G31:H31" si="28">G23-G22-G30</f>
        <v>10648.818402515441</v>
      </c>
      <c r="H31" s="12">
        <f t="shared" si="28"/>
        <v>273548.81586664973</v>
      </c>
      <c r="J31" s="12">
        <f>J23-J21-J30</f>
        <v>-13.068201920184549</v>
      </c>
      <c r="K31" s="12">
        <f t="shared" ref="K31:L31" si="29">K23-K22-K30</f>
        <v>264.92975044917483</v>
      </c>
      <c r="L31" s="12">
        <f t="shared" si="29"/>
        <v>2777.0075640904379</v>
      </c>
    </row>
    <row r="32" spans="1:12" ht="15.75" customHeight="1" x14ac:dyDescent="0.2">
      <c r="A32" s="6" t="s">
        <v>33</v>
      </c>
      <c r="B32" s="13">
        <f t="shared" ref="B32:D32" si="30">B31/B22</f>
        <v>-0.04</v>
      </c>
      <c r="C32" s="13">
        <f t="shared" si="30"/>
        <v>0.14106666666666667</v>
      </c>
      <c r="D32" s="13">
        <f t="shared" si="30"/>
        <v>0.81593962264150943</v>
      </c>
      <c r="F32" s="13">
        <f t="shared" ref="F32:H32" si="31">F31/F22</f>
        <v>-4.0000000000000056E-2</v>
      </c>
      <c r="G32" s="13">
        <f t="shared" si="31"/>
        <v>0.13265351362829908</v>
      </c>
      <c r="H32" s="13">
        <f t="shared" si="31"/>
        <v>0.87853035034680782</v>
      </c>
      <c r="J32" s="13">
        <f t="shared" ref="J32:L32" si="32">J31/J22</f>
        <v>-4.0000000000000077E-2</v>
      </c>
      <c r="K32" s="13">
        <f t="shared" si="32"/>
        <v>0.22803457614824291</v>
      </c>
      <c r="L32" s="13">
        <f t="shared" si="32"/>
        <v>0.74495608083953901</v>
      </c>
    </row>
    <row r="33" spans="1:14" ht="15.75" customHeight="1" x14ac:dyDescent="0.2">
      <c r="A33" s="20" t="s">
        <v>34</v>
      </c>
      <c r="B33" s="9">
        <f t="shared" ref="B33:C33" si="33">B6</f>
        <v>-25000</v>
      </c>
      <c r="C33" s="9">
        <f t="shared" si="33"/>
        <v>-50000</v>
      </c>
      <c r="D33" s="9">
        <f>D6+D10</f>
        <v>299600</v>
      </c>
      <c r="F33" s="9">
        <f t="shared" ref="F33:G33" si="34">F6</f>
        <v>-27163.278776321436</v>
      </c>
      <c r="G33" s="9">
        <f t="shared" si="34"/>
        <v>-53112.15540745671</v>
      </c>
      <c r="H33" s="9">
        <f>H6+H10</f>
        <v>364401.11468364648</v>
      </c>
      <c r="I33" s="9"/>
      <c r="J33" s="9">
        <f t="shared" ref="J33:K33" si="35">J6</f>
        <v>-326.7050480046131</v>
      </c>
      <c r="K33" s="9">
        <f t="shared" si="35"/>
        <v>-835.09135552388841</v>
      </c>
      <c r="L33" s="9">
        <f>L6+L10</f>
        <v>4046.0984507582298</v>
      </c>
    </row>
    <row r="34" spans="1:14" ht="15.75" customHeight="1" x14ac:dyDescent="0.2">
      <c r="A34" s="20" t="s">
        <v>35</v>
      </c>
      <c r="B34" s="9">
        <f t="shared" ref="B34:C34" si="36">B7</f>
        <v>-24000</v>
      </c>
      <c r="C34" s="9">
        <f t="shared" si="36"/>
        <v>-48000</v>
      </c>
      <c r="D34" s="21">
        <f>D7+D10</f>
        <v>309600</v>
      </c>
      <c r="F34" s="9">
        <f t="shared" ref="F34:G34" si="37">F7</f>
        <v>-26076.747625268581</v>
      </c>
      <c r="G34" s="9">
        <f t="shared" si="37"/>
        <v>-50987.669191158442</v>
      </c>
      <c r="H34" s="9">
        <f>H7+H10</f>
        <v>376564.03573450254</v>
      </c>
      <c r="I34" s="9"/>
      <c r="J34" s="9">
        <f t="shared" ref="J34:K34" si="38">J7</f>
        <v>-313.63684608442856</v>
      </c>
      <c r="K34" s="9">
        <f t="shared" si="38"/>
        <v>-801.68770130293285</v>
      </c>
      <c r="L34" s="9">
        <f>L7+L10</f>
        <v>4181.1484658035642</v>
      </c>
    </row>
    <row r="36" spans="1:14" ht="15.75" customHeight="1" x14ac:dyDescent="0.2">
      <c r="A36" s="6" t="s">
        <v>66</v>
      </c>
      <c r="B36" s="6">
        <v>1</v>
      </c>
      <c r="C36" s="6">
        <v>1</v>
      </c>
      <c r="D36" s="6">
        <v>1</v>
      </c>
      <c r="F36" s="6">
        <v>0.92036017469999998</v>
      </c>
      <c r="G36" s="6">
        <v>0.94140408379999996</v>
      </c>
      <c r="H36" s="6">
        <v>0.82217092079999998</v>
      </c>
      <c r="J36" s="6">
        <v>76.521621421800006</v>
      </c>
      <c r="K36" s="6">
        <v>59.873688871600002</v>
      </c>
      <c r="L36" s="6">
        <v>74.046641139900004</v>
      </c>
    </row>
    <row r="37" spans="1:14" ht="15.75" customHeight="1" x14ac:dyDescent="0.2"/>
    <row r="38" spans="1:14" ht="15.75" customHeight="1" x14ac:dyDescent="0.2">
      <c r="A38" s="6" t="s">
        <v>36</v>
      </c>
      <c r="B38" s="23">
        <f>XIRR(B33:L33,B1:L1)</f>
        <v>0.39418647885322566</v>
      </c>
      <c r="F38" s="23"/>
      <c r="J38" s="23"/>
    </row>
    <row r="39" spans="1:14" ht="15.75" customHeight="1" x14ac:dyDescent="0.2">
      <c r="A39" s="6" t="s">
        <v>37</v>
      </c>
      <c r="B39" s="23">
        <f>XIRR(B34:L34,B1:L1)</f>
        <v>0.41766175627708435</v>
      </c>
    </row>
    <row r="42" spans="1:14" ht="15.75" customHeight="1" x14ac:dyDescent="0.2">
      <c r="A42" s="6" t="s">
        <v>38</v>
      </c>
    </row>
    <row r="43" spans="1:14" ht="15.75" customHeight="1" x14ac:dyDescent="0.2">
      <c r="A43" s="6" t="s">
        <v>39</v>
      </c>
      <c r="B43" s="6">
        <f t="shared" ref="B43:D43" si="39">B47/B46</f>
        <v>8.0000000000000002E-3</v>
      </c>
      <c r="C43" s="6">
        <f t="shared" si="39"/>
        <v>1.72E-2</v>
      </c>
      <c r="D43" s="6">
        <f t="shared" si="39"/>
        <v>2.4479999999999998E-2</v>
      </c>
      <c r="F43" s="6">
        <f t="shared" ref="F43:H43" si="40">F47/F46</f>
        <v>8.0000000000000002E-3</v>
      </c>
      <c r="G43" s="6">
        <f t="shared" si="40"/>
        <v>1.7200000000000003E-2</v>
      </c>
      <c r="H43" s="6">
        <f t="shared" si="40"/>
        <v>2.4480000000000002E-2</v>
      </c>
      <c r="J43" s="6">
        <f t="shared" ref="J43:L43" si="41">J47/J46</f>
        <v>8.0000000000000002E-3</v>
      </c>
      <c r="K43" s="6">
        <f t="shared" si="41"/>
        <v>1.72E-2</v>
      </c>
      <c r="L43" s="6">
        <f t="shared" si="41"/>
        <v>2.4480000000000002E-2</v>
      </c>
    </row>
    <row r="44" spans="1:14" ht="15.75" customHeight="1" x14ac:dyDescent="0.2">
      <c r="A44" s="6" t="s">
        <v>40</v>
      </c>
      <c r="B44" s="22">
        <f t="shared" ref="B44:B45" si="42">-B6</f>
        <v>25000</v>
      </c>
      <c r="C44" s="22">
        <f t="shared" ref="C44:D44" si="43">-C6+B44</f>
        <v>75000</v>
      </c>
      <c r="D44" s="22">
        <f t="shared" si="43"/>
        <v>265000</v>
      </c>
      <c r="F44" s="22">
        <f t="shared" ref="F44:F45" si="44">-F6</f>
        <v>27163.278776321436</v>
      </c>
      <c r="G44" s="22">
        <f t="shared" ref="G44:H44" si="45">-G6+F44</f>
        <v>80275.434183778154</v>
      </c>
      <c r="H44" s="22">
        <f t="shared" si="45"/>
        <v>311370.93415004259</v>
      </c>
      <c r="J44" s="22">
        <f t="shared" ref="J44:J45" si="46">-J6</f>
        <v>326.7050480046131</v>
      </c>
      <c r="K44" s="22">
        <f t="shared" ref="K44:L44" si="47">-K6+J44</f>
        <v>1161.7964035285015</v>
      </c>
      <c r="L44" s="22">
        <f t="shared" si="47"/>
        <v>3727.7466893898618</v>
      </c>
    </row>
    <row r="45" spans="1:14" ht="15.75" customHeight="1" x14ac:dyDescent="0.2">
      <c r="A45" s="6" t="s">
        <v>41</v>
      </c>
      <c r="B45" s="22">
        <f t="shared" si="42"/>
        <v>24000</v>
      </c>
      <c r="C45" s="22">
        <f t="shared" ref="C45:D45" si="48">-C7+B45</f>
        <v>72000</v>
      </c>
      <c r="D45" s="22">
        <f t="shared" si="48"/>
        <v>252000</v>
      </c>
      <c r="F45" s="22">
        <f t="shared" si="44"/>
        <v>26076.747625268581</v>
      </c>
      <c r="G45" s="22">
        <f t="shared" ref="G45:H45" si="49">-G7+F45</f>
        <v>77064.416816427023</v>
      </c>
      <c r="H45" s="22">
        <f t="shared" si="49"/>
        <v>295996.99573183543</v>
      </c>
      <c r="J45" s="22">
        <f t="shared" si="46"/>
        <v>313.63684608442856</v>
      </c>
      <c r="K45" s="22">
        <f t="shared" ref="K45:L45" si="50">-K7+J45</f>
        <v>1115.3245473873615</v>
      </c>
      <c r="L45" s="22">
        <f t="shared" si="50"/>
        <v>3546.2248182033873</v>
      </c>
      <c r="N45" s="22"/>
    </row>
    <row r="46" spans="1:14" ht="15.75" customHeight="1" x14ac:dyDescent="0.2">
      <c r="A46" s="6" t="s">
        <v>42</v>
      </c>
      <c r="B46" s="22">
        <f t="shared" ref="B46:D46" si="51">B17</f>
        <v>3000000</v>
      </c>
      <c r="C46" s="22">
        <f t="shared" si="51"/>
        <v>5000000</v>
      </c>
      <c r="D46" s="22">
        <f t="shared" si="51"/>
        <v>20000000</v>
      </c>
      <c r="F46" s="22">
        <f t="shared" ref="F46:H46" si="52">F17</f>
        <v>3259593.4531585723</v>
      </c>
      <c r="G46" s="22">
        <f t="shared" si="52"/>
        <v>5311215.5407456709</v>
      </c>
      <c r="H46" s="22">
        <f t="shared" si="52"/>
        <v>24325842.101712048</v>
      </c>
      <c r="J46" s="22">
        <f t="shared" ref="J46:L46" si="53">J17</f>
        <v>39204.605760553568</v>
      </c>
      <c r="K46" s="22">
        <f t="shared" si="53"/>
        <v>83509.135552388849</v>
      </c>
      <c r="L46" s="22">
        <f t="shared" si="53"/>
        <v>270100.03009066952</v>
      </c>
    </row>
    <row r="47" spans="1:14" ht="15.75" customHeight="1" x14ac:dyDescent="0.2">
      <c r="A47" s="6" t="s">
        <v>43</v>
      </c>
      <c r="B47" s="22">
        <f t="shared" ref="B47:D47" si="54">B10</f>
        <v>24000</v>
      </c>
      <c r="C47" s="22">
        <f t="shared" si="54"/>
        <v>86000</v>
      </c>
      <c r="D47" s="22">
        <f t="shared" si="54"/>
        <v>489600</v>
      </c>
      <c r="F47" s="22">
        <f t="shared" ref="F47:H47" si="55">F10</f>
        <v>26076.747625268577</v>
      </c>
      <c r="G47" s="22">
        <f t="shared" si="55"/>
        <v>91352.907300825551</v>
      </c>
      <c r="H47" s="22">
        <f t="shared" si="55"/>
        <v>595496.61464991095</v>
      </c>
      <c r="J47" s="22">
        <f t="shared" ref="J47:L47" si="56">J10</f>
        <v>313.63684608442856</v>
      </c>
      <c r="K47" s="22">
        <f t="shared" si="56"/>
        <v>1436.3571315010881</v>
      </c>
      <c r="L47" s="22">
        <f t="shared" si="56"/>
        <v>6612.0487366195903</v>
      </c>
      <c r="N47" s="22"/>
    </row>
    <row r="48" spans="1:14" ht="15.75" customHeight="1" x14ac:dyDescent="0.2">
      <c r="A48" s="6" t="s">
        <v>44</v>
      </c>
      <c r="B48" s="12">
        <f t="shared" ref="B48:D48" si="57">B30</f>
        <v>0</v>
      </c>
      <c r="C48" s="12">
        <f t="shared" si="57"/>
        <v>420</v>
      </c>
      <c r="D48" s="12">
        <f t="shared" si="57"/>
        <v>8376</v>
      </c>
      <c r="F48" s="12">
        <f t="shared" ref="F48:H48" si="58">F30</f>
        <v>0</v>
      </c>
      <c r="G48" s="12">
        <f t="shared" si="58"/>
        <v>428.65471453195562</v>
      </c>
      <c r="H48" s="12">
        <f t="shared" si="58"/>
        <v>10576.864633218604</v>
      </c>
      <c r="J48" s="12">
        <f t="shared" ref="J48:L48" si="59">J30</f>
        <v>0</v>
      </c>
      <c r="K48" s="12">
        <f t="shared" si="59"/>
        <v>9.6309775234118007</v>
      </c>
      <c r="L48" s="12">
        <f t="shared" si="59"/>
        <v>107.29448313929059</v>
      </c>
    </row>
    <row r="49" spans="1:14" ht="15.75" customHeight="1" x14ac:dyDescent="0.2">
      <c r="A49" s="6" t="s">
        <v>45</v>
      </c>
      <c r="B49" s="22">
        <f t="shared" ref="B49:D49" si="60">B47-B44-B48</f>
        <v>-1000</v>
      </c>
      <c r="C49" s="22">
        <f t="shared" si="60"/>
        <v>10580</v>
      </c>
      <c r="D49" s="22">
        <f t="shared" si="60"/>
        <v>216224</v>
      </c>
      <c r="F49" s="22">
        <f t="shared" ref="F49:H49" si="61">F47-F44-F48</f>
        <v>-1086.5311510528591</v>
      </c>
      <c r="G49" s="22">
        <f t="shared" si="61"/>
        <v>10648.818402515441</v>
      </c>
      <c r="H49" s="22">
        <f t="shared" si="61"/>
        <v>273548.81586664973</v>
      </c>
      <c r="J49" s="22">
        <f t="shared" ref="J49:L49" si="62">J47-J44-J48</f>
        <v>-13.068201920184549</v>
      </c>
      <c r="K49" s="22">
        <f t="shared" si="62"/>
        <v>264.92975044917483</v>
      </c>
      <c r="L49" s="22">
        <f t="shared" si="62"/>
        <v>2777.0075640904379</v>
      </c>
    </row>
    <row r="50" spans="1:14" ht="15.75" customHeight="1" x14ac:dyDescent="0.2">
      <c r="A50" s="6" t="s">
        <v>46</v>
      </c>
      <c r="B50" s="13">
        <f t="shared" ref="B50:D50" si="63">B49/B44</f>
        <v>-0.04</v>
      </c>
      <c r="C50" s="13">
        <f t="shared" si="63"/>
        <v>0.14106666666666667</v>
      </c>
      <c r="D50" s="13">
        <f t="shared" si="63"/>
        <v>0.81593962264150943</v>
      </c>
      <c r="F50" s="13">
        <f t="shared" ref="F50:H50" si="64">F49/F44</f>
        <v>-4.0000000000000056E-2</v>
      </c>
      <c r="G50" s="13">
        <f t="shared" si="64"/>
        <v>0.13265351362829908</v>
      </c>
      <c r="H50" s="13">
        <f t="shared" si="64"/>
        <v>0.87853035034680782</v>
      </c>
      <c r="J50" s="13">
        <f t="shared" ref="J50:L50" si="65">J49/J44</f>
        <v>-4.0000000000000077E-2</v>
      </c>
      <c r="K50" s="13">
        <f t="shared" si="65"/>
        <v>0.22803457614824291</v>
      </c>
      <c r="L50" s="13">
        <f t="shared" si="65"/>
        <v>0.74495608083953901</v>
      </c>
      <c r="N50" s="22"/>
    </row>
    <row r="51" spans="1:14" ht="15.75" customHeight="1" x14ac:dyDescent="0.2"/>
    <row r="52" spans="1:14" ht="15.75" customHeight="1" x14ac:dyDescent="0.2">
      <c r="N52" s="12"/>
    </row>
    <row r="53" spans="1:14" ht="15.75" customHeight="1" x14ac:dyDescent="0.2">
      <c r="N53" s="22"/>
    </row>
    <row r="54" spans="1:14" ht="15.75" customHeight="1" x14ac:dyDescent="0.2">
      <c r="N54" s="6"/>
    </row>
    <row r="55" spans="1:14" ht="15.75" customHeight="1" x14ac:dyDescent="0.2"/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 x14ac:dyDescent="0.2"/>
  <cols>
    <col min="1" max="1" width="39.6640625" customWidth="1"/>
    <col min="2" max="2" width="16.1640625" customWidth="1"/>
    <col min="3" max="3" width="14.1640625" customWidth="1"/>
    <col min="4" max="26" width="11.1640625" customWidth="1"/>
  </cols>
  <sheetData>
    <row r="1" spans="1:3" x14ac:dyDescent="0.2">
      <c r="A1" s="30" t="s">
        <v>67</v>
      </c>
      <c r="B1" s="2">
        <v>43890</v>
      </c>
      <c r="C1" s="31">
        <v>44732</v>
      </c>
    </row>
    <row r="2" spans="1:3" x14ac:dyDescent="0.2">
      <c r="A2" s="3" t="s">
        <v>0</v>
      </c>
      <c r="B2" s="4" t="str">
        <f t="shared" ref="B2:C2" si="0">$A$20</f>
        <v>Sigma</v>
      </c>
      <c r="C2" s="32" t="str">
        <f t="shared" si="0"/>
        <v>Sigma</v>
      </c>
    </row>
    <row r="3" spans="1:3" x14ac:dyDescent="0.2">
      <c r="A3" s="3" t="s">
        <v>1</v>
      </c>
      <c r="B3" s="5" t="s">
        <v>2</v>
      </c>
      <c r="C3" s="33" t="s">
        <v>3</v>
      </c>
    </row>
    <row r="4" spans="1:3" x14ac:dyDescent="0.2">
      <c r="A4" s="3" t="s">
        <v>5</v>
      </c>
      <c r="B4" s="7" t="s">
        <v>7</v>
      </c>
      <c r="C4" s="34" t="s">
        <v>7</v>
      </c>
    </row>
    <row r="5" spans="1:3" x14ac:dyDescent="0.2">
      <c r="A5" s="3" t="s">
        <v>9</v>
      </c>
      <c r="B5" s="8"/>
      <c r="C5" s="34"/>
    </row>
    <row r="6" spans="1:3" x14ac:dyDescent="0.2">
      <c r="A6" s="3" t="s">
        <v>10</v>
      </c>
      <c r="B6" s="9">
        <f>-(100000)</f>
        <v>-100000</v>
      </c>
      <c r="C6" s="35">
        <v>0</v>
      </c>
    </row>
    <row r="7" spans="1:3" x14ac:dyDescent="0.2">
      <c r="A7" s="3" t="s">
        <v>11</v>
      </c>
      <c r="B7" s="9">
        <f>-(99000)</f>
        <v>-99000</v>
      </c>
      <c r="C7" s="35">
        <v>0</v>
      </c>
    </row>
    <row r="8" spans="1:3" x14ac:dyDescent="0.2">
      <c r="A8" s="3" t="s">
        <v>12</v>
      </c>
      <c r="B8" s="10">
        <f t="shared" ref="B8:C8" si="1">1-B7/B6</f>
        <v>1.0000000000000009E-2</v>
      </c>
      <c r="C8" s="36" t="e">
        <f t="shared" si="1"/>
        <v>#DIV/0!</v>
      </c>
    </row>
    <row r="9" spans="1:3" x14ac:dyDescent="0.2">
      <c r="A9" s="3" t="s">
        <v>13</v>
      </c>
      <c r="B9" s="11">
        <v>3.5000000000000003E-2</v>
      </c>
      <c r="C9" s="37">
        <v>0</v>
      </c>
    </row>
    <row r="10" spans="1:3" x14ac:dyDescent="0.2">
      <c r="A10" s="3" t="s">
        <v>14</v>
      </c>
      <c r="B10" s="12">
        <f>IF(B4="SAFE",B11*B15,B11*B13)</f>
        <v>99000</v>
      </c>
      <c r="C10" s="38">
        <f>B11*(C17-C12)+(-C7)</f>
        <v>0</v>
      </c>
    </row>
    <row r="11" spans="1:3" x14ac:dyDescent="0.2">
      <c r="A11" s="3" t="s">
        <v>15</v>
      </c>
      <c r="B11" s="13">
        <f>IF(B4="SAFE",-B7/B15,-B7/B13)</f>
        <v>1.4142857142857143E-2</v>
      </c>
      <c r="C11" s="39" t="e">
        <f>C10/C17</f>
        <v>#DIV/0!</v>
      </c>
    </row>
    <row r="12" spans="1:3" x14ac:dyDescent="0.2">
      <c r="A12" s="3" t="s">
        <v>16</v>
      </c>
      <c r="B12" s="14">
        <v>200000</v>
      </c>
      <c r="C12" s="40">
        <v>0</v>
      </c>
    </row>
    <row r="13" spans="1:3" x14ac:dyDescent="0.2">
      <c r="A13" s="3" t="s">
        <v>17</v>
      </c>
      <c r="B13" s="14">
        <v>7000000</v>
      </c>
      <c r="C13" s="40">
        <v>0</v>
      </c>
    </row>
    <row r="14" spans="1:3" x14ac:dyDescent="0.2">
      <c r="A14" s="3" t="s">
        <v>18</v>
      </c>
      <c r="B14" s="14"/>
      <c r="C14" s="40"/>
    </row>
    <row r="15" spans="1:3" x14ac:dyDescent="0.2">
      <c r="A15" s="15" t="s">
        <v>19</v>
      </c>
      <c r="B15" s="14"/>
      <c r="C15" s="40"/>
    </row>
    <row r="16" spans="1:3" x14ac:dyDescent="0.2">
      <c r="B16" s="14"/>
      <c r="C16" s="37"/>
    </row>
    <row r="17" spans="1:3" x14ac:dyDescent="0.2">
      <c r="A17" s="16" t="s">
        <v>20</v>
      </c>
      <c r="B17" s="14">
        <f t="shared" ref="B17:C17" si="2">IF(B4="SAFE",B15,B13)</f>
        <v>7000000</v>
      </c>
      <c r="C17" s="40">
        <f t="shared" si="2"/>
        <v>0</v>
      </c>
    </row>
    <row r="18" spans="1:3" x14ac:dyDescent="0.2">
      <c r="C18" s="37"/>
    </row>
    <row r="19" spans="1:3" x14ac:dyDescent="0.2">
      <c r="C19" s="37"/>
    </row>
    <row r="20" spans="1:3" x14ac:dyDescent="0.2">
      <c r="A20" s="6" t="s">
        <v>68</v>
      </c>
      <c r="C20" s="37"/>
    </row>
    <row r="21" spans="1:3" x14ac:dyDescent="0.2">
      <c r="A21" s="6" t="s">
        <v>22</v>
      </c>
      <c r="B21" s="12">
        <f t="shared" ref="B21:C21" si="3">-B6</f>
        <v>100000</v>
      </c>
      <c r="C21" s="38">
        <f t="shared" si="3"/>
        <v>0</v>
      </c>
    </row>
    <row r="22" spans="1:3" x14ac:dyDescent="0.2">
      <c r="A22" s="6" t="s">
        <v>23</v>
      </c>
      <c r="B22" s="12">
        <f>B21</f>
        <v>100000</v>
      </c>
      <c r="C22" s="38">
        <f>C21+B22</f>
        <v>100000</v>
      </c>
    </row>
    <row r="23" spans="1:3" x14ac:dyDescent="0.2">
      <c r="A23" s="6" t="s">
        <v>24</v>
      </c>
      <c r="B23" s="12">
        <f t="shared" ref="B23:C23" si="4">B10</f>
        <v>99000</v>
      </c>
      <c r="C23" s="38">
        <f t="shared" si="4"/>
        <v>0</v>
      </c>
    </row>
    <row r="24" spans="1:3" x14ac:dyDescent="0.2">
      <c r="A24" s="17" t="s">
        <v>25</v>
      </c>
      <c r="B24" s="11">
        <f t="shared" ref="B24:C24" si="5">B9</f>
        <v>3.5000000000000003E-2</v>
      </c>
      <c r="C24" s="41">
        <f t="shared" si="5"/>
        <v>0</v>
      </c>
    </row>
    <row r="25" spans="1:3" x14ac:dyDescent="0.2">
      <c r="A25" s="17" t="s">
        <v>26</v>
      </c>
      <c r="B25" s="13">
        <f>B11</f>
        <v>1.4142857142857143E-2</v>
      </c>
      <c r="C25" s="39" t="e">
        <f>B25*(C17-C12)/C17</f>
        <v>#DIV/0!</v>
      </c>
    </row>
    <row r="26" spans="1:3" x14ac:dyDescent="0.2">
      <c r="A26" s="17" t="s">
        <v>27</v>
      </c>
      <c r="B26" s="13">
        <v>0</v>
      </c>
      <c r="C26" s="39" t="e">
        <f>C11-C25</f>
        <v>#DIV/0!</v>
      </c>
    </row>
    <row r="27" spans="1:3" x14ac:dyDescent="0.2">
      <c r="A27" s="17" t="s">
        <v>28</v>
      </c>
      <c r="B27" s="13">
        <v>0</v>
      </c>
      <c r="C27" s="39">
        <v>0</v>
      </c>
    </row>
    <row r="28" spans="1:3" x14ac:dyDescent="0.2">
      <c r="A28" s="17" t="s">
        <v>29</v>
      </c>
      <c r="B28" s="13">
        <v>0</v>
      </c>
      <c r="C28" s="39">
        <v>0</v>
      </c>
    </row>
    <row r="29" spans="1:3" x14ac:dyDescent="0.2">
      <c r="A29" s="17" t="s">
        <v>30</v>
      </c>
      <c r="B29" s="13">
        <v>0</v>
      </c>
      <c r="C29" s="39">
        <v>0</v>
      </c>
    </row>
    <row r="30" spans="1:3" x14ac:dyDescent="0.2">
      <c r="A30" s="18" t="s">
        <v>31</v>
      </c>
      <c r="B30" s="19">
        <f>MAX(0,(B23-B22)*B24)</f>
        <v>0</v>
      </c>
      <c r="C30" s="38" t="e">
        <f>$B$24*(C25*C17+$B$7)</f>
        <v>#DIV/0!</v>
      </c>
    </row>
    <row r="31" spans="1:3" x14ac:dyDescent="0.2">
      <c r="A31" s="6" t="s">
        <v>32</v>
      </c>
      <c r="B31" s="12">
        <f>B23-B21-B30</f>
        <v>-1000</v>
      </c>
      <c r="C31" s="38" t="e">
        <f>C23-C22-C30</f>
        <v>#DIV/0!</v>
      </c>
    </row>
    <row r="32" spans="1:3" x14ac:dyDescent="0.2">
      <c r="A32" s="6" t="s">
        <v>33</v>
      </c>
      <c r="B32" s="13">
        <f t="shared" ref="B32:C32" si="6">B31/B22</f>
        <v>-0.01</v>
      </c>
      <c r="C32" s="39" t="e">
        <f t="shared" si="6"/>
        <v>#DIV/0!</v>
      </c>
    </row>
    <row r="33" spans="1:3" x14ac:dyDescent="0.2">
      <c r="A33" s="20" t="s">
        <v>34</v>
      </c>
      <c r="B33" s="9">
        <f t="shared" ref="B33:B34" si="7">B6</f>
        <v>-100000</v>
      </c>
      <c r="C33" s="35">
        <f>B45</f>
        <v>99000</v>
      </c>
    </row>
    <row r="34" spans="1:3" x14ac:dyDescent="0.2">
      <c r="A34" s="20" t="s">
        <v>35</v>
      </c>
      <c r="B34" s="9">
        <f t="shared" si="7"/>
        <v>-99000</v>
      </c>
      <c r="C34" s="35">
        <f>B45</f>
        <v>99000</v>
      </c>
    </row>
    <row r="35" spans="1:3" x14ac:dyDescent="0.2">
      <c r="C35" s="37"/>
    </row>
    <row r="36" spans="1:3" x14ac:dyDescent="0.2">
      <c r="A36" s="6" t="s">
        <v>36</v>
      </c>
      <c r="B36" s="23">
        <f>XIRR(B33:C33,B1:C1)</f>
        <v>-4.3472617864608763E-3</v>
      </c>
      <c r="C36" s="37"/>
    </row>
    <row r="37" spans="1:3" x14ac:dyDescent="0.2">
      <c r="A37" s="6" t="s">
        <v>37</v>
      </c>
      <c r="B37" s="23">
        <f>XIRR(B34:C34,B1:C1)</f>
        <v>2.9802322387695314E-9</v>
      </c>
      <c r="C37" s="37"/>
    </row>
    <row r="38" spans="1:3" x14ac:dyDescent="0.2">
      <c r="C38" s="37"/>
    </row>
    <row r="39" spans="1:3" x14ac:dyDescent="0.2">
      <c r="C39" s="37"/>
    </row>
    <row r="40" spans="1:3" x14ac:dyDescent="0.2">
      <c r="A40" s="6" t="s">
        <v>38</v>
      </c>
      <c r="C40" s="37"/>
    </row>
    <row r="41" spans="1:3" x14ac:dyDescent="0.2">
      <c r="A41" s="6" t="s">
        <v>39</v>
      </c>
      <c r="B41" s="6">
        <f t="shared" ref="B41:C41" si="8">B45/B44</f>
        <v>1.4142857142857143E-2</v>
      </c>
      <c r="C41" s="37" t="e">
        <f t="shared" si="8"/>
        <v>#DIV/0!</v>
      </c>
    </row>
    <row r="42" spans="1:3" x14ac:dyDescent="0.2">
      <c r="A42" s="6" t="s">
        <v>40</v>
      </c>
      <c r="B42" s="22">
        <f t="shared" ref="B42:B43" si="9">-B6</f>
        <v>100000</v>
      </c>
      <c r="C42" s="42">
        <f t="shared" ref="C42:C43" si="10">-C6+B42</f>
        <v>100000</v>
      </c>
    </row>
    <row r="43" spans="1:3" x14ac:dyDescent="0.2">
      <c r="A43" s="6" t="s">
        <v>41</v>
      </c>
      <c r="B43" s="22">
        <f t="shared" si="9"/>
        <v>99000</v>
      </c>
      <c r="C43" s="42">
        <f t="shared" si="10"/>
        <v>99000</v>
      </c>
    </row>
    <row r="44" spans="1:3" x14ac:dyDescent="0.2">
      <c r="A44" s="6" t="s">
        <v>42</v>
      </c>
      <c r="B44" s="22">
        <f t="shared" ref="B44:C44" si="11">B17</f>
        <v>7000000</v>
      </c>
      <c r="C44" s="42">
        <f t="shared" si="11"/>
        <v>0</v>
      </c>
    </row>
    <row r="45" spans="1:3" x14ac:dyDescent="0.2">
      <c r="A45" s="6" t="s">
        <v>43</v>
      </c>
      <c r="B45" s="22">
        <f t="shared" ref="B45:C45" si="12">B10</f>
        <v>99000</v>
      </c>
      <c r="C45" s="42">
        <f t="shared" si="12"/>
        <v>0</v>
      </c>
    </row>
    <row r="46" spans="1:3" x14ac:dyDescent="0.2">
      <c r="A46" s="6" t="s">
        <v>44</v>
      </c>
      <c r="B46" s="12">
        <f t="shared" ref="B46:C46" si="13">B30</f>
        <v>0</v>
      </c>
      <c r="C46" s="38" t="e">
        <f t="shared" si="13"/>
        <v>#DIV/0!</v>
      </c>
    </row>
    <row r="47" spans="1:3" x14ac:dyDescent="0.2">
      <c r="A47" s="6" t="s">
        <v>45</v>
      </c>
      <c r="B47" s="22">
        <f t="shared" ref="B47:C47" si="14">B45-B42-B46</f>
        <v>-1000</v>
      </c>
      <c r="C47" s="42" t="e">
        <f t="shared" si="14"/>
        <v>#DIV/0!</v>
      </c>
    </row>
    <row r="48" spans="1:3" x14ac:dyDescent="0.2">
      <c r="A48" s="6" t="s">
        <v>46</v>
      </c>
      <c r="B48" s="6">
        <f t="shared" ref="B48:C48" si="15">B47/B42</f>
        <v>-0.01</v>
      </c>
      <c r="C48" s="37" t="e">
        <f t="shared" si="15"/>
        <v>#DIV/0!</v>
      </c>
    </row>
    <row r="49" spans="3:3" x14ac:dyDescent="0.2">
      <c r="C49" s="37"/>
    </row>
    <row r="50" spans="3:3" x14ac:dyDescent="0.2">
      <c r="C50" s="37"/>
    </row>
    <row r="51" spans="3:3" x14ac:dyDescent="0.2">
      <c r="C51" s="37"/>
    </row>
    <row r="52" spans="3:3" x14ac:dyDescent="0.2">
      <c r="C52" s="37"/>
    </row>
    <row r="53" spans="3:3" x14ac:dyDescent="0.2">
      <c r="C53" s="37"/>
    </row>
    <row r="54" spans="3:3" x14ac:dyDescent="0.2">
      <c r="C54" s="37"/>
    </row>
    <row r="55" spans="3:3" x14ac:dyDescent="0.2">
      <c r="C55" s="37"/>
    </row>
    <row r="56" spans="3:3" x14ac:dyDescent="0.2">
      <c r="C56" s="37"/>
    </row>
    <row r="57" spans="3:3" x14ac:dyDescent="0.2">
      <c r="C57" s="37"/>
    </row>
    <row r="58" spans="3:3" x14ac:dyDescent="0.2">
      <c r="C58" s="37"/>
    </row>
    <row r="59" spans="3:3" x14ac:dyDescent="0.2">
      <c r="C59" s="37"/>
    </row>
    <row r="60" spans="3:3" x14ac:dyDescent="0.2">
      <c r="C60" s="37"/>
    </row>
    <row r="61" spans="3:3" x14ac:dyDescent="0.2">
      <c r="C61" s="37"/>
    </row>
    <row r="62" spans="3:3" x14ac:dyDescent="0.2">
      <c r="C62" s="37"/>
    </row>
    <row r="63" spans="3:3" x14ac:dyDescent="0.2">
      <c r="C63" s="37"/>
    </row>
    <row r="64" spans="3:3" x14ac:dyDescent="0.2">
      <c r="C64" s="37"/>
    </row>
    <row r="65" spans="3:3" x14ac:dyDescent="0.2">
      <c r="C65" s="37"/>
    </row>
    <row r="66" spans="3:3" x14ac:dyDescent="0.2">
      <c r="C66" s="37"/>
    </row>
    <row r="67" spans="3:3" x14ac:dyDescent="0.2">
      <c r="C67" s="37"/>
    </row>
    <row r="68" spans="3:3" x14ac:dyDescent="0.2">
      <c r="C68" s="37"/>
    </row>
    <row r="69" spans="3:3" x14ac:dyDescent="0.2">
      <c r="C69" s="37"/>
    </row>
    <row r="70" spans="3:3" x14ac:dyDescent="0.2">
      <c r="C70" s="37"/>
    </row>
    <row r="71" spans="3:3" x14ac:dyDescent="0.2">
      <c r="C71" s="37"/>
    </row>
    <row r="72" spans="3:3" x14ac:dyDescent="0.2">
      <c r="C72" s="37"/>
    </row>
    <row r="73" spans="3:3" x14ac:dyDescent="0.2">
      <c r="C73" s="37"/>
    </row>
    <row r="74" spans="3:3" x14ac:dyDescent="0.2">
      <c r="C74" s="37"/>
    </row>
    <row r="75" spans="3:3" x14ac:dyDescent="0.2">
      <c r="C75" s="37"/>
    </row>
    <row r="76" spans="3:3" x14ac:dyDescent="0.2">
      <c r="C76" s="37"/>
    </row>
    <row r="77" spans="3:3" x14ac:dyDescent="0.2">
      <c r="C77" s="37"/>
    </row>
    <row r="78" spans="3:3" x14ac:dyDescent="0.2">
      <c r="C78" s="37"/>
    </row>
    <row r="79" spans="3:3" x14ac:dyDescent="0.2">
      <c r="C79" s="37"/>
    </row>
    <row r="80" spans="3:3" x14ac:dyDescent="0.2">
      <c r="C80" s="37"/>
    </row>
    <row r="81" spans="3:3" x14ac:dyDescent="0.2">
      <c r="C81" s="37"/>
    </row>
    <row r="82" spans="3:3" x14ac:dyDescent="0.2">
      <c r="C82" s="37"/>
    </row>
    <row r="83" spans="3:3" x14ac:dyDescent="0.2">
      <c r="C83" s="37"/>
    </row>
    <row r="84" spans="3:3" x14ac:dyDescent="0.2">
      <c r="C84" s="37"/>
    </row>
    <row r="85" spans="3:3" x14ac:dyDescent="0.2">
      <c r="C85" s="37"/>
    </row>
    <row r="86" spans="3:3" x14ac:dyDescent="0.2">
      <c r="C86" s="37"/>
    </row>
    <row r="87" spans="3:3" x14ac:dyDescent="0.2">
      <c r="C87" s="37"/>
    </row>
    <row r="88" spans="3:3" x14ac:dyDescent="0.2">
      <c r="C88" s="37"/>
    </row>
    <row r="89" spans="3:3" x14ac:dyDescent="0.2">
      <c r="C89" s="37"/>
    </row>
    <row r="90" spans="3:3" x14ac:dyDescent="0.2">
      <c r="C90" s="37"/>
    </row>
    <row r="91" spans="3:3" x14ac:dyDescent="0.2">
      <c r="C91" s="37"/>
    </row>
    <row r="92" spans="3:3" x14ac:dyDescent="0.2">
      <c r="C92" s="37"/>
    </row>
    <row r="93" spans="3:3" x14ac:dyDescent="0.2">
      <c r="C93" s="37"/>
    </row>
    <row r="94" spans="3:3" x14ac:dyDescent="0.2">
      <c r="C94" s="37"/>
    </row>
    <row r="95" spans="3:3" x14ac:dyDescent="0.2">
      <c r="C95" s="37"/>
    </row>
    <row r="96" spans="3:3" x14ac:dyDescent="0.2">
      <c r="C96" s="37"/>
    </row>
    <row r="97" spans="3:3" x14ac:dyDescent="0.2">
      <c r="C97" s="37"/>
    </row>
    <row r="98" spans="3:3" x14ac:dyDescent="0.2">
      <c r="C98" s="37"/>
    </row>
    <row r="99" spans="3:3" x14ac:dyDescent="0.2">
      <c r="C99" s="37"/>
    </row>
    <row r="100" spans="3:3" x14ac:dyDescent="0.2">
      <c r="C100" s="37"/>
    </row>
    <row r="101" spans="3:3" x14ac:dyDescent="0.2">
      <c r="C101" s="37"/>
    </row>
    <row r="102" spans="3:3" x14ac:dyDescent="0.2">
      <c r="C102" s="37"/>
    </row>
    <row r="103" spans="3:3" x14ac:dyDescent="0.2">
      <c r="C103" s="37"/>
    </row>
    <row r="104" spans="3:3" x14ac:dyDescent="0.2">
      <c r="C104" s="37"/>
    </row>
    <row r="105" spans="3:3" x14ac:dyDescent="0.2">
      <c r="C105" s="37"/>
    </row>
    <row r="106" spans="3:3" x14ac:dyDescent="0.2">
      <c r="C106" s="37"/>
    </row>
    <row r="107" spans="3:3" x14ac:dyDescent="0.2">
      <c r="C107" s="37"/>
    </row>
    <row r="108" spans="3:3" x14ac:dyDescent="0.2">
      <c r="C108" s="37"/>
    </row>
    <row r="109" spans="3:3" x14ac:dyDescent="0.2">
      <c r="C109" s="37"/>
    </row>
    <row r="110" spans="3:3" x14ac:dyDescent="0.2">
      <c r="C110" s="37"/>
    </row>
    <row r="111" spans="3:3" x14ac:dyDescent="0.2">
      <c r="C111" s="37"/>
    </row>
    <row r="112" spans="3:3" x14ac:dyDescent="0.2">
      <c r="C112" s="37"/>
    </row>
    <row r="113" spans="3:3" x14ac:dyDescent="0.2">
      <c r="C113" s="37"/>
    </row>
    <row r="114" spans="3:3" x14ac:dyDescent="0.2">
      <c r="C114" s="37"/>
    </row>
    <row r="115" spans="3:3" x14ac:dyDescent="0.2">
      <c r="C115" s="37"/>
    </row>
    <row r="116" spans="3:3" x14ac:dyDescent="0.2">
      <c r="C116" s="37"/>
    </row>
    <row r="117" spans="3:3" x14ac:dyDescent="0.2">
      <c r="C117" s="37"/>
    </row>
    <row r="118" spans="3:3" x14ac:dyDescent="0.2">
      <c r="C118" s="37"/>
    </row>
    <row r="119" spans="3:3" x14ac:dyDescent="0.2">
      <c r="C119" s="37"/>
    </row>
    <row r="120" spans="3:3" x14ac:dyDescent="0.2">
      <c r="C120" s="37"/>
    </row>
    <row r="121" spans="3:3" x14ac:dyDescent="0.2">
      <c r="C121" s="37"/>
    </row>
    <row r="122" spans="3:3" x14ac:dyDescent="0.2">
      <c r="C122" s="37"/>
    </row>
    <row r="123" spans="3:3" x14ac:dyDescent="0.2">
      <c r="C123" s="37"/>
    </row>
    <row r="124" spans="3:3" x14ac:dyDescent="0.2">
      <c r="C124" s="37"/>
    </row>
    <row r="125" spans="3:3" x14ac:dyDescent="0.2">
      <c r="C125" s="37"/>
    </row>
    <row r="126" spans="3:3" x14ac:dyDescent="0.2">
      <c r="C126" s="37"/>
    </row>
    <row r="127" spans="3:3" x14ac:dyDescent="0.2">
      <c r="C127" s="37"/>
    </row>
    <row r="128" spans="3:3" x14ac:dyDescent="0.2">
      <c r="C128" s="37"/>
    </row>
    <row r="129" spans="3:3" x14ac:dyDescent="0.2">
      <c r="C129" s="37"/>
    </row>
    <row r="130" spans="3:3" x14ac:dyDescent="0.2">
      <c r="C130" s="37"/>
    </row>
    <row r="131" spans="3:3" x14ac:dyDescent="0.2">
      <c r="C131" s="37"/>
    </row>
    <row r="132" spans="3:3" x14ac:dyDescent="0.2">
      <c r="C132" s="37"/>
    </row>
    <row r="133" spans="3:3" x14ac:dyDescent="0.2">
      <c r="C133" s="37"/>
    </row>
    <row r="134" spans="3:3" x14ac:dyDescent="0.2">
      <c r="C134" s="37"/>
    </row>
    <row r="135" spans="3:3" x14ac:dyDescent="0.2">
      <c r="C135" s="37"/>
    </row>
    <row r="136" spans="3:3" x14ac:dyDescent="0.2">
      <c r="C136" s="37"/>
    </row>
    <row r="137" spans="3:3" x14ac:dyDescent="0.2">
      <c r="C137" s="37"/>
    </row>
    <row r="138" spans="3:3" x14ac:dyDescent="0.2">
      <c r="C138" s="37"/>
    </row>
    <row r="139" spans="3:3" x14ac:dyDescent="0.2">
      <c r="C139" s="37"/>
    </row>
    <row r="140" spans="3:3" x14ac:dyDescent="0.2">
      <c r="C140" s="37"/>
    </row>
    <row r="141" spans="3:3" x14ac:dyDescent="0.2">
      <c r="C141" s="37"/>
    </row>
    <row r="142" spans="3:3" x14ac:dyDescent="0.2">
      <c r="C142" s="37"/>
    </row>
    <row r="143" spans="3:3" x14ac:dyDescent="0.2">
      <c r="C143" s="37"/>
    </row>
    <row r="144" spans="3:3" x14ac:dyDescent="0.2">
      <c r="C144" s="37"/>
    </row>
    <row r="145" spans="3:3" x14ac:dyDescent="0.2">
      <c r="C145" s="37"/>
    </row>
    <row r="146" spans="3:3" x14ac:dyDescent="0.2">
      <c r="C146" s="37"/>
    </row>
    <row r="147" spans="3:3" x14ac:dyDescent="0.2">
      <c r="C147" s="37"/>
    </row>
    <row r="148" spans="3:3" x14ac:dyDescent="0.2">
      <c r="C148" s="37"/>
    </row>
    <row r="149" spans="3:3" x14ac:dyDescent="0.2">
      <c r="C149" s="37"/>
    </row>
    <row r="150" spans="3:3" x14ac:dyDescent="0.2">
      <c r="C150" s="37"/>
    </row>
    <row r="151" spans="3:3" x14ac:dyDescent="0.2">
      <c r="C151" s="37"/>
    </row>
    <row r="152" spans="3:3" x14ac:dyDescent="0.2">
      <c r="C152" s="37"/>
    </row>
    <row r="153" spans="3:3" x14ac:dyDescent="0.2">
      <c r="C153" s="37"/>
    </row>
    <row r="154" spans="3:3" x14ac:dyDescent="0.2">
      <c r="C154" s="37"/>
    </row>
    <row r="155" spans="3:3" x14ac:dyDescent="0.2">
      <c r="C155" s="37"/>
    </row>
    <row r="156" spans="3:3" x14ac:dyDescent="0.2">
      <c r="C156" s="37"/>
    </row>
    <row r="157" spans="3:3" x14ac:dyDescent="0.2">
      <c r="C157" s="37"/>
    </row>
    <row r="158" spans="3:3" x14ac:dyDescent="0.2">
      <c r="C158" s="37"/>
    </row>
    <row r="159" spans="3:3" x14ac:dyDescent="0.2">
      <c r="C159" s="37"/>
    </row>
    <row r="160" spans="3:3" x14ac:dyDescent="0.2">
      <c r="C160" s="37"/>
    </row>
    <row r="161" spans="3:3" x14ac:dyDescent="0.2">
      <c r="C161" s="37"/>
    </row>
    <row r="162" spans="3:3" x14ac:dyDescent="0.2">
      <c r="C162" s="37"/>
    </row>
    <row r="163" spans="3:3" x14ac:dyDescent="0.2">
      <c r="C163" s="37"/>
    </row>
    <row r="164" spans="3:3" x14ac:dyDescent="0.2">
      <c r="C164" s="37"/>
    </row>
    <row r="165" spans="3:3" x14ac:dyDescent="0.2">
      <c r="C165" s="37"/>
    </row>
    <row r="166" spans="3:3" x14ac:dyDescent="0.2">
      <c r="C166" s="37"/>
    </row>
    <row r="167" spans="3:3" x14ac:dyDescent="0.2">
      <c r="C167" s="37"/>
    </row>
    <row r="168" spans="3:3" x14ac:dyDescent="0.2">
      <c r="C168" s="37"/>
    </row>
    <row r="169" spans="3:3" x14ac:dyDescent="0.2">
      <c r="C169" s="37"/>
    </row>
    <row r="170" spans="3:3" x14ac:dyDescent="0.2">
      <c r="C170" s="37"/>
    </row>
    <row r="171" spans="3:3" x14ac:dyDescent="0.2">
      <c r="C171" s="37"/>
    </row>
    <row r="172" spans="3:3" x14ac:dyDescent="0.2">
      <c r="C172" s="37"/>
    </row>
    <row r="173" spans="3:3" x14ac:dyDescent="0.2">
      <c r="C173" s="37"/>
    </row>
    <row r="174" spans="3:3" x14ac:dyDescent="0.2">
      <c r="C174" s="37"/>
    </row>
    <row r="175" spans="3:3" x14ac:dyDescent="0.2">
      <c r="C175" s="37"/>
    </row>
    <row r="176" spans="3:3" x14ac:dyDescent="0.2">
      <c r="C176" s="37"/>
    </row>
    <row r="177" spans="3:3" x14ac:dyDescent="0.2">
      <c r="C177" s="37"/>
    </row>
    <row r="178" spans="3:3" x14ac:dyDescent="0.2">
      <c r="C178" s="37"/>
    </row>
    <row r="179" spans="3:3" x14ac:dyDescent="0.2">
      <c r="C179" s="37"/>
    </row>
    <row r="180" spans="3:3" x14ac:dyDescent="0.2">
      <c r="C180" s="37"/>
    </row>
    <row r="181" spans="3:3" x14ac:dyDescent="0.2">
      <c r="C181" s="37"/>
    </row>
    <row r="182" spans="3:3" x14ac:dyDescent="0.2">
      <c r="C182" s="37"/>
    </row>
    <row r="183" spans="3:3" x14ac:dyDescent="0.2">
      <c r="C183" s="37"/>
    </row>
    <row r="184" spans="3:3" x14ac:dyDescent="0.2">
      <c r="C184" s="37"/>
    </row>
    <row r="185" spans="3:3" x14ac:dyDescent="0.2">
      <c r="C185" s="37"/>
    </row>
    <row r="186" spans="3:3" x14ac:dyDescent="0.2">
      <c r="C186" s="37"/>
    </row>
    <row r="187" spans="3:3" x14ac:dyDescent="0.2">
      <c r="C187" s="37"/>
    </row>
    <row r="188" spans="3:3" x14ac:dyDescent="0.2">
      <c r="C188" s="37"/>
    </row>
    <row r="189" spans="3:3" x14ac:dyDescent="0.2">
      <c r="C189" s="37"/>
    </row>
    <row r="190" spans="3:3" x14ac:dyDescent="0.2">
      <c r="C190" s="37"/>
    </row>
    <row r="191" spans="3:3" x14ac:dyDescent="0.2">
      <c r="C191" s="37"/>
    </row>
    <row r="192" spans="3:3" x14ac:dyDescent="0.2">
      <c r="C192" s="37"/>
    </row>
    <row r="193" spans="3:3" x14ac:dyDescent="0.2">
      <c r="C193" s="37"/>
    </row>
    <row r="194" spans="3:3" x14ac:dyDescent="0.2">
      <c r="C194" s="37"/>
    </row>
    <row r="195" spans="3:3" x14ac:dyDescent="0.2">
      <c r="C195" s="37"/>
    </row>
    <row r="196" spans="3:3" x14ac:dyDescent="0.2">
      <c r="C196" s="37"/>
    </row>
    <row r="197" spans="3:3" x14ac:dyDescent="0.2">
      <c r="C197" s="37"/>
    </row>
    <row r="198" spans="3:3" x14ac:dyDescent="0.2">
      <c r="C198" s="37"/>
    </row>
    <row r="199" spans="3:3" x14ac:dyDescent="0.2">
      <c r="C199" s="37"/>
    </row>
    <row r="200" spans="3:3" x14ac:dyDescent="0.2">
      <c r="C200" s="37"/>
    </row>
    <row r="201" spans="3:3" x14ac:dyDescent="0.2">
      <c r="C201" s="37"/>
    </row>
    <row r="202" spans="3:3" x14ac:dyDescent="0.2">
      <c r="C202" s="37"/>
    </row>
    <row r="203" spans="3:3" x14ac:dyDescent="0.2">
      <c r="C203" s="37"/>
    </row>
    <row r="204" spans="3:3" x14ac:dyDescent="0.2">
      <c r="C204" s="37"/>
    </row>
    <row r="205" spans="3:3" x14ac:dyDescent="0.2">
      <c r="C205" s="37"/>
    </row>
    <row r="206" spans="3:3" x14ac:dyDescent="0.2">
      <c r="C206" s="37"/>
    </row>
    <row r="207" spans="3:3" x14ac:dyDescent="0.2">
      <c r="C207" s="37"/>
    </row>
    <row r="208" spans="3:3" x14ac:dyDescent="0.2">
      <c r="C208" s="37"/>
    </row>
    <row r="209" spans="3:3" x14ac:dyDescent="0.2">
      <c r="C209" s="37"/>
    </row>
    <row r="210" spans="3:3" x14ac:dyDescent="0.2">
      <c r="C210" s="37"/>
    </row>
    <row r="211" spans="3:3" x14ac:dyDescent="0.2">
      <c r="C211" s="37"/>
    </row>
    <row r="212" spans="3:3" x14ac:dyDescent="0.2">
      <c r="C212" s="37"/>
    </row>
    <row r="213" spans="3:3" x14ac:dyDescent="0.2">
      <c r="C213" s="37"/>
    </row>
    <row r="214" spans="3:3" x14ac:dyDescent="0.2">
      <c r="C214" s="37"/>
    </row>
    <row r="215" spans="3:3" x14ac:dyDescent="0.2">
      <c r="C215" s="37"/>
    </row>
    <row r="216" spans="3:3" x14ac:dyDescent="0.2">
      <c r="C216" s="37"/>
    </row>
    <row r="217" spans="3:3" x14ac:dyDescent="0.2">
      <c r="C217" s="37"/>
    </row>
    <row r="218" spans="3:3" x14ac:dyDescent="0.2">
      <c r="C218" s="37"/>
    </row>
    <row r="219" spans="3:3" x14ac:dyDescent="0.2">
      <c r="C219" s="37"/>
    </row>
    <row r="220" spans="3:3" x14ac:dyDescent="0.2">
      <c r="C220" s="37"/>
    </row>
    <row r="221" spans="3:3" x14ac:dyDescent="0.2">
      <c r="C221" s="37"/>
    </row>
    <row r="222" spans="3:3" x14ac:dyDescent="0.2">
      <c r="C222" s="37"/>
    </row>
    <row r="223" spans="3:3" x14ac:dyDescent="0.2">
      <c r="C223" s="37"/>
    </row>
    <row r="224" spans="3:3" x14ac:dyDescent="0.2">
      <c r="C224" s="37"/>
    </row>
    <row r="225" spans="3:3" x14ac:dyDescent="0.2">
      <c r="C225" s="37"/>
    </row>
    <row r="226" spans="3:3" x14ac:dyDescent="0.2">
      <c r="C226" s="37"/>
    </row>
    <row r="227" spans="3:3" x14ac:dyDescent="0.2">
      <c r="C227" s="37"/>
    </row>
    <row r="228" spans="3:3" x14ac:dyDescent="0.2">
      <c r="C228" s="37"/>
    </row>
    <row r="229" spans="3:3" x14ac:dyDescent="0.2">
      <c r="C229" s="37"/>
    </row>
    <row r="230" spans="3:3" x14ac:dyDescent="0.2">
      <c r="C230" s="37"/>
    </row>
    <row r="231" spans="3:3" x14ac:dyDescent="0.2">
      <c r="C231" s="37"/>
    </row>
    <row r="232" spans="3:3" x14ac:dyDescent="0.2">
      <c r="C232" s="37"/>
    </row>
    <row r="233" spans="3:3" x14ac:dyDescent="0.2">
      <c r="C233" s="37"/>
    </row>
    <row r="234" spans="3:3" x14ac:dyDescent="0.2">
      <c r="C234" s="37"/>
    </row>
    <row r="235" spans="3:3" x14ac:dyDescent="0.2">
      <c r="C235" s="37"/>
    </row>
    <row r="236" spans="3:3" x14ac:dyDescent="0.2">
      <c r="C236" s="37"/>
    </row>
    <row r="237" spans="3:3" x14ac:dyDescent="0.2">
      <c r="C237" s="37"/>
    </row>
    <row r="238" spans="3:3" x14ac:dyDescent="0.2">
      <c r="C238" s="37"/>
    </row>
    <row r="239" spans="3:3" x14ac:dyDescent="0.2">
      <c r="C239" s="37"/>
    </row>
    <row r="240" spans="3:3" x14ac:dyDescent="0.2">
      <c r="C240" s="37"/>
    </row>
    <row r="241" spans="3:3" x14ac:dyDescent="0.2">
      <c r="C241" s="37"/>
    </row>
    <row r="242" spans="3:3" x14ac:dyDescent="0.2">
      <c r="C242" s="37"/>
    </row>
    <row r="243" spans="3:3" x14ac:dyDescent="0.2">
      <c r="C243" s="37"/>
    </row>
    <row r="244" spans="3:3" x14ac:dyDescent="0.2">
      <c r="C244" s="37"/>
    </row>
    <row r="245" spans="3:3" x14ac:dyDescent="0.2">
      <c r="C245" s="37"/>
    </row>
    <row r="246" spans="3:3" x14ac:dyDescent="0.2">
      <c r="C246" s="37"/>
    </row>
    <row r="247" spans="3:3" x14ac:dyDescent="0.2">
      <c r="C247" s="37"/>
    </row>
    <row r="248" spans="3:3" x14ac:dyDescent="0.2">
      <c r="C248" s="37"/>
    </row>
    <row r="249" spans="3:3" x14ac:dyDescent="0.2">
      <c r="C249" s="37"/>
    </row>
    <row r="250" spans="3:3" x14ac:dyDescent="0.2">
      <c r="C250" s="37"/>
    </row>
    <row r="251" spans="3:3" x14ac:dyDescent="0.2">
      <c r="C251" s="37"/>
    </row>
    <row r="252" spans="3:3" x14ac:dyDescent="0.2">
      <c r="C252" s="37"/>
    </row>
    <row r="253" spans="3:3" x14ac:dyDescent="0.2">
      <c r="C253" s="37"/>
    </row>
    <row r="254" spans="3:3" x14ac:dyDescent="0.2">
      <c r="C254" s="37"/>
    </row>
    <row r="255" spans="3:3" x14ac:dyDescent="0.2">
      <c r="C255" s="37"/>
    </row>
    <row r="256" spans="3:3" x14ac:dyDescent="0.2">
      <c r="C256" s="37"/>
    </row>
    <row r="257" spans="3:3" x14ac:dyDescent="0.2">
      <c r="C257" s="37"/>
    </row>
    <row r="258" spans="3:3" x14ac:dyDescent="0.2">
      <c r="C258" s="37"/>
    </row>
    <row r="259" spans="3:3" x14ac:dyDescent="0.2">
      <c r="C259" s="37"/>
    </row>
    <row r="260" spans="3:3" x14ac:dyDescent="0.2">
      <c r="C260" s="37"/>
    </row>
    <row r="261" spans="3:3" x14ac:dyDescent="0.2">
      <c r="C261" s="37"/>
    </row>
    <row r="262" spans="3:3" x14ac:dyDescent="0.2">
      <c r="C262" s="37"/>
    </row>
    <row r="263" spans="3:3" x14ac:dyDescent="0.2">
      <c r="C263" s="37"/>
    </row>
    <row r="264" spans="3:3" x14ac:dyDescent="0.2">
      <c r="C264" s="37"/>
    </row>
    <row r="265" spans="3:3" x14ac:dyDescent="0.2">
      <c r="C265" s="37"/>
    </row>
    <row r="266" spans="3:3" x14ac:dyDescent="0.2">
      <c r="C266" s="37"/>
    </row>
    <row r="267" spans="3:3" x14ac:dyDescent="0.2">
      <c r="C267" s="37"/>
    </row>
    <row r="268" spans="3:3" x14ac:dyDescent="0.2">
      <c r="C268" s="37"/>
    </row>
    <row r="269" spans="3:3" x14ac:dyDescent="0.2">
      <c r="C269" s="37"/>
    </row>
    <row r="270" spans="3:3" x14ac:dyDescent="0.2">
      <c r="C270" s="37"/>
    </row>
    <row r="271" spans="3:3" x14ac:dyDescent="0.2">
      <c r="C271" s="37"/>
    </row>
    <row r="272" spans="3:3" x14ac:dyDescent="0.2">
      <c r="C272" s="37"/>
    </row>
    <row r="273" spans="3:3" x14ac:dyDescent="0.2">
      <c r="C273" s="37"/>
    </row>
    <row r="274" spans="3:3" x14ac:dyDescent="0.2">
      <c r="C274" s="37"/>
    </row>
    <row r="275" spans="3:3" x14ac:dyDescent="0.2">
      <c r="C275" s="37"/>
    </row>
    <row r="276" spans="3:3" x14ac:dyDescent="0.2">
      <c r="C276" s="37"/>
    </row>
    <row r="277" spans="3:3" x14ac:dyDescent="0.2">
      <c r="C277" s="37"/>
    </row>
    <row r="278" spans="3:3" x14ac:dyDescent="0.2">
      <c r="C278" s="37"/>
    </row>
    <row r="279" spans="3:3" x14ac:dyDescent="0.2">
      <c r="C279" s="37"/>
    </row>
    <row r="280" spans="3:3" x14ac:dyDescent="0.2">
      <c r="C280" s="37"/>
    </row>
    <row r="281" spans="3:3" x14ac:dyDescent="0.2">
      <c r="C281" s="37"/>
    </row>
    <row r="282" spans="3:3" x14ac:dyDescent="0.2">
      <c r="C282" s="37"/>
    </row>
    <row r="283" spans="3:3" x14ac:dyDescent="0.2">
      <c r="C283" s="37"/>
    </row>
    <row r="284" spans="3:3" x14ac:dyDescent="0.2">
      <c r="C284" s="37"/>
    </row>
    <row r="285" spans="3:3" x14ac:dyDescent="0.2">
      <c r="C285" s="37"/>
    </row>
    <row r="286" spans="3:3" x14ac:dyDescent="0.2">
      <c r="C286" s="37"/>
    </row>
    <row r="287" spans="3:3" x14ac:dyDescent="0.2">
      <c r="C287" s="37"/>
    </row>
    <row r="288" spans="3:3" x14ac:dyDescent="0.2">
      <c r="C288" s="37"/>
    </row>
    <row r="289" spans="3:3" x14ac:dyDescent="0.2">
      <c r="C289" s="37"/>
    </row>
    <row r="290" spans="3:3" x14ac:dyDescent="0.2">
      <c r="C290" s="37"/>
    </row>
    <row r="291" spans="3:3" x14ac:dyDescent="0.2">
      <c r="C291" s="37"/>
    </row>
    <row r="292" spans="3:3" x14ac:dyDescent="0.2">
      <c r="C292" s="37"/>
    </row>
    <row r="293" spans="3:3" x14ac:dyDescent="0.2">
      <c r="C293" s="37"/>
    </row>
    <row r="294" spans="3:3" x14ac:dyDescent="0.2">
      <c r="C294" s="37"/>
    </row>
    <row r="295" spans="3:3" x14ac:dyDescent="0.2">
      <c r="C295" s="37"/>
    </row>
    <row r="296" spans="3:3" x14ac:dyDescent="0.2">
      <c r="C296" s="37"/>
    </row>
    <row r="297" spans="3:3" x14ac:dyDescent="0.2">
      <c r="C297" s="37"/>
    </row>
    <row r="298" spans="3:3" x14ac:dyDescent="0.2">
      <c r="C298" s="37"/>
    </row>
    <row r="299" spans="3:3" x14ac:dyDescent="0.2">
      <c r="C299" s="37"/>
    </row>
    <row r="300" spans="3:3" x14ac:dyDescent="0.2">
      <c r="C300" s="37"/>
    </row>
    <row r="301" spans="3:3" x14ac:dyDescent="0.2">
      <c r="C301" s="37"/>
    </row>
    <row r="302" spans="3:3" x14ac:dyDescent="0.2">
      <c r="C302" s="37"/>
    </row>
    <row r="303" spans="3:3" x14ac:dyDescent="0.2">
      <c r="C303" s="37"/>
    </row>
    <row r="304" spans="3:3" x14ac:dyDescent="0.2">
      <c r="C304" s="37"/>
    </row>
    <row r="305" spans="3:3" x14ac:dyDescent="0.2">
      <c r="C305" s="37"/>
    </row>
    <row r="306" spans="3:3" x14ac:dyDescent="0.2">
      <c r="C306" s="37"/>
    </row>
    <row r="307" spans="3:3" x14ac:dyDescent="0.2">
      <c r="C307" s="37"/>
    </row>
    <row r="308" spans="3:3" x14ac:dyDescent="0.2">
      <c r="C308" s="37"/>
    </row>
    <row r="309" spans="3:3" x14ac:dyDescent="0.2">
      <c r="C309" s="37"/>
    </row>
    <row r="310" spans="3:3" x14ac:dyDescent="0.2">
      <c r="C310" s="37"/>
    </row>
    <row r="311" spans="3:3" x14ac:dyDescent="0.2">
      <c r="C311" s="37"/>
    </row>
    <row r="312" spans="3:3" x14ac:dyDescent="0.2">
      <c r="C312" s="37"/>
    </row>
    <row r="313" spans="3:3" x14ac:dyDescent="0.2">
      <c r="C313" s="37"/>
    </row>
    <row r="314" spans="3:3" x14ac:dyDescent="0.2">
      <c r="C314" s="37"/>
    </row>
    <row r="315" spans="3:3" x14ac:dyDescent="0.2">
      <c r="C315" s="37"/>
    </row>
    <row r="316" spans="3:3" x14ac:dyDescent="0.2">
      <c r="C316" s="37"/>
    </row>
    <row r="317" spans="3:3" x14ac:dyDescent="0.2">
      <c r="C317" s="37"/>
    </row>
    <row r="318" spans="3:3" x14ac:dyDescent="0.2">
      <c r="C318" s="37"/>
    </row>
    <row r="319" spans="3:3" x14ac:dyDescent="0.2">
      <c r="C319" s="37"/>
    </row>
    <row r="320" spans="3:3" x14ac:dyDescent="0.2">
      <c r="C320" s="37"/>
    </row>
    <row r="321" spans="3:3" x14ac:dyDescent="0.2">
      <c r="C321" s="37"/>
    </row>
    <row r="322" spans="3:3" x14ac:dyDescent="0.2">
      <c r="C322" s="37"/>
    </row>
    <row r="323" spans="3:3" x14ac:dyDescent="0.2">
      <c r="C323" s="37"/>
    </row>
    <row r="324" spans="3:3" x14ac:dyDescent="0.2">
      <c r="C324" s="37"/>
    </row>
    <row r="325" spans="3:3" x14ac:dyDescent="0.2">
      <c r="C325" s="37"/>
    </row>
    <row r="326" spans="3:3" x14ac:dyDescent="0.2">
      <c r="C326" s="37"/>
    </row>
    <row r="327" spans="3:3" x14ac:dyDescent="0.2">
      <c r="C327" s="37"/>
    </row>
    <row r="328" spans="3:3" x14ac:dyDescent="0.2">
      <c r="C328" s="37"/>
    </row>
    <row r="329" spans="3:3" x14ac:dyDescent="0.2">
      <c r="C329" s="37"/>
    </row>
    <row r="330" spans="3:3" x14ac:dyDescent="0.2">
      <c r="C330" s="37"/>
    </row>
    <row r="331" spans="3:3" x14ac:dyDescent="0.2">
      <c r="C331" s="37"/>
    </row>
    <row r="332" spans="3:3" x14ac:dyDescent="0.2">
      <c r="C332" s="37"/>
    </row>
    <row r="333" spans="3:3" x14ac:dyDescent="0.2">
      <c r="C333" s="37"/>
    </row>
    <row r="334" spans="3:3" x14ac:dyDescent="0.2">
      <c r="C334" s="37"/>
    </row>
    <row r="335" spans="3:3" x14ac:dyDescent="0.2">
      <c r="C335" s="37"/>
    </row>
    <row r="336" spans="3:3" x14ac:dyDescent="0.2">
      <c r="C336" s="37"/>
    </row>
    <row r="337" spans="3:3" x14ac:dyDescent="0.2">
      <c r="C337" s="37"/>
    </row>
    <row r="338" spans="3:3" x14ac:dyDescent="0.2">
      <c r="C338" s="37"/>
    </row>
    <row r="339" spans="3:3" x14ac:dyDescent="0.2">
      <c r="C339" s="37"/>
    </row>
    <row r="340" spans="3:3" x14ac:dyDescent="0.2">
      <c r="C340" s="37"/>
    </row>
    <row r="341" spans="3:3" x14ac:dyDescent="0.2">
      <c r="C341" s="37"/>
    </row>
    <row r="342" spans="3:3" x14ac:dyDescent="0.2">
      <c r="C342" s="37"/>
    </row>
    <row r="343" spans="3:3" x14ac:dyDescent="0.2">
      <c r="C343" s="37"/>
    </row>
    <row r="344" spans="3:3" x14ac:dyDescent="0.2">
      <c r="C344" s="37"/>
    </row>
    <row r="345" spans="3:3" x14ac:dyDescent="0.2">
      <c r="C345" s="37"/>
    </row>
    <row r="346" spans="3:3" x14ac:dyDescent="0.2">
      <c r="C346" s="37"/>
    </row>
    <row r="347" spans="3:3" x14ac:dyDescent="0.2">
      <c r="C347" s="37"/>
    </row>
    <row r="348" spans="3:3" x14ac:dyDescent="0.2">
      <c r="C348" s="37"/>
    </row>
    <row r="349" spans="3:3" x14ac:dyDescent="0.2">
      <c r="C349" s="37"/>
    </row>
    <row r="350" spans="3:3" x14ac:dyDescent="0.2">
      <c r="C350" s="37"/>
    </row>
    <row r="351" spans="3:3" x14ac:dyDescent="0.2">
      <c r="C351" s="37"/>
    </row>
    <row r="352" spans="3:3" x14ac:dyDescent="0.2">
      <c r="C352" s="37"/>
    </row>
    <row r="353" spans="3:3" x14ac:dyDescent="0.2">
      <c r="C353" s="37"/>
    </row>
    <row r="354" spans="3:3" x14ac:dyDescent="0.2">
      <c r="C354" s="37"/>
    </row>
    <row r="355" spans="3:3" x14ac:dyDescent="0.2">
      <c r="C355" s="37"/>
    </row>
    <row r="356" spans="3:3" x14ac:dyDescent="0.2">
      <c r="C356" s="37"/>
    </row>
    <row r="357" spans="3:3" x14ac:dyDescent="0.2">
      <c r="C357" s="37"/>
    </row>
    <row r="358" spans="3:3" x14ac:dyDescent="0.2">
      <c r="C358" s="37"/>
    </row>
    <row r="359" spans="3:3" x14ac:dyDescent="0.2">
      <c r="C359" s="37"/>
    </row>
    <row r="360" spans="3:3" x14ac:dyDescent="0.2">
      <c r="C360" s="37"/>
    </row>
    <row r="361" spans="3:3" x14ac:dyDescent="0.2">
      <c r="C361" s="37"/>
    </row>
    <row r="362" spans="3:3" x14ac:dyDescent="0.2">
      <c r="C362" s="37"/>
    </row>
    <row r="363" spans="3:3" x14ac:dyDescent="0.2">
      <c r="C363" s="37"/>
    </row>
    <row r="364" spans="3:3" x14ac:dyDescent="0.2">
      <c r="C364" s="37"/>
    </row>
    <row r="365" spans="3:3" x14ac:dyDescent="0.2">
      <c r="C365" s="37"/>
    </row>
    <row r="366" spans="3:3" x14ac:dyDescent="0.2">
      <c r="C366" s="37"/>
    </row>
    <row r="367" spans="3:3" x14ac:dyDescent="0.2">
      <c r="C367" s="37"/>
    </row>
    <row r="368" spans="3:3" x14ac:dyDescent="0.2">
      <c r="C368" s="37"/>
    </row>
    <row r="369" spans="3:3" x14ac:dyDescent="0.2">
      <c r="C369" s="37"/>
    </row>
    <row r="370" spans="3:3" x14ac:dyDescent="0.2">
      <c r="C370" s="37"/>
    </row>
    <row r="371" spans="3:3" x14ac:dyDescent="0.2">
      <c r="C371" s="37"/>
    </row>
    <row r="372" spans="3:3" x14ac:dyDescent="0.2">
      <c r="C372" s="37"/>
    </row>
    <row r="373" spans="3:3" x14ac:dyDescent="0.2">
      <c r="C373" s="37"/>
    </row>
    <row r="374" spans="3:3" x14ac:dyDescent="0.2">
      <c r="C374" s="37"/>
    </row>
    <row r="375" spans="3:3" x14ac:dyDescent="0.2">
      <c r="C375" s="37"/>
    </row>
    <row r="376" spans="3:3" x14ac:dyDescent="0.2">
      <c r="C376" s="37"/>
    </row>
    <row r="377" spans="3:3" x14ac:dyDescent="0.2">
      <c r="C377" s="37"/>
    </row>
    <row r="378" spans="3:3" x14ac:dyDescent="0.2">
      <c r="C378" s="37"/>
    </row>
    <row r="379" spans="3:3" x14ac:dyDescent="0.2">
      <c r="C379" s="37"/>
    </row>
    <row r="380" spans="3:3" x14ac:dyDescent="0.2">
      <c r="C380" s="37"/>
    </row>
    <row r="381" spans="3:3" x14ac:dyDescent="0.2">
      <c r="C381" s="37"/>
    </row>
    <row r="382" spans="3:3" x14ac:dyDescent="0.2">
      <c r="C382" s="37"/>
    </row>
    <row r="383" spans="3:3" x14ac:dyDescent="0.2">
      <c r="C383" s="37"/>
    </row>
    <row r="384" spans="3:3" x14ac:dyDescent="0.2">
      <c r="C384" s="37"/>
    </row>
    <row r="385" spans="3:3" x14ac:dyDescent="0.2">
      <c r="C385" s="37"/>
    </row>
    <row r="386" spans="3:3" x14ac:dyDescent="0.2">
      <c r="C386" s="37"/>
    </row>
    <row r="387" spans="3:3" x14ac:dyDescent="0.2">
      <c r="C387" s="37"/>
    </row>
    <row r="388" spans="3:3" x14ac:dyDescent="0.2">
      <c r="C388" s="37"/>
    </row>
    <row r="389" spans="3:3" x14ac:dyDescent="0.2">
      <c r="C389" s="37"/>
    </row>
    <row r="390" spans="3:3" x14ac:dyDescent="0.2">
      <c r="C390" s="37"/>
    </row>
    <row r="391" spans="3:3" x14ac:dyDescent="0.2">
      <c r="C391" s="37"/>
    </row>
    <row r="392" spans="3:3" x14ac:dyDescent="0.2">
      <c r="C392" s="37"/>
    </row>
    <row r="393" spans="3:3" x14ac:dyDescent="0.2">
      <c r="C393" s="37"/>
    </row>
    <row r="394" spans="3:3" x14ac:dyDescent="0.2">
      <c r="C394" s="37"/>
    </row>
    <row r="395" spans="3:3" x14ac:dyDescent="0.2">
      <c r="C395" s="37"/>
    </row>
    <row r="396" spans="3:3" x14ac:dyDescent="0.2">
      <c r="C396" s="37"/>
    </row>
    <row r="397" spans="3:3" x14ac:dyDescent="0.2">
      <c r="C397" s="37"/>
    </row>
    <row r="398" spans="3:3" x14ac:dyDescent="0.2">
      <c r="C398" s="37"/>
    </row>
    <row r="399" spans="3:3" x14ac:dyDescent="0.2">
      <c r="C399" s="37"/>
    </row>
    <row r="400" spans="3:3" x14ac:dyDescent="0.2">
      <c r="C400" s="37"/>
    </row>
    <row r="401" spans="3:3" x14ac:dyDescent="0.2">
      <c r="C401" s="37"/>
    </row>
    <row r="402" spans="3:3" x14ac:dyDescent="0.2">
      <c r="C402" s="37"/>
    </row>
    <row r="403" spans="3:3" x14ac:dyDescent="0.2">
      <c r="C403" s="37"/>
    </row>
    <row r="404" spans="3:3" x14ac:dyDescent="0.2">
      <c r="C404" s="37"/>
    </row>
    <row r="405" spans="3:3" x14ac:dyDescent="0.2">
      <c r="C405" s="37"/>
    </row>
    <row r="406" spans="3:3" x14ac:dyDescent="0.2">
      <c r="C406" s="37"/>
    </row>
    <row r="407" spans="3:3" x14ac:dyDescent="0.2">
      <c r="C407" s="37"/>
    </row>
    <row r="408" spans="3:3" x14ac:dyDescent="0.2">
      <c r="C408" s="37"/>
    </row>
    <row r="409" spans="3:3" x14ac:dyDescent="0.2">
      <c r="C409" s="37"/>
    </row>
    <row r="410" spans="3:3" x14ac:dyDescent="0.2">
      <c r="C410" s="37"/>
    </row>
    <row r="411" spans="3:3" x14ac:dyDescent="0.2">
      <c r="C411" s="37"/>
    </row>
    <row r="412" spans="3:3" x14ac:dyDescent="0.2">
      <c r="C412" s="37"/>
    </row>
    <row r="413" spans="3:3" x14ac:dyDescent="0.2">
      <c r="C413" s="37"/>
    </row>
    <row r="414" spans="3:3" x14ac:dyDescent="0.2">
      <c r="C414" s="37"/>
    </row>
    <row r="415" spans="3:3" x14ac:dyDescent="0.2">
      <c r="C415" s="37"/>
    </row>
    <row r="416" spans="3:3" x14ac:dyDescent="0.2">
      <c r="C416" s="37"/>
    </row>
    <row r="417" spans="3:3" x14ac:dyDescent="0.2">
      <c r="C417" s="37"/>
    </row>
    <row r="418" spans="3:3" x14ac:dyDescent="0.2">
      <c r="C418" s="37"/>
    </row>
    <row r="419" spans="3:3" x14ac:dyDescent="0.2">
      <c r="C419" s="37"/>
    </row>
    <row r="420" spans="3:3" x14ac:dyDescent="0.2">
      <c r="C420" s="37"/>
    </row>
    <row r="421" spans="3:3" x14ac:dyDescent="0.2">
      <c r="C421" s="37"/>
    </row>
    <row r="422" spans="3:3" x14ac:dyDescent="0.2">
      <c r="C422" s="37"/>
    </row>
    <row r="423" spans="3:3" x14ac:dyDescent="0.2">
      <c r="C423" s="37"/>
    </row>
    <row r="424" spans="3:3" x14ac:dyDescent="0.2">
      <c r="C424" s="37"/>
    </row>
    <row r="425" spans="3:3" x14ac:dyDescent="0.2">
      <c r="C425" s="37"/>
    </row>
    <row r="426" spans="3:3" x14ac:dyDescent="0.2">
      <c r="C426" s="37"/>
    </row>
    <row r="427" spans="3:3" x14ac:dyDescent="0.2">
      <c r="C427" s="37"/>
    </row>
    <row r="428" spans="3:3" x14ac:dyDescent="0.2">
      <c r="C428" s="37"/>
    </row>
    <row r="429" spans="3:3" x14ac:dyDescent="0.2">
      <c r="C429" s="37"/>
    </row>
    <row r="430" spans="3:3" x14ac:dyDescent="0.2">
      <c r="C430" s="37"/>
    </row>
    <row r="431" spans="3:3" x14ac:dyDescent="0.2">
      <c r="C431" s="37"/>
    </row>
    <row r="432" spans="3:3" x14ac:dyDescent="0.2">
      <c r="C432" s="37"/>
    </row>
    <row r="433" spans="3:3" x14ac:dyDescent="0.2">
      <c r="C433" s="37"/>
    </row>
    <row r="434" spans="3:3" x14ac:dyDescent="0.2">
      <c r="C434" s="37"/>
    </row>
    <row r="435" spans="3:3" x14ac:dyDescent="0.2">
      <c r="C435" s="37"/>
    </row>
    <row r="436" spans="3:3" x14ac:dyDescent="0.2">
      <c r="C436" s="37"/>
    </row>
    <row r="437" spans="3:3" x14ac:dyDescent="0.2">
      <c r="C437" s="37"/>
    </row>
    <row r="438" spans="3:3" x14ac:dyDescent="0.2">
      <c r="C438" s="37"/>
    </row>
    <row r="439" spans="3:3" x14ac:dyDescent="0.2">
      <c r="C439" s="37"/>
    </row>
    <row r="440" spans="3:3" x14ac:dyDescent="0.2">
      <c r="C440" s="37"/>
    </row>
    <row r="441" spans="3:3" x14ac:dyDescent="0.2">
      <c r="C441" s="37"/>
    </row>
    <row r="442" spans="3:3" x14ac:dyDescent="0.2">
      <c r="C442" s="37"/>
    </row>
    <row r="443" spans="3:3" x14ac:dyDescent="0.2">
      <c r="C443" s="37"/>
    </row>
    <row r="444" spans="3:3" x14ac:dyDescent="0.2">
      <c r="C444" s="37"/>
    </row>
    <row r="445" spans="3:3" x14ac:dyDescent="0.2">
      <c r="C445" s="37"/>
    </row>
    <row r="446" spans="3:3" x14ac:dyDescent="0.2">
      <c r="C446" s="37"/>
    </row>
    <row r="447" spans="3:3" x14ac:dyDescent="0.2">
      <c r="C447" s="37"/>
    </row>
    <row r="448" spans="3:3" x14ac:dyDescent="0.2">
      <c r="C448" s="37"/>
    </row>
    <row r="449" spans="3:3" x14ac:dyDescent="0.2">
      <c r="C449" s="37"/>
    </row>
    <row r="450" spans="3:3" x14ac:dyDescent="0.2">
      <c r="C450" s="37"/>
    </row>
    <row r="451" spans="3:3" x14ac:dyDescent="0.2">
      <c r="C451" s="37"/>
    </row>
    <row r="452" spans="3:3" x14ac:dyDescent="0.2">
      <c r="C452" s="37"/>
    </row>
    <row r="453" spans="3:3" x14ac:dyDescent="0.2">
      <c r="C453" s="37"/>
    </row>
    <row r="454" spans="3:3" x14ac:dyDescent="0.2">
      <c r="C454" s="37"/>
    </row>
    <row r="455" spans="3:3" x14ac:dyDescent="0.2">
      <c r="C455" s="37"/>
    </row>
    <row r="456" spans="3:3" x14ac:dyDescent="0.2">
      <c r="C456" s="37"/>
    </row>
    <row r="457" spans="3:3" x14ac:dyDescent="0.2">
      <c r="C457" s="37"/>
    </row>
    <row r="458" spans="3:3" x14ac:dyDescent="0.2">
      <c r="C458" s="37"/>
    </row>
    <row r="459" spans="3:3" x14ac:dyDescent="0.2">
      <c r="C459" s="37"/>
    </row>
    <row r="460" spans="3:3" x14ac:dyDescent="0.2">
      <c r="C460" s="37"/>
    </row>
    <row r="461" spans="3:3" x14ac:dyDescent="0.2">
      <c r="C461" s="37"/>
    </row>
    <row r="462" spans="3:3" x14ac:dyDescent="0.2">
      <c r="C462" s="37"/>
    </row>
    <row r="463" spans="3:3" x14ac:dyDescent="0.2">
      <c r="C463" s="37"/>
    </row>
    <row r="464" spans="3:3" x14ac:dyDescent="0.2">
      <c r="C464" s="37"/>
    </row>
    <row r="465" spans="3:3" x14ac:dyDescent="0.2">
      <c r="C465" s="37"/>
    </row>
    <row r="466" spans="3:3" x14ac:dyDescent="0.2">
      <c r="C466" s="37"/>
    </row>
    <row r="467" spans="3:3" x14ac:dyDescent="0.2">
      <c r="C467" s="37"/>
    </row>
    <row r="468" spans="3:3" x14ac:dyDescent="0.2">
      <c r="C468" s="37"/>
    </row>
    <row r="469" spans="3:3" x14ac:dyDescent="0.2">
      <c r="C469" s="37"/>
    </row>
    <row r="470" spans="3:3" x14ac:dyDescent="0.2">
      <c r="C470" s="37"/>
    </row>
    <row r="471" spans="3:3" x14ac:dyDescent="0.2">
      <c r="C471" s="37"/>
    </row>
    <row r="472" spans="3:3" x14ac:dyDescent="0.2">
      <c r="C472" s="37"/>
    </row>
    <row r="473" spans="3:3" x14ac:dyDescent="0.2">
      <c r="C473" s="37"/>
    </row>
    <row r="474" spans="3:3" x14ac:dyDescent="0.2">
      <c r="C474" s="37"/>
    </row>
    <row r="475" spans="3:3" x14ac:dyDescent="0.2">
      <c r="C475" s="37"/>
    </row>
    <row r="476" spans="3:3" x14ac:dyDescent="0.2">
      <c r="C476" s="37"/>
    </row>
    <row r="477" spans="3:3" x14ac:dyDescent="0.2">
      <c r="C477" s="37"/>
    </row>
    <row r="478" spans="3:3" x14ac:dyDescent="0.2">
      <c r="C478" s="37"/>
    </row>
    <row r="479" spans="3:3" x14ac:dyDescent="0.2">
      <c r="C479" s="37"/>
    </row>
    <row r="480" spans="3:3" x14ac:dyDescent="0.2">
      <c r="C480" s="37"/>
    </row>
    <row r="481" spans="3:3" x14ac:dyDescent="0.2">
      <c r="C481" s="37"/>
    </row>
    <row r="482" spans="3:3" x14ac:dyDescent="0.2">
      <c r="C482" s="37"/>
    </row>
    <row r="483" spans="3:3" x14ac:dyDescent="0.2">
      <c r="C483" s="37"/>
    </row>
    <row r="484" spans="3:3" x14ac:dyDescent="0.2">
      <c r="C484" s="37"/>
    </row>
    <row r="485" spans="3:3" x14ac:dyDescent="0.2">
      <c r="C485" s="37"/>
    </row>
    <row r="486" spans="3:3" x14ac:dyDescent="0.2">
      <c r="C486" s="37"/>
    </row>
    <row r="487" spans="3:3" x14ac:dyDescent="0.2">
      <c r="C487" s="37"/>
    </row>
    <row r="488" spans="3:3" x14ac:dyDescent="0.2">
      <c r="C488" s="37"/>
    </row>
    <row r="489" spans="3:3" x14ac:dyDescent="0.2">
      <c r="C489" s="37"/>
    </row>
    <row r="490" spans="3:3" x14ac:dyDescent="0.2">
      <c r="C490" s="37"/>
    </row>
    <row r="491" spans="3:3" x14ac:dyDescent="0.2">
      <c r="C491" s="37"/>
    </row>
    <row r="492" spans="3:3" x14ac:dyDescent="0.2">
      <c r="C492" s="37"/>
    </row>
    <row r="493" spans="3:3" x14ac:dyDescent="0.2">
      <c r="C493" s="37"/>
    </row>
    <row r="494" spans="3:3" x14ac:dyDescent="0.2">
      <c r="C494" s="37"/>
    </row>
    <row r="495" spans="3:3" x14ac:dyDescent="0.2">
      <c r="C495" s="37"/>
    </row>
    <row r="496" spans="3:3" x14ac:dyDescent="0.2">
      <c r="C496" s="37"/>
    </row>
    <row r="497" spans="3:3" x14ac:dyDescent="0.2">
      <c r="C497" s="37"/>
    </row>
    <row r="498" spans="3:3" x14ac:dyDescent="0.2">
      <c r="C498" s="37"/>
    </row>
    <row r="499" spans="3:3" x14ac:dyDescent="0.2">
      <c r="C499" s="37"/>
    </row>
    <row r="500" spans="3:3" x14ac:dyDescent="0.2">
      <c r="C500" s="37"/>
    </row>
    <row r="501" spans="3:3" x14ac:dyDescent="0.2">
      <c r="C501" s="37"/>
    </row>
    <row r="502" spans="3:3" x14ac:dyDescent="0.2">
      <c r="C502" s="37"/>
    </row>
    <row r="503" spans="3:3" x14ac:dyDescent="0.2">
      <c r="C503" s="37"/>
    </row>
    <row r="504" spans="3:3" x14ac:dyDescent="0.2">
      <c r="C504" s="37"/>
    </row>
    <row r="505" spans="3:3" x14ac:dyDescent="0.2">
      <c r="C505" s="37"/>
    </row>
    <row r="506" spans="3:3" x14ac:dyDescent="0.2">
      <c r="C506" s="37"/>
    </row>
    <row r="507" spans="3:3" x14ac:dyDescent="0.2">
      <c r="C507" s="37"/>
    </row>
    <row r="508" spans="3:3" x14ac:dyDescent="0.2">
      <c r="C508" s="37"/>
    </row>
    <row r="509" spans="3:3" x14ac:dyDescent="0.2">
      <c r="C509" s="37"/>
    </row>
    <row r="510" spans="3:3" x14ac:dyDescent="0.2">
      <c r="C510" s="37"/>
    </row>
    <row r="511" spans="3:3" x14ac:dyDescent="0.2">
      <c r="C511" s="37"/>
    </row>
    <row r="512" spans="3:3" x14ac:dyDescent="0.2">
      <c r="C512" s="37"/>
    </row>
    <row r="513" spans="3:3" x14ac:dyDescent="0.2">
      <c r="C513" s="37"/>
    </row>
    <row r="514" spans="3:3" x14ac:dyDescent="0.2">
      <c r="C514" s="37"/>
    </row>
    <row r="515" spans="3:3" x14ac:dyDescent="0.2">
      <c r="C515" s="37"/>
    </row>
    <row r="516" spans="3:3" x14ac:dyDescent="0.2">
      <c r="C516" s="37"/>
    </row>
    <row r="517" spans="3:3" x14ac:dyDescent="0.2">
      <c r="C517" s="37"/>
    </row>
    <row r="518" spans="3:3" x14ac:dyDescent="0.2">
      <c r="C518" s="37"/>
    </row>
    <row r="519" spans="3:3" x14ac:dyDescent="0.2">
      <c r="C519" s="37"/>
    </row>
    <row r="520" spans="3:3" x14ac:dyDescent="0.2">
      <c r="C520" s="37"/>
    </row>
    <row r="521" spans="3:3" x14ac:dyDescent="0.2">
      <c r="C521" s="37"/>
    </row>
    <row r="522" spans="3:3" x14ac:dyDescent="0.2">
      <c r="C522" s="37"/>
    </row>
    <row r="523" spans="3:3" x14ac:dyDescent="0.2">
      <c r="C523" s="37"/>
    </row>
    <row r="524" spans="3:3" x14ac:dyDescent="0.2">
      <c r="C524" s="37"/>
    </row>
    <row r="525" spans="3:3" x14ac:dyDescent="0.2">
      <c r="C525" s="37"/>
    </row>
    <row r="526" spans="3:3" x14ac:dyDescent="0.2">
      <c r="C526" s="37"/>
    </row>
    <row r="527" spans="3:3" x14ac:dyDescent="0.2">
      <c r="C527" s="37"/>
    </row>
    <row r="528" spans="3:3" x14ac:dyDescent="0.2">
      <c r="C528" s="37"/>
    </row>
    <row r="529" spans="3:3" x14ac:dyDescent="0.2">
      <c r="C529" s="37"/>
    </row>
    <row r="530" spans="3:3" x14ac:dyDescent="0.2">
      <c r="C530" s="37"/>
    </row>
    <row r="531" spans="3:3" x14ac:dyDescent="0.2">
      <c r="C531" s="37"/>
    </row>
    <row r="532" spans="3:3" x14ac:dyDescent="0.2">
      <c r="C532" s="37"/>
    </row>
    <row r="533" spans="3:3" x14ac:dyDescent="0.2">
      <c r="C533" s="37"/>
    </row>
    <row r="534" spans="3:3" x14ac:dyDescent="0.2">
      <c r="C534" s="37"/>
    </row>
    <row r="535" spans="3:3" x14ac:dyDescent="0.2">
      <c r="C535" s="37"/>
    </row>
    <row r="536" spans="3:3" x14ac:dyDescent="0.2">
      <c r="C536" s="37"/>
    </row>
    <row r="537" spans="3:3" x14ac:dyDescent="0.2">
      <c r="C537" s="37"/>
    </row>
    <row r="538" spans="3:3" x14ac:dyDescent="0.2">
      <c r="C538" s="37"/>
    </row>
    <row r="539" spans="3:3" x14ac:dyDescent="0.2">
      <c r="C539" s="37"/>
    </row>
    <row r="540" spans="3:3" x14ac:dyDescent="0.2">
      <c r="C540" s="37"/>
    </row>
    <row r="541" spans="3:3" x14ac:dyDescent="0.2">
      <c r="C541" s="37"/>
    </row>
    <row r="542" spans="3:3" x14ac:dyDescent="0.2">
      <c r="C542" s="37"/>
    </row>
    <row r="543" spans="3:3" x14ac:dyDescent="0.2">
      <c r="C543" s="37"/>
    </row>
    <row r="544" spans="3:3" x14ac:dyDescent="0.2">
      <c r="C544" s="37"/>
    </row>
    <row r="545" spans="3:3" x14ac:dyDescent="0.2">
      <c r="C545" s="37"/>
    </row>
    <row r="546" spans="3:3" x14ac:dyDescent="0.2">
      <c r="C546" s="37"/>
    </row>
    <row r="547" spans="3:3" x14ac:dyDescent="0.2">
      <c r="C547" s="37"/>
    </row>
    <row r="548" spans="3:3" x14ac:dyDescent="0.2">
      <c r="C548" s="37"/>
    </row>
    <row r="549" spans="3:3" x14ac:dyDescent="0.2">
      <c r="C549" s="37"/>
    </row>
    <row r="550" spans="3:3" x14ac:dyDescent="0.2">
      <c r="C550" s="37"/>
    </row>
    <row r="551" spans="3:3" x14ac:dyDescent="0.2">
      <c r="C551" s="37"/>
    </row>
    <row r="552" spans="3:3" x14ac:dyDescent="0.2">
      <c r="C552" s="37"/>
    </row>
    <row r="553" spans="3:3" x14ac:dyDescent="0.2">
      <c r="C553" s="37"/>
    </row>
    <row r="554" spans="3:3" x14ac:dyDescent="0.2">
      <c r="C554" s="37"/>
    </row>
    <row r="555" spans="3:3" x14ac:dyDescent="0.2">
      <c r="C555" s="37"/>
    </row>
    <row r="556" spans="3:3" x14ac:dyDescent="0.2">
      <c r="C556" s="37"/>
    </row>
    <row r="557" spans="3:3" x14ac:dyDescent="0.2">
      <c r="C557" s="37"/>
    </row>
    <row r="558" spans="3:3" x14ac:dyDescent="0.2">
      <c r="C558" s="37"/>
    </row>
    <row r="559" spans="3:3" x14ac:dyDescent="0.2">
      <c r="C559" s="37"/>
    </row>
    <row r="560" spans="3:3" x14ac:dyDescent="0.2">
      <c r="C560" s="37"/>
    </row>
    <row r="561" spans="3:3" x14ac:dyDescent="0.2">
      <c r="C561" s="37"/>
    </row>
    <row r="562" spans="3:3" x14ac:dyDescent="0.2">
      <c r="C562" s="37"/>
    </row>
    <row r="563" spans="3:3" x14ac:dyDescent="0.2">
      <c r="C563" s="37"/>
    </row>
    <row r="564" spans="3:3" x14ac:dyDescent="0.2">
      <c r="C564" s="37"/>
    </row>
    <row r="565" spans="3:3" x14ac:dyDescent="0.2">
      <c r="C565" s="37"/>
    </row>
    <row r="566" spans="3:3" x14ac:dyDescent="0.2">
      <c r="C566" s="37"/>
    </row>
    <row r="567" spans="3:3" x14ac:dyDescent="0.2">
      <c r="C567" s="37"/>
    </row>
    <row r="568" spans="3:3" x14ac:dyDescent="0.2">
      <c r="C568" s="37"/>
    </row>
    <row r="569" spans="3:3" x14ac:dyDescent="0.2">
      <c r="C569" s="37"/>
    </row>
    <row r="570" spans="3:3" x14ac:dyDescent="0.2">
      <c r="C570" s="37"/>
    </row>
    <row r="571" spans="3:3" x14ac:dyDescent="0.2">
      <c r="C571" s="37"/>
    </row>
    <row r="572" spans="3:3" x14ac:dyDescent="0.2">
      <c r="C572" s="37"/>
    </row>
    <row r="573" spans="3:3" x14ac:dyDescent="0.2">
      <c r="C573" s="37"/>
    </row>
    <row r="574" spans="3:3" x14ac:dyDescent="0.2">
      <c r="C574" s="37"/>
    </row>
    <row r="575" spans="3:3" x14ac:dyDescent="0.2">
      <c r="C575" s="37"/>
    </row>
    <row r="576" spans="3:3" x14ac:dyDescent="0.2">
      <c r="C576" s="37"/>
    </row>
    <row r="577" spans="3:3" x14ac:dyDescent="0.2">
      <c r="C577" s="37"/>
    </row>
    <row r="578" spans="3:3" x14ac:dyDescent="0.2">
      <c r="C578" s="37"/>
    </row>
    <row r="579" spans="3:3" x14ac:dyDescent="0.2">
      <c r="C579" s="37"/>
    </row>
    <row r="580" spans="3:3" x14ac:dyDescent="0.2">
      <c r="C580" s="37"/>
    </row>
    <row r="581" spans="3:3" x14ac:dyDescent="0.2">
      <c r="C581" s="37"/>
    </row>
    <row r="582" spans="3:3" x14ac:dyDescent="0.2">
      <c r="C582" s="37"/>
    </row>
    <row r="583" spans="3:3" x14ac:dyDescent="0.2">
      <c r="C583" s="37"/>
    </row>
    <row r="584" spans="3:3" x14ac:dyDescent="0.2">
      <c r="C584" s="37"/>
    </row>
    <row r="585" spans="3:3" x14ac:dyDescent="0.2">
      <c r="C585" s="37"/>
    </row>
    <row r="586" spans="3:3" x14ac:dyDescent="0.2">
      <c r="C586" s="37"/>
    </row>
    <row r="587" spans="3:3" x14ac:dyDescent="0.2">
      <c r="C587" s="37"/>
    </row>
    <row r="588" spans="3:3" x14ac:dyDescent="0.2">
      <c r="C588" s="37"/>
    </row>
    <row r="589" spans="3:3" x14ac:dyDescent="0.2">
      <c r="C589" s="37"/>
    </row>
    <row r="590" spans="3:3" x14ac:dyDescent="0.2">
      <c r="C590" s="37"/>
    </row>
    <row r="591" spans="3:3" x14ac:dyDescent="0.2">
      <c r="C591" s="37"/>
    </row>
    <row r="592" spans="3:3" x14ac:dyDescent="0.2">
      <c r="C592" s="37"/>
    </row>
    <row r="593" spans="3:3" x14ac:dyDescent="0.2">
      <c r="C593" s="37"/>
    </row>
    <row r="594" spans="3:3" x14ac:dyDescent="0.2">
      <c r="C594" s="37"/>
    </row>
    <row r="595" spans="3:3" x14ac:dyDescent="0.2">
      <c r="C595" s="37"/>
    </row>
    <row r="596" spans="3:3" x14ac:dyDescent="0.2">
      <c r="C596" s="37"/>
    </row>
    <row r="597" spans="3:3" x14ac:dyDescent="0.2">
      <c r="C597" s="37"/>
    </row>
    <row r="598" spans="3:3" x14ac:dyDescent="0.2">
      <c r="C598" s="37"/>
    </row>
    <row r="599" spans="3:3" x14ac:dyDescent="0.2">
      <c r="C599" s="37"/>
    </row>
    <row r="600" spans="3:3" x14ac:dyDescent="0.2">
      <c r="C600" s="37"/>
    </row>
    <row r="601" spans="3:3" x14ac:dyDescent="0.2">
      <c r="C601" s="37"/>
    </row>
    <row r="602" spans="3:3" x14ac:dyDescent="0.2">
      <c r="C602" s="37"/>
    </row>
    <row r="603" spans="3:3" x14ac:dyDescent="0.2">
      <c r="C603" s="37"/>
    </row>
    <row r="604" spans="3:3" x14ac:dyDescent="0.2">
      <c r="C604" s="37"/>
    </row>
    <row r="605" spans="3:3" x14ac:dyDescent="0.2">
      <c r="C605" s="37"/>
    </row>
    <row r="606" spans="3:3" x14ac:dyDescent="0.2">
      <c r="C606" s="37"/>
    </row>
    <row r="607" spans="3:3" x14ac:dyDescent="0.2">
      <c r="C607" s="37"/>
    </row>
    <row r="608" spans="3:3" x14ac:dyDescent="0.2">
      <c r="C608" s="37"/>
    </row>
    <row r="609" spans="3:3" x14ac:dyDescent="0.2">
      <c r="C609" s="37"/>
    </row>
    <row r="610" spans="3:3" x14ac:dyDescent="0.2">
      <c r="C610" s="37"/>
    </row>
    <row r="611" spans="3:3" x14ac:dyDescent="0.2">
      <c r="C611" s="37"/>
    </row>
    <row r="612" spans="3:3" x14ac:dyDescent="0.2">
      <c r="C612" s="37"/>
    </row>
    <row r="613" spans="3:3" x14ac:dyDescent="0.2">
      <c r="C613" s="37"/>
    </row>
    <row r="614" spans="3:3" x14ac:dyDescent="0.2">
      <c r="C614" s="37"/>
    </row>
    <row r="615" spans="3:3" x14ac:dyDescent="0.2">
      <c r="C615" s="37"/>
    </row>
    <row r="616" spans="3:3" x14ac:dyDescent="0.2">
      <c r="C616" s="37"/>
    </row>
    <row r="617" spans="3:3" x14ac:dyDescent="0.2">
      <c r="C617" s="37"/>
    </row>
    <row r="618" spans="3:3" x14ac:dyDescent="0.2">
      <c r="C618" s="37"/>
    </row>
    <row r="619" spans="3:3" x14ac:dyDescent="0.2">
      <c r="C619" s="37"/>
    </row>
    <row r="620" spans="3:3" x14ac:dyDescent="0.2">
      <c r="C620" s="37"/>
    </row>
    <row r="621" spans="3:3" x14ac:dyDescent="0.2">
      <c r="C621" s="37"/>
    </row>
    <row r="622" spans="3:3" x14ac:dyDescent="0.2">
      <c r="C622" s="37"/>
    </row>
    <row r="623" spans="3:3" x14ac:dyDescent="0.2">
      <c r="C623" s="37"/>
    </row>
    <row r="624" spans="3:3" x14ac:dyDescent="0.2">
      <c r="C624" s="37"/>
    </row>
    <row r="625" spans="3:3" x14ac:dyDescent="0.2">
      <c r="C625" s="37"/>
    </row>
    <row r="626" spans="3:3" x14ac:dyDescent="0.2">
      <c r="C626" s="37"/>
    </row>
    <row r="627" spans="3:3" x14ac:dyDescent="0.2">
      <c r="C627" s="37"/>
    </row>
    <row r="628" spans="3:3" x14ac:dyDescent="0.2">
      <c r="C628" s="37"/>
    </row>
    <row r="629" spans="3:3" x14ac:dyDescent="0.2">
      <c r="C629" s="37"/>
    </row>
    <row r="630" spans="3:3" x14ac:dyDescent="0.2">
      <c r="C630" s="37"/>
    </row>
    <row r="631" spans="3:3" x14ac:dyDescent="0.2">
      <c r="C631" s="37"/>
    </row>
    <row r="632" spans="3:3" x14ac:dyDescent="0.2">
      <c r="C632" s="37"/>
    </row>
    <row r="633" spans="3:3" x14ac:dyDescent="0.2">
      <c r="C633" s="37"/>
    </row>
    <row r="634" spans="3:3" x14ac:dyDescent="0.2">
      <c r="C634" s="37"/>
    </row>
    <row r="635" spans="3:3" x14ac:dyDescent="0.2">
      <c r="C635" s="37"/>
    </row>
    <row r="636" spans="3:3" x14ac:dyDescent="0.2">
      <c r="C636" s="37"/>
    </row>
    <row r="637" spans="3:3" x14ac:dyDescent="0.2">
      <c r="C637" s="37"/>
    </row>
    <row r="638" spans="3:3" x14ac:dyDescent="0.2">
      <c r="C638" s="37"/>
    </row>
    <row r="639" spans="3:3" x14ac:dyDescent="0.2">
      <c r="C639" s="37"/>
    </row>
    <row r="640" spans="3:3" x14ac:dyDescent="0.2">
      <c r="C640" s="37"/>
    </row>
    <row r="641" spans="3:3" x14ac:dyDescent="0.2">
      <c r="C641" s="37"/>
    </row>
    <row r="642" spans="3:3" x14ac:dyDescent="0.2">
      <c r="C642" s="37"/>
    </row>
    <row r="643" spans="3:3" x14ac:dyDescent="0.2">
      <c r="C643" s="37"/>
    </row>
    <row r="644" spans="3:3" x14ac:dyDescent="0.2">
      <c r="C644" s="37"/>
    </row>
    <row r="645" spans="3:3" x14ac:dyDescent="0.2">
      <c r="C645" s="37"/>
    </row>
    <row r="646" spans="3:3" x14ac:dyDescent="0.2">
      <c r="C646" s="37"/>
    </row>
    <row r="647" spans="3:3" x14ac:dyDescent="0.2">
      <c r="C647" s="37"/>
    </row>
    <row r="648" spans="3:3" x14ac:dyDescent="0.2">
      <c r="C648" s="37"/>
    </row>
    <row r="649" spans="3:3" x14ac:dyDescent="0.2">
      <c r="C649" s="37"/>
    </row>
    <row r="650" spans="3:3" x14ac:dyDescent="0.2">
      <c r="C650" s="37"/>
    </row>
    <row r="651" spans="3:3" x14ac:dyDescent="0.2">
      <c r="C651" s="37"/>
    </row>
    <row r="652" spans="3:3" x14ac:dyDescent="0.2">
      <c r="C652" s="37"/>
    </row>
    <row r="653" spans="3:3" x14ac:dyDescent="0.2">
      <c r="C653" s="37"/>
    </row>
    <row r="654" spans="3:3" x14ac:dyDescent="0.2">
      <c r="C654" s="37"/>
    </row>
    <row r="655" spans="3:3" x14ac:dyDescent="0.2">
      <c r="C655" s="37"/>
    </row>
    <row r="656" spans="3:3" x14ac:dyDescent="0.2">
      <c r="C656" s="37"/>
    </row>
    <row r="657" spans="3:3" x14ac:dyDescent="0.2">
      <c r="C657" s="37"/>
    </row>
    <row r="658" spans="3:3" x14ac:dyDescent="0.2">
      <c r="C658" s="37"/>
    </row>
    <row r="659" spans="3:3" x14ac:dyDescent="0.2">
      <c r="C659" s="37"/>
    </row>
    <row r="660" spans="3:3" x14ac:dyDescent="0.2">
      <c r="C660" s="37"/>
    </row>
    <row r="661" spans="3:3" x14ac:dyDescent="0.2">
      <c r="C661" s="37"/>
    </row>
    <row r="662" spans="3:3" x14ac:dyDescent="0.2">
      <c r="C662" s="37"/>
    </row>
    <row r="663" spans="3:3" x14ac:dyDescent="0.2">
      <c r="C663" s="37"/>
    </row>
    <row r="664" spans="3:3" x14ac:dyDescent="0.2">
      <c r="C664" s="37"/>
    </row>
    <row r="665" spans="3:3" x14ac:dyDescent="0.2">
      <c r="C665" s="37"/>
    </row>
    <row r="666" spans="3:3" x14ac:dyDescent="0.2">
      <c r="C666" s="37"/>
    </row>
    <row r="667" spans="3:3" x14ac:dyDescent="0.2">
      <c r="C667" s="37"/>
    </row>
    <row r="668" spans="3:3" x14ac:dyDescent="0.2">
      <c r="C668" s="37"/>
    </row>
    <row r="669" spans="3:3" x14ac:dyDescent="0.2">
      <c r="C669" s="37"/>
    </row>
    <row r="670" spans="3:3" x14ac:dyDescent="0.2">
      <c r="C670" s="37"/>
    </row>
    <row r="671" spans="3:3" x14ac:dyDescent="0.2">
      <c r="C671" s="37"/>
    </row>
    <row r="672" spans="3:3" x14ac:dyDescent="0.2">
      <c r="C672" s="37"/>
    </row>
    <row r="673" spans="3:3" x14ac:dyDescent="0.2">
      <c r="C673" s="37"/>
    </row>
    <row r="674" spans="3:3" x14ac:dyDescent="0.2">
      <c r="C674" s="37"/>
    </row>
    <row r="675" spans="3:3" x14ac:dyDescent="0.2">
      <c r="C675" s="37"/>
    </row>
    <row r="676" spans="3:3" x14ac:dyDescent="0.2">
      <c r="C676" s="37"/>
    </row>
    <row r="677" spans="3:3" x14ac:dyDescent="0.2">
      <c r="C677" s="37"/>
    </row>
    <row r="678" spans="3:3" x14ac:dyDescent="0.2">
      <c r="C678" s="37"/>
    </row>
    <row r="679" spans="3:3" x14ac:dyDescent="0.2">
      <c r="C679" s="37"/>
    </row>
    <row r="680" spans="3:3" x14ac:dyDescent="0.2">
      <c r="C680" s="37"/>
    </row>
    <row r="681" spans="3:3" x14ac:dyDescent="0.2">
      <c r="C681" s="37"/>
    </row>
    <row r="682" spans="3:3" x14ac:dyDescent="0.2">
      <c r="C682" s="37"/>
    </row>
    <row r="683" spans="3:3" x14ac:dyDescent="0.2">
      <c r="C683" s="37"/>
    </row>
    <row r="684" spans="3:3" x14ac:dyDescent="0.2">
      <c r="C684" s="37"/>
    </row>
    <row r="685" spans="3:3" x14ac:dyDescent="0.2">
      <c r="C685" s="37"/>
    </row>
    <row r="686" spans="3:3" x14ac:dyDescent="0.2">
      <c r="C686" s="37"/>
    </row>
    <row r="687" spans="3:3" x14ac:dyDescent="0.2">
      <c r="C687" s="37"/>
    </row>
    <row r="688" spans="3:3" x14ac:dyDescent="0.2">
      <c r="C688" s="37"/>
    </row>
    <row r="689" spans="3:3" x14ac:dyDescent="0.2">
      <c r="C689" s="37"/>
    </row>
    <row r="690" spans="3:3" x14ac:dyDescent="0.2">
      <c r="C690" s="37"/>
    </row>
    <row r="691" spans="3:3" x14ac:dyDescent="0.2">
      <c r="C691" s="37"/>
    </row>
    <row r="692" spans="3:3" x14ac:dyDescent="0.2">
      <c r="C692" s="37"/>
    </row>
    <row r="693" spans="3:3" x14ac:dyDescent="0.2">
      <c r="C693" s="37"/>
    </row>
    <row r="694" spans="3:3" x14ac:dyDescent="0.2">
      <c r="C694" s="37"/>
    </row>
    <row r="695" spans="3:3" x14ac:dyDescent="0.2">
      <c r="C695" s="37"/>
    </row>
    <row r="696" spans="3:3" x14ac:dyDescent="0.2">
      <c r="C696" s="37"/>
    </row>
    <row r="697" spans="3:3" x14ac:dyDescent="0.2">
      <c r="C697" s="37"/>
    </row>
    <row r="698" spans="3:3" x14ac:dyDescent="0.2">
      <c r="C698" s="37"/>
    </row>
    <row r="699" spans="3:3" x14ac:dyDescent="0.2">
      <c r="C699" s="37"/>
    </row>
    <row r="700" spans="3:3" x14ac:dyDescent="0.2">
      <c r="C700" s="37"/>
    </row>
    <row r="701" spans="3:3" x14ac:dyDescent="0.2">
      <c r="C701" s="37"/>
    </row>
    <row r="702" spans="3:3" x14ac:dyDescent="0.2">
      <c r="C702" s="37"/>
    </row>
    <row r="703" spans="3:3" x14ac:dyDescent="0.2">
      <c r="C703" s="37"/>
    </row>
    <row r="704" spans="3:3" x14ac:dyDescent="0.2">
      <c r="C704" s="37"/>
    </row>
    <row r="705" spans="3:3" x14ac:dyDescent="0.2">
      <c r="C705" s="37"/>
    </row>
    <row r="706" spans="3:3" x14ac:dyDescent="0.2">
      <c r="C706" s="37"/>
    </row>
    <row r="707" spans="3:3" x14ac:dyDescent="0.2">
      <c r="C707" s="37"/>
    </row>
    <row r="708" spans="3:3" x14ac:dyDescent="0.2">
      <c r="C708" s="37"/>
    </row>
    <row r="709" spans="3:3" x14ac:dyDescent="0.2">
      <c r="C709" s="37"/>
    </row>
    <row r="710" spans="3:3" x14ac:dyDescent="0.2">
      <c r="C710" s="37"/>
    </row>
    <row r="711" spans="3:3" x14ac:dyDescent="0.2">
      <c r="C711" s="37"/>
    </row>
    <row r="712" spans="3:3" x14ac:dyDescent="0.2">
      <c r="C712" s="37"/>
    </row>
    <row r="713" spans="3:3" x14ac:dyDescent="0.2">
      <c r="C713" s="37"/>
    </row>
    <row r="714" spans="3:3" x14ac:dyDescent="0.2">
      <c r="C714" s="37"/>
    </row>
    <row r="715" spans="3:3" x14ac:dyDescent="0.2">
      <c r="C715" s="37"/>
    </row>
    <row r="716" spans="3:3" x14ac:dyDescent="0.2">
      <c r="C716" s="37"/>
    </row>
    <row r="717" spans="3:3" x14ac:dyDescent="0.2">
      <c r="C717" s="37"/>
    </row>
    <row r="718" spans="3:3" x14ac:dyDescent="0.2">
      <c r="C718" s="37"/>
    </row>
    <row r="719" spans="3:3" x14ac:dyDescent="0.2">
      <c r="C719" s="37"/>
    </row>
    <row r="720" spans="3:3" x14ac:dyDescent="0.2">
      <c r="C720" s="37"/>
    </row>
    <row r="721" spans="3:3" x14ac:dyDescent="0.2">
      <c r="C721" s="37"/>
    </row>
    <row r="722" spans="3:3" x14ac:dyDescent="0.2">
      <c r="C722" s="37"/>
    </row>
    <row r="723" spans="3:3" x14ac:dyDescent="0.2">
      <c r="C723" s="37"/>
    </row>
    <row r="724" spans="3:3" x14ac:dyDescent="0.2">
      <c r="C724" s="37"/>
    </row>
    <row r="725" spans="3:3" x14ac:dyDescent="0.2">
      <c r="C725" s="37"/>
    </row>
    <row r="726" spans="3:3" x14ac:dyDescent="0.2">
      <c r="C726" s="37"/>
    </row>
    <row r="727" spans="3:3" x14ac:dyDescent="0.2">
      <c r="C727" s="37"/>
    </row>
    <row r="728" spans="3:3" x14ac:dyDescent="0.2">
      <c r="C728" s="37"/>
    </row>
    <row r="729" spans="3:3" x14ac:dyDescent="0.2">
      <c r="C729" s="37"/>
    </row>
    <row r="730" spans="3:3" x14ac:dyDescent="0.2">
      <c r="C730" s="37"/>
    </row>
    <row r="731" spans="3:3" x14ac:dyDescent="0.2">
      <c r="C731" s="37"/>
    </row>
    <row r="732" spans="3:3" x14ac:dyDescent="0.2">
      <c r="C732" s="37"/>
    </row>
    <row r="733" spans="3:3" x14ac:dyDescent="0.2">
      <c r="C733" s="37"/>
    </row>
    <row r="734" spans="3:3" x14ac:dyDescent="0.2">
      <c r="C734" s="37"/>
    </row>
    <row r="735" spans="3:3" x14ac:dyDescent="0.2">
      <c r="C735" s="37"/>
    </row>
    <row r="736" spans="3:3" x14ac:dyDescent="0.2">
      <c r="C736" s="37"/>
    </row>
    <row r="737" spans="3:3" x14ac:dyDescent="0.2">
      <c r="C737" s="37"/>
    </row>
    <row r="738" spans="3:3" x14ac:dyDescent="0.2">
      <c r="C738" s="37"/>
    </row>
    <row r="739" spans="3:3" x14ac:dyDescent="0.2">
      <c r="C739" s="37"/>
    </row>
    <row r="740" spans="3:3" x14ac:dyDescent="0.2">
      <c r="C740" s="37"/>
    </row>
    <row r="741" spans="3:3" x14ac:dyDescent="0.2">
      <c r="C741" s="37"/>
    </row>
    <row r="742" spans="3:3" x14ac:dyDescent="0.2">
      <c r="C742" s="37"/>
    </row>
    <row r="743" spans="3:3" x14ac:dyDescent="0.2">
      <c r="C743" s="37"/>
    </row>
    <row r="744" spans="3:3" x14ac:dyDescent="0.2">
      <c r="C744" s="37"/>
    </row>
    <row r="745" spans="3:3" x14ac:dyDescent="0.2">
      <c r="C745" s="37"/>
    </row>
    <row r="746" spans="3:3" x14ac:dyDescent="0.2">
      <c r="C746" s="37"/>
    </row>
    <row r="747" spans="3:3" x14ac:dyDescent="0.2">
      <c r="C747" s="37"/>
    </row>
    <row r="748" spans="3:3" x14ac:dyDescent="0.2">
      <c r="C748" s="37"/>
    </row>
    <row r="749" spans="3:3" x14ac:dyDescent="0.2">
      <c r="C749" s="37"/>
    </row>
    <row r="750" spans="3:3" x14ac:dyDescent="0.2">
      <c r="C750" s="37"/>
    </row>
    <row r="751" spans="3:3" x14ac:dyDescent="0.2">
      <c r="C751" s="37"/>
    </row>
    <row r="752" spans="3:3" x14ac:dyDescent="0.2">
      <c r="C752" s="37"/>
    </row>
    <row r="753" spans="3:3" x14ac:dyDescent="0.2">
      <c r="C753" s="37"/>
    </row>
    <row r="754" spans="3:3" x14ac:dyDescent="0.2">
      <c r="C754" s="37"/>
    </row>
    <row r="755" spans="3:3" x14ac:dyDescent="0.2">
      <c r="C755" s="37"/>
    </row>
    <row r="756" spans="3:3" x14ac:dyDescent="0.2">
      <c r="C756" s="37"/>
    </row>
    <row r="757" spans="3:3" x14ac:dyDescent="0.2">
      <c r="C757" s="37"/>
    </row>
    <row r="758" spans="3:3" x14ac:dyDescent="0.2">
      <c r="C758" s="37"/>
    </row>
    <row r="759" spans="3:3" x14ac:dyDescent="0.2">
      <c r="C759" s="37"/>
    </row>
    <row r="760" spans="3:3" x14ac:dyDescent="0.2">
      <c r="C760" s="37"/>
    </row>
    <row r="761" spans="3:3" x14ac:dyDescent="0.2">
      <c r="C761" s="37"/>
    </row>
    <row r="762" spans="3:3" x14ac:dyDescent="0.2">
      <c r="C762" s="37"/>
    </row>
    <row r="763" spans="3:3" x14ac:dyDescent="0.2">
      <c r="C763" s="37"/>
    </row>
    <row r="764" spans="3:3" x14ac:dyDescent="0.2">
      <c r="C764" s="37"/>
    </row>
    <row r="765" spans="3:3" x14ac:dyDescent="0.2">
      <c r="C765" s="37"/>
    </row>
    <row r="766" spans="3:3" x14ac:dyDescent="0.2">
      <c r="C766" s="37"/>
    </row>
    <row r="767" spans="3:3" x14ac:dyDescent="0.2">
      <c r="C767" s="37"/>
    </row>
    <row r="768" spans="3:3" x14ac:dyDescent="0.2">
      <c r="C768" s="37"/>
    </row>
    <row r="769" spans="3:3" x14ac:dyDescent="0.2">
      <c r="C769" s="37"/>
    </row>
    <row r="770" spans="3:3" x14ac:dyDescent="0.2">
      <c r="C770" s="37"/>
    </row>
    <row r="771" spans="3:3" x14ac:dyDescent="0.2">
      <c r="C771" s="37"/>
    </row>
    <row r="772" spans="3:3" x14ac:dyDescent="0.2">
      <c r="C772" s="37"/>
    </row>
    <row r="773" spans="3:3" x14ac:dyDescent="0.2">
      <c r="C773" s="37"/>
    </row>
    <row r="774" spans="3:3" x14ac:dyDescent="0.2">
      <c r="C774" s="37"/>
    </row>
    <row r="775" spans="3:3" x14ac:dyDescent="0.2">
      <c r="C775" s="37"/>
    </row>
    <row r="776" spans="3:3" x14ac:dyDescent="0.2">
      <c r="C776" s="37"/>
    </row>
    <row r="777" spans="3:3" x14ac:dyDescent="0.2">
      <c r="C777" s="37"/>
    </row>
    <row r="778" spans="3:3" x14ac:dyDescent="0.2">
      <c r="C778" s="37"/>
    </row>
    <row r="779" spans="3:3" x14ac:dyDescent="0.2">
      <c r="C779" s="37"/>
    </row>
    <row r="780" spans="3:3" x14ac:dyDescent="0.2">
      <c r="C780" s="37"/>
    </row>
    <row r="781" spans="3:3" x14ac:dyDescent="0.2">
      <c r="C781" s="37"/>
    </row>
    <row r="782" spans="3:3" x14ac:dyDescent="0.2">
      <c r="C782" s="37"/>
    </row>
    <row r="783" spans="3:3" x14ac:dyDescent="0.2">
      <c r="C783" s="37"/>
    </row>
    <row r="784" spans="3:3" x14ac:dyDescent="0.2">
      <c r="C784" s="37"/>
    </row>
    <row r="785" spans="3:3" x14ac:dyDescent="0.2">
      <c r="C785" s="37"/>
    </row>
    <row r="786" spans="3:3" x14ac:dyDescent="0.2">
      <c r="C786" s="37"/>
    </row>
    <row r="787" spans="3:3" x14ac:dyDescent="0.2">
      <c r="C787" s="37"/>
    </row>
    <row r="788" spans="3:3" x14ac:dyDescent="0.2">
      <c r="C788" s="37"/>
    </row>
    <row r="789" spans="3:3" x14ac:dyDescent="0.2">
      <c r="C789" s="37"/>
    </row>
    <row r="790" spans="3:3" x14ac:dyDescent="0.2">
      <c r="C790" s="37"/>
    </row>
    <row r="791" spans="3:3" x14ac:dyDescent="0.2">
      <c r="C791" s="37"/>
    </row>
    <row r="792" spans="3:3" x14ac:dyDescent="0.2">
      <c r="C792" s="37"/>
    </row>
    <row r="793" spans="3:3" x14ac:dyDescent="0.2">
      <c r="C793" s="37"/>
    </row>
    <row r="794" spans="3:3" x14ac:dyDescent="0.2">
      <c r="C794" s="37"/>
    </row>
    <row r="795" spans="3:3" x14ac:dyDescent="0.2">
      <c r="C795" s="37"/>
    </row>
    <row r="796" spans="3:3" x14ac:dyDescent="0.2">
      <c r="C796" s="37"/>
    </row>
    <row r="797" spans="3:3" x14ac:dyDescent="0.2">
      <c r="C797" s="37"/>
    </row>
    <row r="798" spans="3:3" x14ac:dyDescent="0.2">
      <c r="C798" s="37"/>
    </row>
    <row r="799" spans="3:3" x14ac:dyDescent="0.2">
      <c r="C799" s="37"/>
    </row>
    <row r="800" spans="3:3" x14ac:dyDescent="0.2">
      <c r="C800" s="37"/>
    </row>
    <row r="801" spans="3:3" x14ac:dyDescent="0.2">
      <c r="C801" s="37"/>
    </row>
    <row r="802" spans="3:3" x14ac:dyDescent="0.2">
      <c r="C802" s="37"/>
    </row>
    <row r="803" spans="3:3" x14ac:dyDescent="0.2">
      <c r="C803" s="37"/>
    </row>
    <row r="804" spans="3:3" x14ac:dyDescent="0.2">
      <c r="C804" s="37"/>
    </row>
    <row r="805" spans="3:3" x14ac:dyDescent="0.2">
      <c r="C805" s="37"/>
    </row>
    <row r="806" spans="3:3" x14ac:dyDescent="0.2">
      <c r="C806" s="37"/>
    </row>
    <row r="807" spans="3:3" x14ac:dyDescent="0.2">
      <c r="C807" s="37"/>
    </row>
    <row r="808" spans="3:3" x14ac:dyDescent="0.2">
      <c r="C808" s="37"/>
    </row>
    <row r="809" spans="3:3" x14ac:dyDescent="0.2">
      <c r="C809" s="37"/>
    </row>
    <row r="810" spans="3:3" x14ac:dyDescent="0.2">
      <c r="C810" s="37"/>
    </row>
    <row r="811" spans="3:3" x14ac:dyDescent="0.2">
      <c r="C811" s="37"/>
    </row>
    <row r="812" spans="3:3" x14ac:dyDescent="0.2">
      <c r="C812" s="37"/>
    </row>
    <row r="813" spans="3:3" x14ac:dyDescent="0.2">
      <c r="C813" s="37"/>
    </row>
    <row r="814" spans="3:3" x14ac:dyDescent="0.2">
      <c r="C814" s="37"/>
    </row>
    <row r="815" spans="3:3" x14ac:dyDescent="0.2">
      <c r="C815" s="37"/>
    </row>
    <row r="816" spans="3:3" x14ac:dyDescent="0.2">
      <c r="C816" s="37"/>
    </row>
    <row r="817" spans="3:3" x14ac:dyDescent="0.2">
      <c r="C817" s="37"/>
    </row>
    <row r="818" spans="3:3" x14ac:dyDescent="0.2">
      <c r="C818" s="37"/>
    </row>
    <row r="819" spans="3:3" x14ac:dyDescent="0.2">
      <c r="C819" s="37"/>
    </row>
    <row r="820" spans="3:3" x14ac:dyDescent="0.2">
      <c r="C820" s="37"/>
    </row>
    <row r="821" spans="3:3" x14ac:dyDescent="0.2">
      <c r="C821" s="37"/>
    </row>
    <row r="822" spans="3:3" x14ac:dyDescent="0.2">
      <c r="C822" s="37"/>
    </row>
    <row r="823" spans="3:3" x14ac:dyDescent="0.2">
      <c r="C823" s="37"/>
    </row>
    <row r="824" spans="3:3" x14ac:dyDescent="0.2">
      <c r="C824" s="37"/>
    </row>
    <row r="825" spans="3:3" x14ac:dyDescent="0.2">
      <c r="C825" s="37"/>
    </row>
    <row r="826" spans="3:3" x14ac:dyDescent="0.2">
      <c r="C826" s="37"/>
    </row>
    <row r="827" spans="3:3" x14ac:dyDescent="0.2">
      <c r="C827" s="37"/>
    </row>
    <row r="828" spans="3:3" x14ac:dyDescent="0.2">
      <c r="C828" s="37"/>
    </row>
    <row r="829" spans="3:3" x14ac:dyDescent="0.2">
      <c r="C829" s="37"/>
    </row>
    <row r="830" spans="3:3" x14ac:dyDescent="0.2">
      <c r="C830" s="37"/>
    </row>
    <row r="831" spans="3:3" x14ac:dyDescent="0.2">
      <c r="C831" s="37"/>
    </row>
    <row r="832" spans="3:3" x14ac:dyDescent="0.2">
      <c r="C832" s="37"/>
    </row>
    <row r="833" spans="3:3" x14ac:dyDescent="0.2">
      <c r="C833" s="37"/>
    </row>
    <row r="834" spans="3:3" x14ac:dyDescent="0.2">
      <c r="C834" s="37"/>
    </row>
    <row r="835" spans="3:3" x14ac:dyDescent="0.2">
      <c r="C835" s="37"/>
    </row>
    <row r="836" spans="3:3" x14ac:dyDescent="0.2">
      <c r="C836" s="37"/>
    </row>
    <row r="837" spans="3:3" x14ac:dyDescent="0.2">
      <c r="C837" s="37"/>
    </row>
    <row r="838" spans="3:3" x14ac:dyDescent="0.2">
      <c r="C838" s="37"/>
    </row>
    <row r="839" spans="3:3" x14ac:dyDescent="0.2">
      <c r="C839" s="37"/>
    </row>
    <row r="840" spans="3:3" x14ac:dyDescent="0.2">
      <c r="C840" s="37"/>
    </row>
    <row r="841" spans="3:3" x14ac:dyDescent="0.2">
      <c r="C841" s="37"/>
    </row>
    <row r="842" spans="3:3" x14ac:dyDescent="0.2">
      <c r="C842" s="37"/>
    </row>
    <row r="843" spans="3:3" x14ac:dyDescent="0.2">
      <c r="C843" s="37"/>
    </row>
    <row r="844" spans="3:3" x14ac:dyDescent="0.2">
      <c r="C844" s="37"/>
    </row>
    <row r="845" spans="3:3" x14ac:dyDescent="0.2">
      <c r="C845" s="37"/>
    </row>
    <row r="846" spans="3:3" x14ac:dyDescent="0.2">
      <c r="C846" s="37"/>
    </row>
    <row r="847" spans="3:3" x14ac:dyDescent="0.2">
      <c r="C847" s="37"/>
    </row>
    <row r="848" spans="3:3" x14ac:dyDescent="0.2">
      <c r="C848" s="37"/>
    </row>
    <row r="849" spans="3:3" x14ac:dyDescent="0.2">
      <c r="C849" s="37"/>
    </row>
    <row r="850" spans="3:3" x14ac:dyDescent="0.2">
      <c r="C850" s="37"/>
    </row>
    <row r="851" spans="3:3" x14ac:dyDescent="0.2">
      <c r="C851" s="37"/>
    </row>
    <row r="852" spans="3:3" x14ac:dyDescent="0.2">
      <c r="C852" s="37"/>
    </row>
    <row r="853" spans="3:3" x14ac:dyDescent="0.2">
      <c r="C853" s="37"/>
    </row>
    <row r="854" spans="3:3" x14ac:dyDescent="0.2">
      <c r="C854" s="37"/>
    </row>
    <row r="855" spans="3:3" x14ac:dyDescent="0.2">
      <c r="C855" s="37"/>
    </row>
    <row r="856" spans="3:3" x14ac:dyDescent="0.2">
      <c r="C856" s="37"/>
    </row>
    <row r="857" spans="3:3" x14ac:dyDescent="0.2">
      <c r="C857" s="37"/>
    </row>
    <row r="858" spans="3:3" x14ac:dyDescent="0.2">
      <c r="C858" s="37"/>
    </row>
    <row r="859" spans="3:3" x14ac:dyDescent="0.2">
      <c r="C859" s="37"/>
    </row>
    <row r="860" spans="3:3" x14ac:dyDescent="0.2">
      <c r="C860" s="37"/>
    </row>
    <row r="861" spans="3:3" x14ac:dyDescent="0.2">
      <c r="C861" s="37"/>
    </row>
    <row r="862" spans="3:3" x14ac:dyDescent="0.2">
      <c r="C862" s="37"/>
    </row>
    <row r="863" spans="3:3" x14ac:dyDescent="0.2">
      <c r="C863" s="37"/>
    </row>
    <row r="864" spans="3:3" x14ac:dyDescent="0.2">
      <c r="C864" s="37"/>
    </row>
    <row r="865" spans="3:3" x14ac:dyDescent="0.2">
      <c r="C865" s="37"/>
    </row>
    <row r="866" spans="3:3" x14ac:dyDescent="0.2">
      <c r="C866" s="37"/>
    </row>
    <row r="867" spans="3:3" x14ac:dyDescent="0.2">
      <c r="C867" s="37"/>
    </row>
    <row r="868" spans="3:3" x14ac:dyDescent="0.2">
      <c r="C868" s="37"/>
    </row>
    <row r="869" spans="3:3" x14ac:dyDescent="0.2">
      <c r="C869" s="37"/>
    </row>
    <row r="870" spans="3:3" x14ac:dyDescent="0.2">
      <c r="C870" s="37"/>
    </row>
    <row r="871" spans="3:3" x14ac:dyDescent="0.2">
      <c r="C871" s="37"/>
    </row>
    <row r="872" spans="3:3" x14ac:dyDescent="0.2">
      <c r="C872" s="37"/>
    </row>
    <row r="873" spans="3:3" x14ac:dyDescent="0.2">
      <c r="C873" s="37"/>
    </row>
    <row r="874" spans="3:3" x14ac:dyDescent="0.2">
      <c r="C874" s="37"/>
    </row>
    <row r="875" spans="3:3" x14ac:dyDescent="0.2">
      <c r="C875" s="37"/>
    </row>
    <row r="876" spans="3:3" x14ac:dyDescent="0.2">
      <c r="C876" s="37"/>
    </row>
    <row r="877" spans="3:3" x14ac:dyDescent="0.2">
      <c r="C877" s="37"/>
    </row>
    <row r="878" spans="3:3" x14ac:dyDescent="0.2">
      <c r="C878" s="37"/>
    </row>
    <row r="879" spans="3:3" x14ac:dyDescent="0.2">
      <c r="C879" s="37"/>
    </row>
    <row r="880" spans="3:3" x14ac:dyDescent="0.2">
      <c r="C880" s="37"/>
    </row>
    <row r="881" spans="3:3" x14ac:dyDescent="0.2">
      <c r="C881" s="37"/>
    </row>
    <row r="882" spans="3:3" x14ac:dyDescent="0.2">
      <c r="C882" s="37"/>
    </row>
    <row r="883" spans="3:3" x14ac:dyDescent="0.2">
      <c r="C883" s="37"/>
    </row>
    <row r="884" spans="3:3" x14ac:dyDescent="0.2">
      <c r="C884" s="37"/>
    </row>
    <row r="885" spans="3:3" x14ac:dyDescent="0.2">
      <c r="C885" s="37"/>
    </row>
    <row r="886" spans="3:3" x14ac:dyDescent="0.2">
      <c r="C886" s="37"/>
    </row>
    <row r="887" spans="3:3" x14ac:dyDescent="0.2">
      <c r="C887" s="37"/>
    </row>
    <row r="888" spans="3:3" x14ac:dyDescent="0.2">
      <c r="C888" s="37"/>
    </row>
    <row r="889" spans="3:3" x14ac:dyDescent="0.2">
      <c r="C889" s="37"/>
    </row>
    <row r="890" spans="3:3" x14ac:dyDescent="0.2">
      <c r="C890" s="37"/>
    </row>
    <row r="891" spans="3:3" x14ac:dyDescent="0.2">
      <c r="C891" s="37"/>
    </row>
    <row r="892" spans="3:3" x14ac:dyDescent="0.2">
      <c r="C892" s="37"/>
    </row>
    <row r="893" spans="3:3" x14ac:dyDescent="0.2">
      <c r="C893" s="37"/>
    </row>
    <row r="894" spans="3:3" x14ac:dyDescent="0.2">
      <c r="C894" s="37"/>
    </row>
    <row r="895" spans="3:3" x14ac:dyDescent="0.2">
      <c r="C895" s="37"/>
    </row>
    <row r="896" spans="3:3" x14ac:dyDescent="0.2">
      <c r="C896" s="37"/>
    </row>
    <row r="897" spans="3:3" x14ac:dyDescent="0.2">
      <c r="C897" s="37"/>
    </row>
    <row r="898" spans="3:3" x14ac:dyDescent="0.2">
      <c r="C898" s="37"/>
    </row>
    <row r="899" spans="3:3" x14ac:dyDescent="0.2">
      <c r="C899" s="37"/>
    </row>
    <row r="900" spans="3:3" x14ac:dyDescent="0.2">
      <c r="C900" s="37"/>
    </row>
    <row r="901" spans="3:3" x14ac:dyDescent="0.2">
      <c r="C901" s="37"/>
    </row>
    <row r="902" spans="3:3" x14ac:dyDescent="0.2">
      <c r="C902" s="37"/>
    </row>
    <row r="903" spans="3:3" x14ac:dyDescent="0.2">
      <c r="C903" s="37"/>
    </row>
    <row r="904" spans="3:3" x14ac:dyDescent="0.2">
      <c r="C904" s="37"/>
    </row>
    <row r="905" spans="3:3" x14ac:dyDescent="0.2">
      <c r="C905" s="37"/>
    </row>
    <row r="906" spans="3:3" x14ac:dyDescent="0.2">
      <c r="C906" s="37"/>
    </row>
    <row r="907" spans="3:3" x14ac:dyDescent="0.2">
      <c r="C907" s="37"/>
    </row>
    <row r="908" spans="3:3" x14ac:dyDescent="0.2">
      <c r="C908" s="37"/>
    </row>
    <row r="909" spans="3:3" x14ac:dyDescent="0.2">
      <c r="C909" s="37"/>
    </row>
    <row r="910" spans="3:3" x14ac:dyDescent="0.2">
      <c r="C910" s="37"/>
    </row>
    <row r="911" spans="3:3" x14ac:dyDescent="0.2">
      <c r="C911" s="37"/>
    </row>
    <row r="912" spans="3:3" x14ac:dyDescent="0.2">
      <c r="C912" s="37"/>
    </row>
    <row r="913" spans="3:3" x14ac:dyDescent="0.2">
      <c r="C913" s="37"/>
    </row>
    <row r="914" spans="3:3" x14ac:dyDescent="0.2">
      <c r="C914" s="37"/>
    </row>
    <row r="915" spans="3:3" x14ac:dyDescent="0.2">
      <c r="C915" s="37"/>
    </row>
    <row r="916" spans="3:3" x14ac:dyDescent="0.2">
      <c r="C916" s="37"/>
    </row>
    <row r="917" spans="3:3" x14ac:dyDescent="0.2">
      <c r="C917" s="37"/>
    </row>
    <row r="918" spans="3:3" x14ac:dyDescent="0.2">
      <c r="C918" s="37"/>
    </row>
    <row r="919" spans="3:3" x14ac:dyDescent="0.2">
      <c r="C919" s="37"/>
    </row>
    <row r="920" spans="3:3" x14ac:dyDescent="0.2">
      <c r="C920" s="37"/>
    </row>
    <row r="921" spans="3:3" x14ac:dyDescent="0.2">
      <c r="C921" s="37"/>
    </row>
    <row r="922" spans="3:3" x14ac:dyDescent="0.2">
      <c r="C922" s="37"/>
    </row>
    <row r="923" spans="3:3" x14ac:dyDescent="0.2">
      <c r="C923" s="37"/>
    </row>
    <row r="924" spans="3:3" x14ac:dyDescent="0.2">
      <c r="C924" s="37"/>
    </row>
    <row r="925" spans="3:3" x14ac:dyDescent="0.2">
      <c r="C925" s="37"/>
    </row>
    <row r="926" spans="3:3" x14ac:dyDescent="0.2">
      <c r="C926" s="37"/>
    </row>
    <row r="927" spans="3:3" x14ac:dyDescent="0.2">
      <c r="C927" s="37"/>
    </row>
    <row r="928" spans="3:3" x14ac:dyDescent="0.2">
      <c r="C928" s="37"/>
    </row>
    <row r="929" spans="3:3" x14ac:dyDescent="0.2">
      <c r="C929" s="37"/>
    </row>
    <row r="930" spans="3:3" x14ac:dyDescent="0.2">
      <c r="C930" s="37"/>
    </row>
    <row r="931" spans="3:3" x14ac:dyDescent="0.2">
      <c r="C931" s="37"/>
    </row>
    <row r="932" spans="3:3" x14ac:dyDescent="0.2">
      <c r="C932" s="37"/>
    </row>
    <row r="933" spans="3:3" x14ac:dyDescent="0.2">
      <c r="C933" s="37"/>
    </row>
    <row r="934" spans="3:3" x14ac:dyDescent="0.2">
      <c r="C934" s="37"/>
    </row>
    <row r="935" spans="3:3" x14ac:dyDescent="0.2">
      <c r="C935" s="37"/>
    </row>
    <row r="936" spans="3:3" x14ac:dyDescent="0.2">
      <c r="C936" s="37"/>
    </row>
    <row r="937" spans="3:3" x14ac:dyDescent="0.2">
      <c r="C937" s="37"/>
    </row>
    <row r="938" spans="3:3" x14ac:dyDescent="0.2">
      <c r="C938" s="37"/>
    </row>
    <row r="939" spans="3:3" x14ac:dyDescent="0.2">
      <c r="C939" s="37"/>
    </row>
    <row r="940" spans="3:3" x14ac:dyDescent="0.2">
      <c r="C940" s="37"/>
    </row>
    <row r="941" spans="3:3" x14ac:dyDescent="0.2">
      <c r="C941" s="37"/>
    </row>
    <row r="942" spans="3:3" x14ac:dyDescent="0.2">
      <c r="C942" s="37"/>
    </row>
    <row r="943" spans="3:3" x14ac:dyDescent="0.2">
      <c r="C943" s="37"/>
    </row>
    <row r="944" spans="3:3" x14ac:dyDescent="0.2">
      <c r="C944" s="37"/>
    </row>
    <row r="945" spans="3:3" x14ac:dyDescent="0.2">
      <c r="C945" s="37"/>
    </row>
    <row r="946" spans="3:3" x14ac:dyDescent="0.2">
      <c r="C946" s="37"/>
    </row>
    <row r="947" spans="3:3" x14ac:dyDescent="0.2">
      <c r="C947" s="37"/>
    </row>
    <row r="948" spans="3:3" x14ac:dyDescent="0.2">
      <c r="C948" s="37"/>
    </row>
    <row r="949" spans="3:3" x14ac:dyDescent="0.2">
      <c r="C949" s="37"/>
    </row>
    <row r="950" spans="3:3" x14ac:dyDescent="0.2">
      <c r="C950" s="37"/>
    </row>
    <row r="951" spans="3:3" x14ac:dyDescent="0.2">
      <c r="C951" s="37"/>
    </row>
    <row r="952" spans="3:3" x14ac:dyDescent="0.2">
      <c r="C952" s="37"/>
    </row>
    <row r="953" spans="3:3" x14ac:dyDescent="0.2">
      <c r="C953" s="37"/>
    </row>
    <row r="954" spans="3:3" x14ac:dyDescent="0.2">
      <c r="C954" s="37"/>
    </row>
    <row r="955" spans="3:3" x14ac:dyDescent="0.2">
      <c r="C955" s="37"/>
    </row>
    <row r="956" spans="3:3" x14ac:dyDescent="0.2">
      <c r="C956" s="37"/>
    </row>
    <row r="957" spans="3:3" x14ac:dyDescent="0.2">
      <c r="C957" s="37"/>
    </row>
    <row r="958" spans="3:3" x14ac:dyDescent="0.2">
      <c r="C958" s="37"/>
    </row>
    <row r="959" spans="3:3" x14ac:dyDescent="0.2">
      <c r="C959" s="37"/>
    </row>
    <row r="960" spans="3:3" x14ac:dyDescent="0.2">
      <c r="C960" s="37"/>
    </row>
    <row r="961" spans="3:3" x14ac:dyDescent="0.2">
      <c r="C961" s="37"/>
    </row>
    <row r="962" spans="3:3" x14ac:dyDescent="0.2">
      <c r="C962" s="37"/>
    </row>
    <row r="963" spans="3:3" x14ac:dyDescent="0.2">
      <c r="C963" s="37"/>
    </row>
    <row r="964" spans="3:3" x14ac:dyDescent="0.2">
      <c r="C964" s="37"/>
    </row>
    <row r="965" spans="3:3" x14ac:dyDescent="0.2">
      <c r="C965" s="37"/>
    </row>
    <row r="966" spans="3:3" x14ac:dyDescent="0.2">
      <c r="C966" s="37"/>
    </row>
    <row r="967" spans="3:3" x14ac:dyDescent="0.2">
      <c r="C967" s="37"/>
    </row>
    <row r="968" spans="3:3" x14ac:dyDescent="0.2">
      <c r="C968" s="37"/>
    </row>
    <row r="969" spans="3:3" x14ac:dyDescent="0.2">
      <c r="C969" s="37"/>
    </row>
    <row r="970" spans="3:3" x14ac:dyDescent="0.2">
      <c r="C970" s="37"/>
    </row>
    <row r="971" spans="3:3" x14ac:dyDescent="0.2">
      <c r="C971" s="37"/>
    </row>
    <row r="972" spans="3:3" x14ac:dyDescent="0.2">
      <c r="C972" s="37"/>
    </row>
    <row r="973" spans="3:3" x14ac:dyDescent="0.2">
      <c r="C973" s="37"/>
    </row>
    <row r="974" spans="3:3" x14ac:dyDescent="0.2">
      <c r="C974" s="37"/>
    </row>
    <row r="975" spans="3:3" x14ac:dyDescent="0.2">
      <c r="C975" s="37"/>
    </row>
    <row r="976" spans="3:3" x14ac:dyDescent="0.2">
      <c r="C976" s="37"/>
    </row>
    <row r="977" spans="3:3" x14ac:dyDescent="0.2">
      <c r="C977" s="37"/>
    </row>
    <row r="978" spans="3:3" x14ac:dyDescent="0.2">
      <c r="C978" s="37"/>
    </row>
    <row r="979" spans="3:3" x14ac:dyDescent="0.2">
      <c r="C979" s="37"/>
    </row>
    <row r="980" spans="3:3" x14ac:dyDescent="0.2">
      <c r="C980" s="37"/>
    </row>
    <row r="981" spans="3:3" x14ac:dyDescent="0.2">
      <c r="C981" s="37"/>
    </row>
    <row r="982" spans="3:3" x14ac:dyDescent="0.2">
      <c r="C982" s="37"/>
    </row>
    <row r="983" spans="3:3" x14ac:dyDescent="0.2">
      <c r="C983" s="37"/>
    </row>
    <row r="984" spans="3:3" x14ac:dyDescent="0.2">
      <c r="C984" s="37"/>
    </row>
    <row r="985" spans="3:3" x14ac:dyDescent="0.2">
      <c r="C985" s="37"/>
    </row>
    <row r="986" spans="3:3" x14ac:dyDescent="0.2">
      <c r="C986" s="37"/>
    </row>
    <row r="987" spans="3:3" x14ac:dyDescent="0.2">
      <c r="C987" s="37"/>
    </row>
    <row r="988" spans="3:3" x14ac:dyDescent="0.2">
      <c r="C988" s="37"/>
    </row>
    <row r="989" spans="3:3" x14ac:dyDescent="0.2">
      <c r="C989" s="37"/>
    </row>
    <row r="990" spans="3:3" x14ac:dyDescent="0.2">
      <c r="C990" s="37"/>
    </row>
    <row r="991" spans="3:3" x14ac:dyDescent="0.2">
      <c r="C991" s="37"/>
    </row>
    <row r="992" spans="3:3" x14ac:dyDescent="0.2">
      <c r="C992" s="37"/>
    </row>
    <row r="993" spans="3:3" x14ac:dyDescent="0.2">
      <c r="C993" s="37"/>
    </row>
    <row r="994" spans="3:3" x14ac:dyDescent="0.2">
      <c r="C994" s="37"/>
    </row>
    <row r="995" spans="3:3" x14ac:dyDescent="0.2">
      <c r="C995" s="37"/>
    </row>
    <row r="996" spans="3:3" x14ac:dyDescent="0.2">
      <c r="C996" s="37"/>
    </row>
    <row r="997" spans="3:3" x14ac:dyDescent="0.2">
      <c r="C997" s="37"/>
    </row>
    <row r="998" spans="3:3" x14ac:dyDescent="0.2">
      <c r="C998" s="37"/>
    </row>
    <row r="999" spans="3:3" x14ac:dyDescent="0.2">
      <c r="C999" s="37"/>
    </row>
    <row r="1000" spans="3:3" x14ac:dyDescent="0.2">
      <c r="C1000" s="37"/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3" width="13.83203125" customWidth="1"/>
    <col min="4" max="4" width="14.83203125" customWidth="1"/>
    <col min="5" max="5" width="10.5" customWidth="1"/>
    <col min="6" max="6" width="11.33203125" customWidth="1"/>
    <col min="7" max="26" width="10.5" customWidth="1"/>
  </cols>
  <sheetData>
    <row r="1" spans="1:6" ht="15.75" customHeight="1" x14ac:dyDescent="0.2">
      <c r="A1" s="1"/>
      <c r="B1" s="2">
        <v>42370</v>
      </c>
      <c r="C1" s="2">
        <v>42740</v>
      </c>
      <c r="D1" s="2">
        <v>44196</v>
      </c>
    </row>
    <row r="2" spans="1:6" ht="15.75" customHeight="1" x14ac:dyDescent="0.2">
      <c r="A2" s="3" t="s">
        <v>0</v>
      </c>
      <c r="B2" s="4" t="str">
        <f t="shared" ref="B2:D2" si="0">$A$20</f>
        <v>Acme</v>
      </c>
      <c r="C2" s="4" t="str">
        <f t="shared" si="0"/>
        <v>Acme</v>
      </c>
      <c r="D2" s="4" t="str">
        <f t="shared" si="0"/>
        <v>Acme</v>
      </c>
    </row>
    <row r="3" spans="1:6" ht="15.75" customHeight="1" x14ac:dyDescent="0.2">
      <c r="A3" s="3" t="s">
        <v>1</v>
      </c>
      <c r="B3" s="5" t="s">
        <v>2</v>
      </c>
      <c r="C3" s="43" t="s">
        <v>69</v>
      </c>
      <c r="D3" s="5" t="s">
        <v>3</v>
      </c>
    </row>
    <row r="4" spans="1:6" ht="15.75" customHeight="1" x14ac:dyDescent="0.2">
      <c r="A4" s="3" t="s">
        <v>5</v>
      </c>
      <c r="B4" s="7" t="s">
        <v>7</v>
      </c>
      <c r="C4" s="7"/>
      <c r="D4" s="7" t="s">
        <v>7</v>
      </c>
    </row>
    <row r="5" spans="1:6" ht="15.75" customHeight="1" x14ac:dyDescent="0.2">
      <c r="A5" s="3" t="s">
        <v>9</v>
      </c>
      <c r="B5" s="8"/>
      <c r="C5" s="7"/>
      <c r="D5" s="7"/>
    </row>
    <row r="6" spans="1:6" ht="15.75" customHeight="1" x14ac:dyDescent="0.2">
      <c r="A6" s="3" t="s">
        <v>10</v>
      </c>
      <c r="B6" s="9">
        <f>-(11000)</f>
        <v>-11000</v>
      </c>
      <c r="C6" s="9">
        <v>0</v>
      </c>
      <c r="D6" s="9">
        <f>-30000</f>
        <v>-30000</v>
      </c>
    </row>
    <row r="7" spans="1:6" ht="15.75" customHeight="1" x14ac:dyDescent="0.2">
      <c r="A7" s="3" t="s">
        <v>11</v>
      </c>
      <c r="B7" s="9">
        <f>-(10000)</f>
        <v>-10000</v>
      </c>
      <c r="C7" s="9">
        <v>0</v>
      </c>
      <c r="D7" s="9">
        <f>-25000</f>
        <v>-25000</v>
      </c>
    </row>
    <row r="8" spans="1:6" ht="15.75" customHeight="1" x14ac:dyDescent="0.2">
      <c r="A8" s="3" t="s">
        <v>12</v>
      </c>
      <c r="B8" s="10">
        <f>1-B7/B6</f>
        <v>9.0909090909090939E-2</v>
      </c>
      <c r="C8" s="10">
        <f>IF(C6&lt;0,1-C7/C6,0)</f>
        <v>0</v>
      </c>
      <c r="D8" s="10">
        <f>1-D7/D6</f>
        <v>0.16666666666666663</v>
      </c>
    </row>
    <row r="9" spans="1:6" ht="15.75" customHeight="1" x14ac:dyDescent="0.2">
      <c r="A9" s="3" t="s">
        <v>13</v>
      </c>
      <c r="B9" s="13">
        <v>0.01</v>
      </c>
      <c r="C9" s="13"/>
      <c r="D9" s="13">
        <v>0.02</v>
      </c>
    </row>
    <row r="10" spans="1:6" ht="15.75" customHeight="1" x14ac:dyDescent="0.2">
      <c r="A10" s="3" t="s">
        <v>14</v>
      </c>
      <c r="B10" s="12">
        <f>IF(B4="SAFE",B11*B15,B11*B13)</f>
        <v>10000</v>
      </c>
      <c r="C10" s="12">
        <f t="shared" ref="C10:D10" si="1">B11*(C17-C12)+(-C7)</f>
        <v>30000</v>
      </c>
      <c r="D10" s="12">
        <f t="shared" si="1"/>
        <v>74100</v>
      </c>
      <c r="F10" s="14"/>
    </row>
    <row r="11" spans="1:6" ht="15.75" customHeight="1" x14ac:dyDescent="0.2">
      <c r="A11" s="3" t="s">
        <v>15</v>
      </c>
      <c r="B11" s="13">
        <f>IF(B4="SAFE",-B7/B15,-B7/B13)</f>
        <v>0.01</v>
      </c>
      <c r="C11" s="13">
        <f t="shared" ref="C11:D11" si="2">C10/C17</f>
        <v>0.01</v>
      </c>
      <c r="D11" s="13">
        <f t="shared" si="2"/>
        <v>1.482E-2</v>
      </c>
    </row>
    <row r="12" spans="1:6" ht="15.75" customHeight="1" x14ac:dyDescent="0.2">
      <c r="A12" s="3" t="s">
        <v>16</v>
      </c>
      <c r="B12" s="14">
        <v>30000</v>
      </c>
      <c r="C12" s="14">
        <v>0</v>
      </c>
      <c r="D12" s="14">
        <v>90000</v>
      </c>
    </row>
    <row r="13" spans="1:6" ht="15.75" customHeight="1" x14ac:dyDescent="0.2">
      <c r="A13" s="3" t="s">
        <v>17</v>
      </c>
      <c r="B13" s="14">
        <v>1000000</v>
      </c>
      <c r="C13" s="14">
        <v>3000000</v>
      </c>
      <c r="D13" s="14">
        <v>5000000</v>
      </c>
    </row>
    <row r="14" spans="1:6" ht="15.75" customHeight="1" x14ac:dyDescent="0.2">
      <c r="A14" s="3" t="s">
        <v>18</v>
      </c>
      <c r="B14" s="14"/>
      <c r="C14" s="14"/>
      <c r="D14" s="14"/>
    </row>
    <row r="15" spans="1:6" ht="15.75" customHeight="1" x14ac:dyDescent="0.2">
      <c r="A15" s="15" t="s">
        <v>19</v>
      </c>
      <c r="B15" s="14"/>
      <c r="C15" s="14"/>
      <c r="D15" s="14"/>
    </row>
    <row r="16" spans="1:6" ht="15.75" customHeight="1" x14ac:dyDescent="0.2">
      <c r="B16" s="14"/>
    </row>
    <row r="17" spans="1:4" ht="15.75" customHeight="1" x14ac:dyDescent="0.2">
      <c r="A17" s="16" t="s">
        <v>20</v>
      </c>
      <c r="B17" s="14">
        <f t="shared" ref="B17:D17" si="3">IF(B4="SAFE",B15,B13)</f>
        <v>1000000</v>
      </c>
      <c r="C17" s="14">
        <f t="shared" si="3"/>
        <v>3000000</v>
      </c>
      <c r="D17" s="14">
        <f t="shared" si="3"/>
        <v>5000000</v>
      </c>
    </row>
    <row r="18" spans="1:4" ht="15.75" customHeight="1" x14ac:dyDescent="0.2"/>
    <row r="19" spans="1:4" ht="15.75" customHeight="1" x14ac:dyDescent="0.2"/>
    <row r="20" spans="1:4" ht="15.75" customHeight="1" x14ac:dyDescent="0.2">
      <c r="A20" s="6" t="s">
        <v>47</v>
      </c>
    </row>
    <row r="21" spans="1:4" ht="15.75" customHeight="1" x14ac:dyDescent="0.2">
      <c r="A21" s="6" t="s">
        <v>22</v>
      </c>
      <c r="B21" s="12">
        <f t="shared" ref="B21:D21" si="4">-B6</f>
        <v>11000</v>
      </c>
      <c r="C21" s="12">
        <f t="shared" si="4"/>
        <v>0</v>
      </c>
      <c r="D21" s="12">
        <f t="shared" si="4"/>
        <v>30000</v>
      </c>
    </row>
    <row r="22" spans="1:4" ht="15.75" customHeight="1" x14ac:dyDescent="0.2">
      <c r="A22" s="6" t="s">
        <v>23</v>
      </c>
      <c r="B22" s="12">
        <f>B21</f>
        <v>11000</v>
      </c>
      <c r="C22" s="12">
        <f t="shared" ref="C22:D22" si="5">C21+B22</f>
        <v>11000</v>
      </c>
      <c r="D22" s="12">
        <f t="shared" si="5"/>
        <v>41000</v>
      </c>
    </row>
    <row r="23" spans="1:4" ht="15.75" customHeight="1" x14ac:dyDescent="0.2">
      <c r="A23" s="6" t="s">
        <v>24</v>
      </c>
      <c r="B23" s="12">
        <f t="shared" ref="B23:D23" si="6">B10</f>
        <v>10000</v>
      </c>
      <c r="C23" s="12">
        <f t="shared" si="6"/>
        <v>30000</v>
      </c>
      <c r="D23" s="12">
        <f t="shared" si="6"/>
        <v>74100</v>
      </c>
    </row>
    <row r="24" spans="1:4" ht="15.75" customHeight="1" x14ac:dyDescent="0.2">
      <c r="A24" s="17" t="s">
        <v>25</v>
      </c>
      <c r="B24" s="11">
        <f t="shared" ref="B24:D24" si="7">B9</f>
        <v>0.01</v>
      </c>
      <c r="C24" s="11">
        <f t="shared" si="7"/>
        <v>0</v>
      </c>
      <c r="D24" s="11">
        <f t="shared" si="7"/>
        <v>0.02</v>
      </c>
    </row>
    <row r="25" spans="1:4" ht="15.75" customHeight="1" x14ac:dyDescent="0.2">
      <c r="A25" s="17" t="s">
        <v>26</v>
      </c>
      <c r="B25" s="13">
        <f>B11</f>
        <v>0.01</v>
      </c>
      <c r="C25" s="13">
        <f t="shared" ref="C25:D25" si="8">B25*(C17-C12)/C17</f>
        <v>0.01</v>
      </c>
      <c r="D25" s="13">
        <f t="shared" si="8"/>
        <v>9.8200000000000006E-3</v>
      </c>
    </row>
    <row r="26" spans="1:4" ht="15.75" customHeight="1" x14ac:dyDescent="0.2">
      <c r="A26" s="17" t="s">
        <v>27</v>
      </c>
      <c r="B26" s="13">
        <v>0</v>
      </c>
      <c r="C26" s="13">
        <f>C11-C25</f>
        <v>0</v>
      </c>
      <c r="D26" s="13">
        <f>C26*(D17-D12)/D17</f>
        <v>0</v>
      </c>
    </row>
    <row r="27" spans="1:4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4.9999999999999992E-3</v>
      </c>
    </row>
    <row r="28" spans="1:4" ht="15.75" customHeight="1" x14ac:dyDescent="0.2">
      <c r="A28" s="17" t="s">
        <v>29</v>
      </c>
      <c r="B28" s="13">
        <v>0</v>
      </c>
      <c r="C28" s="13">
        <v>0</v>
      </c>
      <c r="D28" s="13">
        <v>0</v>
      </c>
    </row>
    <row r="29" spans="1:4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</row>
    <row r="30" spans="1:4" ht="15.75" customHeight="1" x14ac:dyDescent="0.2">
      <c r="A30" s="18" t="s">
        <v>31</v>
      </c>
      <c r="B30" s="19">
        <f>MAX(0,(B23-B22)*B24)</f>
        <v>0</v>
      </c>
      <c r="C30" s="19">
        <f>$B$24*(C25*C17+$B$7)</f>
        <v>200</v>
      </c>
      <c r="D30" s="19">
        <f>$B$24*(D25*D17+$B$7)+$C$24*(D26*D17+$C$7)</f>
        <v>391</v>
      </c>
    </row>
    <row r="31" spans="1:4" ht="15.75" customHeight="1" x14ac:dyDescent="0.2">
      <c r="A31" s="6" t="s">
        <v>32</v>
      </c>
      <c r="B31" s="12">
        <f>B23-B21-B30</f>
        <v>-1000</v>
      </c>
      <c r="C31" s="12">
        <f t="shared" ref="C31:D31" si="9">C23-C22-C30</f>
        <v>18800</v>
      </c>
      <c r="D31" s="12">
        <f t="shared" si="9"/>
        <v>32709</v>
      </c>
    </row>
    <row r="32" spans="1:4" ht="15.75" customHeight="1" x14ac:dyDescent="0.2">
      <c r="A32" s="6" t="s">
        <v>33</v>
      </c>
      <c r="B32" s="13">
        <f t="shared" ref="B32:D32" si="10">B31/B22</f>
        <v>-9.0909090909090912E-2</v>
      </c>
      <c r="C32" s="13">
        <f t="shared" si="10"/>
        <v>1.709090909090909</v>
      </c>
      <c r="D32" s="13">
        <f t="shared" si="10"/>
        <v>0.79778048780487809</v>
      </c>
    </row>
    <row r="33" spans="1:4" ht="15.75" customHeight="1" x14ac:dyDescent="0.2">
      <c r="A33" s="20" t="s">
        <v>34</v>
      </c>
      <c r="B33" s="9">
        <f t="shared" ref="B33:B34" si="11">B6</f>
        <v>-11000</v>
      </c>
      <c r="C33" s="21">
        <f>0</f>
        <v>0</v>
      </c>
      <c r="D33" s="9">
        <f>D6+D10</f>
        <v>44100</v>
      </c>
    </row>
    <row r="34" spans="1:4" ht="15.75" customHeight="1" x14ac:dyDescent="0.2">
      <c r="A34" s="20" t="s">
        <v>35</v>
      </c>
      <c r="B34" s="9">
        <f t="shared" si="11"/>
        <v>-10000</v>
      </c>
      <c r="C34" s="21">
        <v>0</v>
      </c>
      <c r="D34" s="21">
        <f>D7+D10</f>
        <v>49100</v>
      </c>
    </row>
    <row r="36" spans="1:4" ht="15.75" customHeight="1" x14ac:dyDescent="0.2">
      <c r="A36" s="6" t="s">
        <v>36</v>
      </c>
      <c r="B36" s="23">
        <f>XIRR(B33:D33,B1:D1)</f>
        <v>0.31990638375282299</v>
      </c>
    </row>
    <row r="37" spans="1:4" ht="15.75" customHeight="1" x14ac:dyDescent="0.2">
      <c r="A37" s="6" t="s">
        <v>37</v>
      </c>
      <c r="B37" s="23">
        <f>XIRR(B34:D34,B1:D1)</f>
        <v>0.37448690533637996</v>
      </c>
    </row>
    <row r="38" spans="1:4" ht="15.75" customHeight="1" x14ac:dyDescent="0.2"/>
    <row r="39" spans="1:4" ht="15.75" customHeight="1" x14ac:dyDescent="0.2"/>
    <row r="40" spans="1:4" ht="15.75" customHeight="1" x14ac:dyDescent="0.2">
      <c r="A40" s="6" t="s">
        <v>38</v>
      </c>
    </row>
    <row r="41" spans="1:4" ht="15.75" customHeight="1" x14ac:dyDescent="0.2">
      <c r="A41" s="6" t="s">
        <v>39</v>
      </c>
      <c r="B41" s="6">
        <f>B45/B44</f>
        <v>0.01</v>
      </c>
      <c r="C41" s="44">
        <f>C11</f>
        <v>0.01</v>
      </c>
      <c r="D41" s="6">
        <f>D45/D44</f>
        <v>1.482E-2</v>
      </c>
    </row>
    <row r="42" spans="1:4" ht="15.75" customHeight="1" x14ac:dyDescent="0.2">
      <c r="A42" s="6" t="s">
        <v>40</v>
      </c>
      <c r="B42" s="22">
        <f t="shared" ref="B42:B43" si="12">-B6</f>
        <v>11000</v>
      </c>
      <c r="C42" s="22">
        <f t="shared" ref="C42:D42" si="13">-C6+B42</f>
        <v>11000</v>
      </c>
      <c r="D42" s="22">
        <f t="shared" si="13"/>
        <v>41000</v>
      </c>
    </row>
    <row r="43" spans="1:4" ht="15.75" customHeight="1" x14ac:dyDescent="0.2">
      <c r="A43" s="6" t="s">
        <v>41</v>
      </c>
      <c r="B43" s="22">
        <f t="shared" si="12"/>
        <v>10000</v>
      </c>
      <c r="C43" s="22">
        <f t="shared" ref="C43:D43" si="14">-C7+B43</f>
        <v>10000</v>
      </c>
      <c r="D43" s="22">
        <f t="shared" si="14"/>
        <v>35000</v>
      </c>
    </row>
    <row r="44" spans="1:4" ht="15.75" customHeight="1" x14ac:dyDescent="0.2">
      <c r="A44" s="6" t="s">
        <v>42</v>
      </c>
      <c r="B44" s="22">
        <f t="shared" ref="B44:D44" si="15">B17</f>
        <v>1000000</v>
      </c>
      <c r="C44" s="22">
        <f t="shared" si="15"/>
        <v>3000000</v>
      </c>
      <c r="D44" s="22">
        <f t="shared" si="15"/>
        <v>5000000</v>
      </c>
    </row>
    <row r="45" spans="1:4" ht="15.75" customHeight="1" x14ac:dyDescent="0.2">
      <c r="A45" s="6" t="s">
        <v>43</v>
      </c>
      <c r="B45" s="22">
        <f t="shared" ref="B45:D45" si="16">B10</f>
        <v>10000</v>
      </c>
      <c r="C45" s="22">
        <f t="shared" si="16"/>
        <v>30000</v>
      </c>
      <c r="D45" s="22">
        <f t="shared" si="16"/>
        <v>74100</v>
      </c>
    </row>
    <row r="46" spans="1:4" ht="15.75" customHeight="1" x14ac:dyDescent="0.2">
      <c r="A46" s="6" t="s">
        <v>44</v>
      </c>
      <c r="B46" s="12">
        <f t="shared" ref="B46:D46" si="17">B30</f>
        <v>0</v>
      </c>
      <c r="C46" s="12">
        <f t="shared" si="17"/>
        <v>200</v>
      </c>
      <c r="D46" s="12">
        <f t="shared" si="17"/>
        <v>391</v>
      </c>
    </row>
    <row r="47" spans="1:4" ht="15.75" customHeight="1" x14ac:dyDescent="0.2">
      <c r="A47" s="6" t="s">
        <v>45</v>
      </c>
      <c r="B47" s="22">
        <f t="shared" ref="B47:D47" si="18">B45-B42-B46</f>
        <v>-1000</v>
      </c>
      <c r="C47" s="22">
        <f t="shared" si="18"/>
        <v>18800</v>
      </c>
      <c r="D47" s="22">
        <f t="shared" si="18"/>
        <v>32709</v>
      </c>
    </row>
    <row r="48" spans="1:4" ht="15.75" customHeight="1" x14ac:dyDescent="0.2">
      <c r="A48" s="6" t="s">
        <v>46</v>
      </c>
      <c r="B48" s="13">
        <f t="shared" ref="B48:D48" si="19">B47/B42</f>
        <v>-9.0909090909090912E-2</v>
      </c>
      <c r="C48" s="13">
        <f t="shared" si="19"/>
        <v>1.709090909090909</v>
      </c>
      <c r="D48" s="13">
        <f t="shared" si="19"/>
        <v>0.79778048780487809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workbookViewId="0"/>
  </sheetViews>
  <sheetFormatPr baseColWidth="10" defaultColWidth="11.1640625" defaultRowHeight="15" customHeight="1" x14ac:dyDescent="0.2"/>
  <cols>
    <col min="1" max="1" width="39.33203125" customWidth="1"/>
    <col min="2" max="2" width="16.5" customWidth="1"/>
    <col min="3" max="4" width="13.83203125" customWidth="1"/>
    <col min="5" max="6" width="17" customWidth="1"/>
    <col min="7" max="7" width="15.83203125" customWidth="1"/>
    <col min="8" max="8" width="14.83203125" customWidth="1"/>
    <col min="9" max="10" width="10.5" customWidth="1"/>
    <col min="11" max="11" width="11.33203125" customWidth="1"/>
    <col min="12" max="12" width="10.5" customWidth="1"/>
    <col min="13" max="13" width="12.33203125" customWidth="1"/>
    <col min="14" max="14" width="10.5" customWidth="1"/>
    <col min="15" max="15" width="11.33203125" customWidth="1"/>
    <col min="16" max="16" width="10.5" customWidth="1"/>
    <col min="17" max="17" width="11.33203125" customWidth="1"/>
    <col min="18" max="26" width="10.5" customWidth="1"/>
  </cols>
  <sheetData>
    <row r="1" spans="1:8" ht="15.75" customHeight="1" x14ac:dyDescent="0.2">
      <c r="A1" s="1"/>
      <c r="B1" s="2">
        <v>40238</v>
      </c>
      <c r="C1" s="2">
        <v>40823</v>
      </c>
      <c r="D1" s="2">
        <v>41080</v>
      </c>
      <c r="E1" s="2">
        <v>41687</v>
      </c>
      <c r="F1" s="2">
        <v>42513</v>
      </c>
      <c r="G1" s="2">
        <v>43777</v>
      </c>
      <c r="H1" s="2">
        <v>44353</v>
      </c>
    </row>
    <row r="2" spans="1:8" ht="15.75" customHeight="1" x14ac:dyDescent="0.2">
      <c r="A2" s="3" t="s">
        <v>0</v>
      </c>
      <c r="B2" s="4" t="str">
        <f t="shared" ref="B2:H2" si="0">$A$20</f>
        <v>Mega</v>
      </c>
      <c r="C2" s="4" t="str">
        <f t="shared" si="0"/>
        <v>Mega</v>
      </c>
      <c r="D2" s="4" t="str">
        <f t="shared" si="0"/>
        <v>Mega</v>
      </c>
      <c r="E2" s="4" t="str">
        <f t="shared" si="0"/>
        <v>Mega</v>
      </c>
      <c r="F2" s="4" t="str">
        <f t="shared" si="0"/>
        <v>Mega</v>
      </c>
      <c r="G2" s="4" t="str">
        <f t="shared" si="0"/>
        <v>Mega</v>
      </c>
      <c r="H2" s="4" t="str">
        <f t="shared" si="0"/>
        <v>Mega</v>
      </c>
    </row>
    <row r="3" spans="1:8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70</v>
      </c>
    </row>
    <row r="4" spans="1:8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</row>
    <row r="5" spans="1:8" ht="15.75" customHeight="1" x14ac:dyDescent="0.2">
      <c r="A5" s="3" t="s">
        <v>9</v>
      </c>
      <c r="B5" s="8"/>
      <c r="C5" s="7"/>
      <c r="D5" s="7"/>
      <c r="E5" s="7"/>
      <c r="F5" s="7"/>
      <c r="G5" s="7"/>
      <c r="H5" s="7"/>
    </row>
    <row r="6" spans="1:8" ht="15.75" customHeight="1" x14ac:dyDescent="0.2">
      <c r="A6" s="3" t="s">
        <v>10</v>
      </c>
      <c r="B6" s="9">
        <f>-(51000)</f>
        <v>-51000</v>
      </c>
      <c r="C6" s="9">
        <f>-103000</f>
        <v>-103000</v>
      </c>
      <c r="D6" s="9">
        <f>-152000</f>
        <v>-152000</v>
      </c>
      <c r="E6" s="9">
        <f>-182000</f>
        <v>-182000</v>
      </c>
      <c r="F6" s="9">
        <f t="shared" ref="F6:F7" si="1">0</f>
        <v>0</v>
      </c>
      <c r="G6" s="9">
        <f>-311000</f>
        <v>-311000</v>
      </c>
      <c r="H6" s="9">
        <f>0</f>
        <v>0</v>
      </c>
    </row>
    <row r="7" spans="1:8" ht="15.75" customHeight="1" x14ac:dyDescent="0.2">
      <c r="A7" s="3" t="s">
        <v>11</v>
      </c>
      <c r="B7" s="9">
        <f>-(50000)</f>
        <v>-50000</v>
      </c>
      <c r="C7" s="9">
        <f>-100000</f>
        <v>-100000</v>
      </c>
      <c r="D7" s="9">
        <f>-150000</f>
        <v>-150000</v>
      </c>
      <c r="E7" s="9">
        <f>-180000</f>
        <v>-180000</v>
      </c>
      <c r="F7" s="9">
        <f t="shared" si="1"/>
        <v>0</v>
      </c>
      <c r="G7" s="9">
        <f>-300000</f>
        <v>-300000</v>
      </c>
      <c r="H7" s="12">
        <v>1521833</v>
      </c>
    </row>
    <row r="8" spans="1:8" ht="15.75" customHeight="1" x14ac:dyDescent="0.2">
      <c r="A8" s="3" t="s">
        <v>12</v>
      </c>
      <c r="B8" s="10">
        <f t="shared" ref="B8:E8" si="2">1-B7/B6</f>
        <v>1.9607843137254943E-2</v>
      </c>
      <c r="C8" s="10">
        <f t="shared" si="2"/>
        <v>2.9126213592232997E-2</v>
      </c>
      <c r="D8" s="10">
        <f t="shared" si="2"/>
        <v>1.3157894736842146E-2</v>
      </c>
      <c r="E8" s="10">
        <f t="shared" si="2"/>
        <v>1.098901098901095E-2</v>
      </c>
      <c r="F8" s="10">
        <f>IF(F6&lt;0,1-F7/F6,0)</f>
        <v>0</v>
      </c>
      <c r="G8" s="10">
        <f>1-G7/G6</f>
        <v>3.5369774919614128E-2</v>
      </c>
      <c r="H8" s="10">
        <f>IF(F6&lt;0,1-F7/F6,0)</f>
        <v>0</v>
      </c>
    </row>
    <row r="9" spans="1:8" ht="15.75" customHeight="1" x14ac:dyDescent="0.2">
      <c r="A9" s="3" t="s">
        <v>13</v>
      </c>
      <c r="B9" s="11">
        <v>0.03</v>
      </c>
      <c r="C9" s="11">
        <v>0.02</v>
      </c>
      <c r="D9" s="11">
        <v>2.5000000000000001E-2</v>
      </c>
      <c r="E9" s="11">
        <v>3.2000000000000001E-2</v>
      </c>
      <c r="F9" s="11">
        <v>2.3E-2</v>
      </c>
      <c r="G9" s="11">
        <v>2.1999999999999999E-2</v>
      </c>
      <c r="H9" s="11">
        <v>0.01</v>
      </c>
    </row>
    <row r="10" spans="1:8" ht="15.75" customHeight="1" x14ac:dyDescent="0.2">
      <c r="A10" s="3" t="s">
        <v>14</v>
      </c>
      <c r="B10" s="12">
        <f>IF(B4="SAFE",B11*B15,B11*B13)</f>
        <v>50000</v>
      </c>
      <c r="C10" s="12">
        <f t="shared" ref="C10:G10" si="3">B11*(C17-C12)+(-C7)</f>
        <v>156250</v>
      </c>
      <c r="D10" s="12">
        <f t="shared" si="3"/>
        <v>493750</v>
      </c>
      <c r="E10" s="12">
        <f t="shared" si="3"/>
        <v>893194.44444444438</v>
      </c>
      <c r="F10" s="12">
        <f t="shared" si="3"/>
        <v>893194.44444444438</v>
      </c>
      <c r="G10" s="12">
        <f t="shared" si="3"/>
        <v>1014555.5555555555</v>
      </c>
      <c r="H10" s="12">
        <f>H7</f>
        <v>1521833</v>
      </c>
    </row>
    <row r="11" spans="1:8" ht="15.75" customHeight="1" x14ac:dyDescent="0.2">
      <c r="A11" s="3" t="s">
        <v>15</v>
      </c>
      <c r="B11" s="13">
        <f>IF(B4="SAFE",-B7/B15,-B7/B13)</f>
        <v>6.25E-2</v>
      </c>
      <c r="C11" s="13">
        <f t="shared" ref="C11:G11" si="4">C10/C17</f>
        <v>0.10416666666666667</v>
      </c>
      <c r="D11" s="13">
        <f t="shared" si="4"/>
        <v>0.10972222222222222</v>
      </c>
      <c r="E11" s="13">
        <f t="shared" si="4"/>
        <v>8.9319444444444437E-2</v>
      </c>
      <c r="F11" s="13">
        <f t="shared" si="4"/>
        <v>5.9546296296296292E-2</v>
      </c>
      <c r="G11" s="13">
        <f t="shared" si="4"/>
        <v>5.0727777777777774E-2</v>
      </c>
      <c r="H11" s="13">
        <f>G11</f>
        <v>5.0727777777777774E-2</v>
      </c>
    </row>
    <row r="12" spans="1:8" ht="15.75" customHeight="1" x14ac:dyDescent="0.2">
      <c r="A12" s="3" t="s">
        <v>16</v>
      </c>
      <c r="B12" s="14">
        <v>250000</v>
      </c>
      <c r="C12" s="14">
        <v>600000</v>
      </c>
      <c r="D12" s="14">
        <v>1200000</v>
      </c>
      <c r="E12" s="14">
        <v>3500000</v>
      </c>
      <c r="F12" s="14">
        <v>5000000</v>
      </c>
      <c r="G12" s="14">
        <v>8000000</v>
      </c>
      <c r="H12" s="14">
        <v>2000000</v>
      </c>
    </row>
    <row r="13" spans="1:8" ht="15.75" customHeight="1" x14ac:dyDescent="0.2">
      <c r="A13" s="3" t="s">
        <v>17</v>
      </c>
      <c r="B13" s="14">
        <v>800000</v>
      </c>
      <c r="C13" s="14">
        <v>1500000</v>
      </c>
      <c r="D13" s="14">
        <v>4500000</v>
      </c>
      <c r="E13" s="14">
        <v>10000000</v>
      </c>
      <c r="F13" s="14">
        <v>15000000</v>
      </c>
      <c r="G13" s="14">
        <v>20000000</v>
      </c>
      <c r="H13" s="14">
        <v>32000000</v>
      </c>
    </row>
    <row r="14" spans="1:8" ht="15.75" customHeight="1" x14ac:dyDescent="0.2">
      <c r="A14" s="3" t="s">
        <v>18</v>
      </c>
      <c r="B14" s="14"/>
      <c r="C14" s="14"/>
      <c r="D14" s="14"/>
      <c r="E14" s="14"/>
      <c r="F14" s="14"/>
      <c r="G14" s="14"/>
      <c r="H14" s="14"/>
    </row>
    <row r="15" spans="1:8" ht="15.75" customHeight="1" x14ac:dyDescent="0.2">
      <c r="A15" s="15" t="s">
        <v>19</v>
      </c>
      <c r="B15" s="14"/>
      <c r="C15" s="14"/>
      <c r="D15" s="14"/>
      <c r="E15" s="14"/>
      <c r="F15" s="14"/>
      <c r="G15" s="14"/>
      <c r="H15" s="14"/>
    </row>
    <row r="16" spans="1:8" ht="15.75" customHeight="1" x14ac:dyDescent="0.2">
      <c r="B16" s="14"/>
    </row>
    <row r="17" spans="1:14" ht="15.75" customHeight="1" x14ac:dyDescent="0.2">
      <c r="A17" s="16" t="s">
        <v>20</v>
      </c>
      <c r="B17" s="14">
        <f t="shared" ref="B17:H17" si="5">IF(B4="SAFE",B15,B13)</f>
        <v>800000</v>
      </c>
      <c r="C17" s="14">
        <f t="shared" si="5"/>
        <v>1500000</v>
      </c>
      <c r="D17" s="14">
        <f t="shared" si="5"/>
        <v>4500000</v>
      </c>
      <c r="E17" s="14">
        <f t="shared" si="5"/>
        <v>10000000</v>
      </c>
      <c r="F17" s="14">
        <f t="shared" si="5"/>
        <v>15000000</v>
      </c>
      <c r="G17" s="14">
        <f t="shared" si="5"/>
        <v>20000000</v>
      </c>
      <c r="H17" s="14">
        <f t="shared" si="5"/>
        <v>32000000</v>
      </c>
    </row>
    <row r="18" spans="1:14" ht="15.75" customHeight="1" x14ac:dyDescent="0.2"/>
    <row r="19" spans="1:14" ht="15.75" customHeight="1" x14ac:dyDescent="0.2"/>
    <row r="20" spans="1:14" ht="15.75" customHeight="1" x14ac:dyDescent="0.2">
      <c r="A20" s="6" t="s">
        <v>71</v>
      </c>
      <c r="L20" s="45"/>
      <c r="M20" s="45"/>
      <c r="N20" s="45"/>
    </row>
    <row r="21" spans="1:14" ht="15.75" customHeight="1" x14ac:dyDescent="0.2">
      <c r="A21" s="6" t="s">
        <v>22</v>
      </c>
      <c r="B21" s="12">
        <f t="shared" ref="B21:H21" si="6">-B6</f>
        <v>51000</v>
      </c>
      <c r="C21" s="12">
        <f t="shared" si="6"/>
        <v>103000</v>
      </c>
      <c r="D21" s="12">
        <f t="shared" si="6"/>
        <v>152000</v>
      </c>
      <c r="E21" s="12">
        <f t="shared" si="6"/>
        <v>182000</v>
      </c>
      <c r="F21" s="12">
        <f t="shared" si="6"/>
        <v>0</v>
      </c>
      <c r="G21" s="12">
        <f t="shared" si="6"/>
        <v>311000</v>
      </c>
      <c r="H21" s="12">
        <f t="shared" si="6"/>
        <v>0</v>
      </c>
      <c r="L21" s="14"/>
      <c r="M21" s="14"/>
      <c r="N21" s="14"/>
    </row>
    <row r="22" spans="1:14" ht="15.75" customHeight="1" x14ac:dyDescent="0.2">
      <c r="A22" s="6" t="s">
        <v>23</v>
      </c>
      <c r="B22" s="12">
        <f>B21</f>
        <v>51000</v>
      </c>
      <c r="C22" s="12">
        <f t="shared" ref="C22:H22" si="7">C21+B22</f>
        <v>154000</v>
      </c>
      <c r="D22" s="12">
        <f t="shared" si="7"/>
        <v>306000</v>
      </c>
      <c r="E22" s="12">
        <f t="shared" si="7"/>
        <v>488000</v>
      </c>
      <c r="F22" s="12">
        <f t="shared" si="7"/>
        <v>488000</v>
      </c>
      <c r="G22" s="12">
        <f t="shared" si="7"/>
        <v>799000</v>
      </c>
      <c r="H22" s="12">
        <f t="shared" si="7"/>
        <v>799000</v>
      </c>
      <c r="L22" s="14"/>
      <c r="M22" s="14"/>
      <c r="N22" s="14"/>
    </row>
    <row r="23" spans="1:14" ht="15.75" customHeight="1" x14ac:dyDescent="0.2">
      <c r="A23" s="6" t="s">
        <v>24</v>
      </c>
      <c r="B23" s="12">
        <f t="shared" ref="B23:H23" si="8">B10</f>
        <v>50000</v>
      </c>
      <c r="C23" s="12">
        <f t="shared" si="8"/>
        <v>156250</v>
      </c>
      <c r="D23" s="12">
        <f t="shared" si="8"/>
        <v>493750</v>
      </c>
      <c r="E23" s="12">
        <f t="shared" si="8"/>
        <v>893194.44444444438</v>
      </c>
      <c r="F23" s="12">
        <f t="shared" si="8"/>
        <v>893194.44444444438</v>
      </c>
      <c r="G23" s="12">
        <f t="shared" si="8"/>
        <v>1014555.5555555555</v>
      </c>
      <c r="H23" s="12">
        <f t="shared" si="8"/>
        <v>1521833</v>
      </c>
      <c r="L23" s="14"/>
      <c r="M23" s="14"/>
      <c r="N23" s="14"/>
    </row>
    <row r="24" spans="1:14" ht="15.75" customHeight="1" x14ac:dyDescent="0.2">
      <c r="A24" s="17" t="s">
        <v>25</v>
      </c>
      <c r="B24" s="11">
        <f t="shared" ref="B24:H24" si="9">B9</f>
        <v>0.03</v>
      </c>
      <c r="C24" s="11">
        <f t="shared" si="9"/>
        <v>0.02</v>
      </c>
      <c r="D24" s="11">
        <f t="shared" si="9"/>
        <v>2.5000000000000001E-2</v>
      </c>
      <c r="E24" s="11">
        <f t="shared" si="9"/>
        <v>3.2000000000000001E-2</v>
      </c>
      <c r="F24" s="11">
        <f t="shared" si="9"/>
        <v>2.3E-2</v>
      </c>
      <c r="G24" s="11">
        <f t="shared" si="9"/>
        <v>2.1999999999999999E-2</v>
      </c>
      <c r="H24" s="11">
        <f t="shared" si="9"/>
        <v>0.01</v>
      </c>
      <c r="L24" s="14"/>
      <c r="M24" s="14"/>
      <c r="N24" s="14"/>
    </row>
    <row r="25" spans="1:14" ht="15.75" customHeight="1" x14ac:dyDescent="0.2">
      <c r="A25" s="17" t="s">
        <v>26</v>
      </c>
      <c r="B25" s="13">
        <f>B11</f>
        <v>6.25E-2</v>
      </c>
      <c r="C25" s="13">
        <f t="shared" ref="C25:G25" si="10">B25*(C17-C12)/C17</f>
        <v>3.7499999999999999E-2</v>
      </c>
      <c r="D25" s="13">
        <f t="shared" si="10"/>
        <v>2.75E-2</v>
      </c>
      <c r="E25" s="13">
        <f t="shared" si="10"/>
        <v>1.7874999999999999E-2</v>
      </c>
      <c r="F25" s="13">
        <f t="shared" si="10"/>
        <v>1.1916666666666664E-2</v>
      </c>
      <c r="G25" s="13">
        <f t="shared" si="10"/>
        <v>7.1499999999999984E-3</v>
      </c>
      <c r="H25" s="13">
        <f t="shared" ref="H25:H31" si="11">G25</f>
        <v>7.1499999999999984E-3</v>
      </c>
      <c r="M25" s="14"/>
      <c r="N25" s="14"/>
    </row>
    <row r="26" spans="1:14" ht="15.75" customHeight="1" x14ac:dyDescent="0.2">
      <c r="A26" s="17" t="s">
        <v>27</v>
      </c>
      <c r="B26" s="13">
        <v>0</v>
      </c>
      <c r="C26" s="13">
        <f>C11-C25</f>
        <v>6.666666666666668E-2</v>
      </c>
      <c r="D26" s="13">
        <f t="shared" ref="D26:G26" si="12">C26*(D17-D12)/D17</f>
        <v>4.8888888888888898E-2</v>
      </c>
      <c r="E26" s="13">
        <f t="shared" si="12"/>
        <v>3.1777777777777787E-2</v>
      </c>
      <c r="F26" s="13">
        <f t="shared" si="12"/>
        <v>2.1185185185185192E-2</v>
      </c>
      <c r="G26" s="13">
        <f t="shared" si="12"/>
        <v>1.2711111111111116E-2</v>
      </c>
      <c r="H26" s="13">
        <f t="shared" si="11"/>
        <v>1.2711111111111116E-2</v>
      </c>
      <c r="N26" s="14"/>
    </row>
    <row r="27" spans="1:14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3.3333333333333326E-2</v>
      </c>
      <c r="E27" s="13">
        <f t="shared" ref="E27:G27" si="13">D27*(E17-E12)/E17</f>
        <v>2.1666666666666664E-2</v>
      </c>
      <c r="F27" s="13">
        <f t="shared" si="13"/>
        <v>1.4444444444444442E-2</v>
      </c>
      <c r="G27" s="13">
        <f t="shared" si="13"/>
        <v>8.6666666666666663E-3</v>
      </c>
      <c r="H27" s="13">
        <f t="shared" si="11"/>
        <v>8.6666666666666663E-3</v>
      </c>
    </row>
    <row r="28" spans="1:14" ht="15.75" customHeight="1" x14ac:dyDescent="0.2">
      <c r="A28" s="17" t="s">
        <v>29</v>
      </c>
      <c r="B28" s="13">
        <v>0</v>
      </c>
      <c r="C28" s="13">
        <v>0</v>
      </c>
      <c r="D28" s="13">
        <v>0</v>
      </c>
      <c r="E28" s="13">
        <f>E11-SUM(E25:E27)</f>
        <v>1.7999999999999988E-2</v>
      </c>
      <c r="F28" s="13">
        <f t="shared" ref="F28:G28" si="14">E28*(F17-F12)/F17</f>
        <v>1.1999999999999992E-2</v>
      </c>
      <c r="G28" s="13">
        <f t="shared" si="14"/>
        <v>7.1999999999999955E-3</v>
      </c>
      <c r="H28" s="13">
        <f t="shared" si="11"/>
        <v>7.1999999999999955E-3</v>
      </c>
    </row>
    <row r="29" spans="1:14" ht="15.75" customHeight="1" x14ac:dyDescent="0.2">
      <c r="A29" s="17" t="s">
        <v>30</v>
      </c>
      <c r="B29" s="13">
        <v>0</v>
      </c>
      <c r="C29" s="13">
        <v>0</v>
      </c>
      <c r="D29" s="13">
        <v>0</v>
      </c>
      <c r="E29" s="13">
        <v>0</v>
      </c>
      <c r="F29" s="13">
        <f>F11-SUM(F25:F28)</f>
        <v>0</v>
      </c>
      <c r="G29" s="13">
        <v>0</v>
      </c>
      <c r="H29" s="13">
        <f t="shared" si="11"/>
        <v>0</v>
      </c>
    </row>
    <row r="30" spans="1:14" ht="15.75" customHeight="1" x14ac:dyDescent="0.2">
      <c r="A30" s="17" t="s">
        <v>72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f>G11-SUM(G25:G29)</f>
        <v>1.4999999999999999E-2</v>
      </c>
      <c r="H30" s="13">
        <f t="shared" si="11"/>
        <v>1.4999999999999999E-2</v>
      </c>
    </row>
    <row r="31" spans="1:14" ht="15.75" customHeight="1" x14ac:dyDescent="0.2">
      <c r="A31" s="17" t="s">
        <v>73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f t="shared" si="11"/>
        <v>0</v>
      </c>
    </row>
    <row r="32" spans="1:14" ht="15.75" customHeight="1" x14ac:dyDescent="0.2">
      <c r="A32" s="18" t="s">
        <v>31</v>
      </c>
      <c r="B32" s="19">
        <f>MAX(0,(B23-B22)*B24)</f>
        <v>0</v>
      </c>
      <c r="C32" s="19">
        <f>$B$24*(C25*C17+$B$7)</f>
        <v>187.5</v>
      </c>
      <c r="D32" s="19">
        <f>$B$24*(D25*D17+$B$7)+$C$24*(D26*D17+$C$7)</f>
        <v>4612.5</v>
      </c>
      <c r="E32" s="19">
        <f>$B$24*(E25*E17+$B$7)+$C$24*(E26*E17+$C$7)+$D$24*(E27*E17+$D$7)</f>
        <v>9884.7222222222226</v>
      </c>
      <c r="F32" s="19">
        <f>$B$24*(F25*F17+$B$7)+$C$24*(F26*F17+$C$7)+$D$24*(F27*F17+$D$7)+$E$24*(F28*F17+$E$7)</f>
        <v>9884.722222222219</v>
      </c>
      <c r="G32" s="19">
        <f>$B$24*(G25*G17+$B$7)+$C$24*(G26*G17+$C$7)+$D$24*(G27*G17+$D$7)+MAX(0,$E$24*(G28*G17+$E$7))+$F$24*(G29*G17+$F$7)</f>
        <v>6457.7777777777783</v>
      </c>
      <c r="H32" s="19">
        <f>$B$24*(H25*H17+$B$7)+$C$24*(H26*H17+$C$7)+$D$24*(H27*H17+$D$7)+$E$24*(H28*H17+$E$7)+$F$24*(H29*H17+$F$7)+$G$24*(H30*H17+$G$7)</f>
        <v>20255.244444444441</v>
      </c>
    </row>
    <row r="33" spans="1:11" ht="15.75" customHeight="1" x14ac:dyDescent="0.2">
      <c r="A33" s="6" t="s">
        <v>32</v>
      </c>
      <c r="B33" s="12">
        <f>B23-B21-B32</f>
        <v>-1000</v>
      </c>
      <c r="C33" s="12">
        <f t="shared" ref="C33:H33" si="15">C23-C22-C32</f>
        <v>2062.5</v>
      </c>
      <c r="D33" s="12">
        <f t="shared" si="15"/>
        <v>183137.5</v>
      </c>
      <c r="E33" s="12">
        <f t="shared" si="15"/>
        <v>395309.72222222213</v>
      </c>
      <c r="F33" s="12">
        <f t="shared" si="15"/>
        <v>395309.72222222213</v>
      </c>
      <c r="G33" s="12">
        <f t="shared" si="15"/>
        <v>209097.77777777772</v>
      </c>
      <c r="H33" s="12">
        <f t="shared" si="15"/>
        <v>702577.75555555557</v>
      </c>
    </row>
    <row r="34" spans="1:11" ht="15.75" customHeight="1" x14ac:dyDescent="0.2">
      <c r="A34" s="6" t="s">
        <v>33</v>
      </c>
      <c r="B34" s="13">
        <f t="shared" ref="B34:H34" si="16">B33/B22</f>
        <v>-1.9607843137254902E-2</v>
      </c>
      <c r="C34" s="13">
        <f t="shared" si="16"/>
        <v>1.3392857142857142E-2</v>
      </c>
      <c r="D34" s="13">
        <f t="shared" si="16"/>
        <v>0.59848856209150325</v>
      </c>
      <c r="E34" s="13">
        <f t="shared" si="16"/>
        <v>0.81006090619307813</v>
      </c>
      <c r="F34" s="13">
        <f t="shared" si="16"/>
        <v>0.81006090619307813</v>
      </c>
      <c r="G34" s="13">
        <f t="shared" si="16"/>
        <v>0.26169934640522868</v>
      </c>
      <c r="H34" s="13">
        <f t="shared" si="16"/>
        <v>0.87932134612710333</v>
      </c>
    </row>
    <row r="35" spans="1:11" ht="15.75" customHeight="1" x14ac:dyDescent="0.2">
      <c r="A35" s="20" t="s">
        <v>34</v>
      </c>
      <c r="B35" s="9">
        <f t="shared" ref="B35:G35" si="17">B6</f>
        <v>-51000</v>
      </c>
      <c r="C35" s="9">
        <f t="shared" si="17"/>
        <v>-103000</v>
      </c>
      <c r="D35" s="9">
        <f t="shared" si="17"/>
        <v>-152000</v>
      </c>
      <c r="E35" s="9">
        <f t="shared" si="17"/>
        <v>-182000</v>
      </c>
      <c r="F35" s="9">
        <f t="shared" si="17"/>
        <v>0</v>
      </c>
      <c r="G35" s="9">
        <f t="shared" si="17"/>
        <v>-311000</v>
      </c>
      <c r="H35" s="9">
        <f>H6+H10</f>
        <v>1521833</v>
      </c>
    </row>
    <row r="36" spans="1:11" ht="15.75" customHeight="1" x14ac:dyDescent="0.2">
      <c r="A36" s="20" t="s">
        <v>35</v>
      </c>
      <c r="B36" s="9">
        <f t="shared" ref="B36:G36" si="18">B7</f>
        <v>-50000</v>
      </c>
      <c r="C36" s="9">
        <f t="shared" si="18"/>
        <v>-100000</v>
      </c>
      <c r="D36" s="9">
        <f t="shared" si="18"/>
        <v>-150000</v>
      </c>
      <c r="E36" s="9">
        <f t="shared" si="18"/>
        <v>-180000</v>
      </c>
      <c r="F36" s="9">
        <f t="shared" si="18"/>
        <v>0</v>
      </c>
      <c r="G36" s="9">
        <f t="shared" si="18"/>
        <v>-300000</v>
      </c>
      <c r="H36" s="21">
        <f>H10</f>
        <v>1521833</v>
      </c>
    </row>
    <row r="38" spans="1:11" ht="15.75" customHeight="1" x14ac:dyDescent="0.2">
      <c r="A38" s="6" t="s">
        <v>36</v>
      </c>
      <c r="B38" s="23">
        <f>XIRR(B35:H35,B1:H1)</f>
        <v>0.10304109454154967</v>
      </c>
    </row>
    <row r="39" spans="1:11" ht="15.75" customHeight="1" x14ac:dyDescent="0.2">
      <c r="A39" s="6" t="s">
        <v>37</v>
      </c>
      <c r="B39" s="23">
        <f>XIRR(B36:H36,B1:H1)</f>
        <v>0.10635966658592225</v>
      </c>
    </row>
    <row r="40" spans="1:11" ht="15.75" customHeight="1" x14ac:dyDescent="0.2"/>
    <row r="41" spans="1:11" ht="15.75" customHeight="1" x14ac:dyDescent="0.2"/>
    <row r="42" spans="1:11" ht="15.75" customHeight="1" x14ac:dyDescent="0.2">
      <c r="A42" s="6" t="s">
        <v>38</v>
      </c>
      <c r="K42" s="12"/>
    </row>
    <row r="43" spans="1:11" ht="15.75" customHeight="1" x14ac:dyDescent="0.2">
      <c r="A43" s="6" t="s">
        <v>39</v>
      </c>
      <c r="B43" s="6">
        <f t="shared" ref="B43:H43" si="19">B47/B46</f>
        <v>6.25E-2</v>
      </c>
      <c r="C43" s="6">
        <f t="shared" si="19"/>
        <v>0.10416666666666667</v>
      </c>
      <c r="D43" s="6">
        <f t="shared" si="19"/>
        <v>0.10972222222222222</v>
      </c>
      <c r="E43" s="6">
        <f t="shared" si="19"/>
        <v>8.9319444444444437E-2</v>
      </c>
      <c r="F43" s="6">
        <f t="shared" si="19"/>
        <v>5.9546296296296292E-2</v>
      </c>
      <c r="G43" s="6">
        <f t="shared" si="19"/>
        <v>5.0727777777777774E-2</v>
      </c>
      <c r="H43" s="6">
        <f t="shared" si="19"/>
        <v>4.755728125E-2</v>
      </c>
    </row>
    <row r="44" spans="1:11" ht="15.75" customHeight="1" x14ac:dyDescent="0.2">
      <c r="A44" s="6" t="s">
        <v>40</v>
      </c>
      <c r="B44" s="22">
        <f t="shared" ref="B44:B45" si="20">-B6</f>
        <v>51000</v>
      </c>
      <c r="C44" s="22">
        <f t="shared" ref="C44:H44" si="21">-C6+B44</f>
        <v>154000</v>
      </c>
      <c r="D44" s="22">
        <f t="shared" si="21"/>
        <v>306000</v>
      </c>
      <c r="E44" s="22">
        <f t="shared" si="21"/>
        <v>488000</v>
      </c>
      <c r="F44" s="22">
        <f t="shared" si="21"/>
        <v>488000</v>
      </c>
      <c r="G44" s="22">
        <f t="shared" si="21"/>
        <v>799000</v>
      </c>
      <c r="H44" s="22">
        <f t="shared" si="21"/>
        <v>799000</v>
      </c>
    </row>
    <row r="45" spans="1:11" ht="15.75" customHeight="1" x14ac:dyDescent="0.2">
      <c r="A45" s="6" t="s">
        <v>41</v>
      </c>
      <c r="B45" s="22">
        <f t="shared" si="20"/>
        <v>50000</v>
      </c>
      <c r="C45" s="22">
        <f t="shared" ref="C45:G45" si="22">-C7+B45</f>
        <v>150000</v>
      </c>
      <c r="D45" s="22">
        <f t="shared" si="22"/>
        <v>300000</v>
      </c>
      <c r="E45" s="22">
        <f t="shared" si="22"/>
        <v>480000</v>
      </c>
      <c r="F45" s="22">
        <f t="shared" si="22"/>
        <v>480000</v>
      </c>
      <c r="G45" s="22">
        <f t="shared" si="22"/>
        <v>780000</v>
      </c>
      <c r="H45" s="22">
        <f>G45</f>
        <v>780000</v>
      </c>
    </row>
    <row r="46" spans="1:11" ht="15.75" customHeight="1" x14ac:dyDescent="0.2">
      <c r="A46" s="6" t="s">
        <v>42</v>
      </c>
      <c r="B46" s="22">
        <f t="shared" ref="B46:H46" si="23">B17</f>
        <v>800000</v>
      </c>
      <c r="C46" s="22">
        <f t="shared" si="23"/>
        <v>1500000</v>
      </c>
      <c r="D46" s="22">
        <f t="shared" si="23"/>
        <v>4500000</v>
      </c>
      <c r="E46" s="22">
        <f t="shared" si="23"/>
        <v>10000000</v>
      </c>
      <c r="F46" s="22">
        <f t="shared" si="23"/>
        <v>15000000</v>
      </c>
      <c r="G46" s="22">
        <f t="shared" si="23"/>
        <v>20000000</v>
      </c>
      <c r="H46" s="22">
        <f t="shared" si="23"/>
        <v>32000000</v>
      </c>
    </row>
    <row r="47" spans="1:11" ht="15.75" customHeight="1" x14ac:dyDescent="0.2">
      <c r="A47" s="6" t="s">
        <v>43</v>
      </c>
      <c r="B47" s="22">
        <f t="shared" ref="B47:H47" si="24">B10</f>
        <v>50000</v>
      </c>
      <c r="C47" s="22">
        <f t="shared" si="24"/>
        <v>156250</v>
      </c>
      <c r="D47" s="22">
        <f t="shared" si="24"/>
        <v>493750</v>
      </c>
      <c r="E47" s="22">
        <f t="shared" si="24"/>
        <v>893194.44444444438</v>
      </c>
      <c r="F47" s="22">
        <f t="shared" si="24"/>
        <v>893194.44444444438</v>
      </c>
      <c r="G47" s="22">
        <f t="shared" si="24"/>
        <v>1014555.5555555555</v>
      </c>
      <c r="H47" s="22">
        <f t="shared" si="24"/>
        <v>1521833</v>
      </c>
    </row>
    <row r="48" spans="1:11" ht="15.75" customHeight="1" x14ac:dyDescent="0.2">
      <c r="A48" s="6" t="s">
        <v>44</v>
      </c>
      <c r="B48" s="12">
        <f t="shared" ref="B48:H48" si="25">B32</f>
        <v>0</v>
      </c>
      <c r="C48" s="12">
        <f t="shared" si="25"/>
        <v>187.5</v>
      </c>
      <c r="D48" s="12">
        <f t="shared" si="25"/>
        <v>4612.5</v>
      </c>
      <c r="E48" s="12">
        <f t="shared" si="25"/>
        <v>9884.7222222222226</v>
      </c>
      <c r="F48" s="12">
        <f t="shared" si="25"/>
        <v>9884.722222222219</v>
      </c>
      <c r="G48" s="12">
        <f t="shared" si="25"/>
        <v>6457.7777777777783</v>
      </c>
      <c r="H48" s="12">
        <f t="shared" si="25"/>
        <v>20255.244444444441</v>
      </c>
    </row>
    <row r="49" spans="1:17" ht="15.75" customHeight="1" x14ac:dyDescent="0.2">
      <c r="A49" s="6" t="s">
        <v>45</v>
      </c>
      <c r="B49" s="22">
        <f t="shared" ref="B49:H49" si="26">B47-B44-B48</f>
        <v>-1000</v>
      </c>
      <c r="C49" s="22">
        <f t="shared" si="26"/>
        <v>2062.5</v>
      </c>
      <c r="D49" s="22">
        <f t="shared" si="26"/>
        <v>183137.5</v>
      </c>
      <c r="E49" s="22">
        <f t="shared" si="26"/>
        <v>395309.72222222213</v>
      </c>
      <c r="F49" s="22">
        <f t="shared" si="26"/>
        <v>395309.72222222213</v>
      </c>
      <c r="G49" s="22">
        <f t="shared" si="26"/>
        <v>209097.77777777772</v>
      </c>
      <c r="H49" s="22">
        <f t="shared" si="26"/>
        <v>702577.75555555557</v>
      </c>
    </row>
    <row r="50" spans="1:17" ht="15.75" customHeight="1" x14ac:dyDescent="0.2">
      <c r="A50" s="6" t="s">
        <v>46</v>
      </c>
      <c r="B50" s="6">
        <f t="shared" ref="B50:H50" si="27">B49/B44</f>
        <v>-1.9607843137254902E-2</v>
      </c>
      <c r="C50" s="6">
        <f t="shared" si="27"/>
        <v>1.3392857142857142E-2</v>
      </c>
      <c r="D50" s="6">
        <f t="shared" si="27"/>
        <v>0.59848856209150325</v>
      </c>
      <c r="E50" s="6">
        <f t="shared" si="27"/>
        <v>0.81006090619307813</v>
      </c>
      <c r="F50" s="6">
        <f t="shared" si="27"/>
        <v>0.81006090619307813</v>
      </c>
      <c r="G50" s="6">
        <f t="shared" si="27"/>
        <v>0.26169934640522868</v>
      </c>
      <c r="H50" s="6">
        <f t="shared" si="27"/>
        <v>0.87932134612710333</v>
      </c>
    </row>
    <row r="51" spans="1:17" ht="15.75" customHeight="1" x14ac:dyDescent="0.2"/>
    <row r="52" spans="1:17" ht="15.75" customHeight="1" x14ac:dyDescent="0.2"/>
    <row r="53" spans="1:17" ht="15.75" customHeight="1" x14ac:dyDescent="0.2"/>
    <row r="54" spans="1:17" ht="15.75" customHeight="1" x14ac:dyDescent="0.2">
      <c r="A54" s="27" t="s">
        <v>48</v>
      </c>
      <c r="J54" s="6" t="s">
        <v>49</v>
      </c>
      <c r="L54" s="7" t="s">
        <v>50</v>
      </c>
      <c r="M54" s="7" t="s">
        <v>51</v>
      </c>
    </row>
    <row r="55" spans="1:17" ht="15.75" customHeight="1" x14ac:dyDescent="0.2">
      <c r="A55" s="26" t="s">
        <v>52</v>
      </c>
      <c r="B55" s="26" t="s">
        <v>53</v>
      </c>
      <c r="C55" s="26" t="s">
        <v>53</v>
      </c>
      <c r="D55" s="26" t="s">
        <v>53</v>
      </c>
      <c r="E55" s="26" t="s">
        <v>53</v>
      </c>
      <c r="F55" s="26" t="s">
        <v>53</v>
      </c>
      <c r="G55" s="26" t="s">
        <v>53</v>
      </c>
      <c r="H55" s="26" t="s">
        <v>53</v>
      </c>
    </row>
    <row r="56" spans="1:17" ht="15.75" customHeight="1" x14ac:dyDescent="0.2">
      <c r="A56" s="6" t="s">
        <v>53</v>
      </c>
      <c r="B56" s="13">
        <f t="shared" ref="B56:H56" si="28">B11</f>
        <v>6.25E-2</v>
      </c>
      <c r="C56" s="13">
        <f t="shared" si="28"/>
        <v>0.10416666666666667</v>
      </c>
      <c r="D56" s="13">
        <f t="shared" si="28"/>
        <v>0.10972222222222222</v>
      </c>
      <c r="E56" s="13">
        <f t="shared" si="28"/>
        <v>8.9319444444444437E-2</v>
      </c>
      <c r="F56" s="13">
        <f t="shared" si="28"/>
        <v>5.9546296296296292E-2</v>
      </c>
      <c r="G56" s="13">
        <f t="shared" si="28"/>
        <v>5.0727777777777774E-2</v>
      </c>
      <c r="H56" s="13">
        <f t="shared" si="28"/>
        <v>5.0727777777777774E-2</v>
      </c>
      <c r="J56" s="13">
        <v>1</v>
      </c>
      <c r="L56" s="12">
        <f>H22</f>
        <v>799000</v>
      </c>
      <c r="M56" s="12">
        <f>H23-H32</f>
        <v>1501577.7555555555</v>
      </c>
      <c r="Q56" s="12"/>
    </row>
    <row r="57" spans="1:17" ht="15.75" customHeight="1" x14ac:dyDescent="0.2">
      <c r="J57" s="13"/>
    </row>
    <row r="58" spans="1:17" ht="15.75" customHeight="1" x14ac:dyDescent="0.2">
      <c r="A58" s="26" t="s">
        <v>54</v>
      </c>
      <c r="B58" s="26" t="s">
        <v>55</v>
      </c>
      <c r="C58" s="26" t="s">
        <v>55</v>
      </c>
      <c r="D58" s="26" t="s">
        <v>55</v>
      </c>
      <c r="E58" s="26" t="s">
        <v>55</v>
      </c>
      <c r="F58" s="26" t="s">
        <v>55</v>
      </c>
      <c r="G58" s="26" t="s">
        <v>55</v>
      </c>
      <c r="H58" s="26" t="s">
        <v>55</v>
      </c>
      <c r="J58" s="13"/>
    </row>
    <row r="59" spans="1:17" ht="15.75" customHeight="1" x14ac:dyDescent="0.2">
      <c r="A59" s="6" t="s">
        <v>55</v>
      </c>
      <c r="B59" s="13">
        <f t="shared" ref="B59:H59" si="29">B56</f>
        <v>6.25E-2</v>
      </c>
      <c r="C59" s="13">
        <f t="shared" si="29"/>
        <v>0.10416666666666667</v>
      </c>
      <c r="D59" s="13">
        <f t="shared" si="29"/>
        <v>0.10972222222222222</v>
      </c>
      <c r="E59" s="13">
        <f t="shared" si="29"/>
        <v>8.9319444444444437E-2</v>
      </c>
      <c r="F59" s="13">
        <f t="shared" si="29"/>
        <v>5.9546296296296292E-2</v>
      </c>
      <c r="G59" s="13">
        <f t="shared" si="29"/>
        <v>5.0727777777777774E-2</v>
      </c>
      <c r="H59" s="13">
        <f t="shared" si="29"/>
        <v>5.0727777777777774E-2</v>
      </c>
      <c r="J59" s="13">
        <v>1</v>
      </c>
      <c r="L59" s="12">
        <f t="shared" ref="L59:M59" si="30">L56</f>
        <v>799000</v>
      </c>
      <c r="M59" s="12">
        <f t="shared" si="30"/>
        <v>1501577.7555555555</v>
      </c>
    </row>
    <row r="60" spans="1:17" ht="15.75" customHeight="1" x14ac:dyDescent="0.2">
      <c r="J60" s="13"/>
      <c r="O60" s="13"/>
      <c r="Q60" s="12"/>
    </row>
    <row r="61" spans="1:17" ht="15.75" customHeight="1" x14ac:dyDescent="0.2">
      <c r="A61" s="26" t="s">
        <v>56</v>
      </c>
      <c r="B61" s="26" t="s">
        <v>74</v>
      </c>
      <c r="C61" s="26" t="s">
        <v>74</v>
      </c>
      <c r="D61" s="26" t="s">
        <v>74</v>
      </c>
      <c r="E61" s="26" t="s">
        <v>74</v>
      </c>
      <c r="F61" s="26" t="s">
        <v>74</v>
      </c>
      <c r="G61" s="26" t="s">
        <v>74</v>
      </c>
      <c r="H61" s="26" t="s">
        <v>74</v>
      </c>
      <c r="J61" s="13"/>
    </row>
    <row r="62" spans="1:17" ht="15.75" customHeight="1" x14ac:dyDescent="0.2">
      <c r="A62" s="6" t="s">
        <v>74</v>
      </c>
      <c r="B62" s="13">
        <f t="shared" ref="B62:H62" si="31">B59</f>
        <v>6.25E-2</v>
      </c>
      <c r="C62" s="13">
        <f t="shared" si="31"/>
        <v>0.10416666666666667</v>
      </c>
      <c r="D62" s="13">
        <f t="shared" si="31"/>
        <v>0.10972222222222222</v>
      </c>
      <c r="E62" s="13">
        <f t="shared" si="31"/>
        <v>8.9319444444444437E-2</v>
      </c>
      <c r="F62" s="13">
        <f t="shared" si="31"/>
        <v>5.9546296296296292E-2</v>
      </c>
      <c r="G62" s="13">
        <f t="shared" si="31"/>
        <v>5.0727777777777774E-2</v>
      </c>
      <c r="H62" s="13">
        <f t="shared" si="31"/>
        <v>5.0727777777777774E-2</v>
      </c>
      <c r="J62" s="13">
        <v>1</v>
      </c>
      <c r="L62" s="12">
        <f t="shared" ref="L62:M62" si="32">L59</f>
        <v>799000</v>
      </c>
      <c r="M62" s="12">
        <f t="shared" si="32"/>
        <v>1501577.7555555555</v>
      </c>
    </row>
    <row r="63" spans="1:17" ht="15.75" customHeight="1" x14ac:dyDescent="0.2">
      <c r="J63" s="13"/>
    </row>
    <row r="64" spans="1:17" ht="15.75" customHeight="1" x14ac:dyDescent="0.2">
      <c r="A64" s="26" t="s">
        <v>59</v>
      </c>
      <c r="B64" s="26" t="s">
        <v>53</v>
      </c>
      <c r="C64" s="26" t="s">
        <v>53</v>
      </c>
      <c r="D64" s="26" t="s">
        <v>75</v>
      </c>
      <c r="E64" s="26" t="s">
        <v>55</v>
      </c>
      <c r="F64" s="26" t="s">
        <v>76</v>
      </c>
      <c r="G64" s="26" t="s">
        <v>60</v>
      </c>
      <c r="H64" s="26" t="s">
        <v>61</v>
      </c>
      <c r="J64" s="13"/>
      <c r="P64" s="7" t="s">
        <v>50</v>
      </c>
      <c r="Q64" s="7" t="s">
        <v>51</v>
      </c>
    </row>
    <row r="65" spans="1:17" ht="15.75" customHeight="1" x14ac:dyDescent="0.2">
      <c r="A65" s="6" t="s">
        <v>53</v>
      </c>
      <c r="B65" s="13">
        <f t="shared" ref="B65:H65" si="33">B25</f>
        <v>6.25E-2</v>
      </c>
      <c r="C65" s="13">
        <f t="shared" si="33"/>
        <v>3.7499999999999999E-2</v>
      </c>
      <c r="D65" s="13">
        <f t="shared" si="33"/>
        <v>2.75E-2</v>
      </c>
      <c r="E65" s="13">
        <f t="shared" si="33"/>
        <v>1.7874999999999999E-2</v>
      </c>
      <c r="F65" s="13">
        <f t="shared" si="33"/>
        <v>1.1916666666666664E-2</v>
      </c>
      <c r="G65" s="13">
        <f t="shared" si="33"/>
        <v>7.1499999999999984E-3</v>
      </c>
      <c r="H65" s="13">
        <f t="shared" si="33"/>
        <v>7.1499999999999984E-3</v>
      </c>
      <c r="J65" s="13">
        <f t="shared" ref="J65:J71" si="34">H65/$H$56</f>
        <v>0.14094841747891795</v>
      </c>
      <c r="L65" s="12">
        <f>B21</f>
        <v>51000</v>
      </c>
      <c r="M65" s="12">
        <f>J65*$H$23-$B$24*(H25*H17+$B$7)</f>
        <v>209135.95301719414</v>
      </c>
      <c r="N65" s="14"/>
      <c r="O65" s="6" t="s">
        <v>53</v>
      </c>
      <c r="P65" s="12">
        <f t="shared" ref="P65:Q65" si="35">L65+L66</f>
        <v>154000</v>
      </c>
      <c r="Q65" s="12">
        <f t="shared" si="35"/>
        <v>584334.09171442839</v>
      </c>
    </row>
    <row r="66" spans="1:17" ht="15.75" customHeight="1" x14ac:dyDescent="0.2">
      <c r="A66" s="6" t="s">
        <v>53</v>
      </c>
      <c r="B66" s="13">
        <f t="shared" ref="B66:H66" si="36">B26</f>
        <v>0</v>
      </c>
      <c r="C66" s="13">
        <f t="shared" si="36"/>
        <v>6.666666666666668E-2</v>
      </c>
      <c r="D66" s="13">
        <f t="shared" si="36"/>
        <v>4.8888888888888898E-2</v>
      </c>
      <c r="E66" s="13">
        <f t="shared" si="36"/>
        <v>3.1777777777777787E-2</v>
      </c>
      <c r="F66" s="13">
        <f t="shared" si="36"/>
        <v>2.1185185185185192E-2</v>
      </c>
      <c r="G66" s="13">
        <f t="shared" si="36"/>
        <v>1.2711111111111116E-2</v>
      </c>
      <c r="H66" s="13">
        <f t="shared" si="36"/>
        <v>1.2711111111111116E-2</v>
      </c>
      <c r="J66" s="13">
        <f t="shared" si="34"/>
        <v>0.25057496440696542</v>
      </c>
      <c r="L66" s="12">
        <f>C21</f>
        <v>103000</v>
      </c>
      <c r="M66" s="12">
        <f>J66*$H$23-$C$24*(H26*H17+$C$7)</f>
        <v>375198.13869723427</v>
      </c>
      <c r="N66" s="14"/>
      <c r="O66" s="6" t="s">
        <v>75</v>
      </c>
      <c r="P66" s="12">
        <f t="shared" ref="P66:Q66" si="37">L67</f>
        <v>152000</v>
      </c>
      <c r="Q66" s="12">
        <f t="shared" si="37"/>
        <v>256816.60971781111</v>
      </c>
    </row>
    <row r="67" spans="1:17" ht="15.75" customHeight="1" x14ac:dyDescent="0.2">
      <c r="A67" s="6" t="s">
        <v>75</v>
      </c>
      <c r="B67" s="13">
        <f t="shared" ref="B67:H67" si="38">B27</f>
        <v>0</v>
      </c>
      <c r="C67" s="13">
        <f t="shared" si="38"/>
        <v>0</v>
      </c>
      <c r="D67" s="13">
        <f t="shared" si="38"/>
        <v>3.3333333333333326E-2</v>
      </c>
      <c r="E67" s="13">
        <f t="shared" si="38"/>
        <v>2.1666666666666664E-2</v>
      </c>
      <c r="F67" s="13">
        <f t="shared" si="38"/>
        <v>1.4444444444444442E-2</v>
      </c>
      <c r="G67" s="13">
        <f t="shared" si="38"/>
        <v>8.6666666666666663E-3</v>
      </c>
      <c r="H67" s="13">
        <f t="shared" si="38"/>
        <v>8.6666666666666663E-3</v>
      </c>
      <c r="J67" s="13">
        <f t="shared" si="34"/>
        <v>0.1708465666411127</v>
      </c>
      <c r="L67" s="12">
        <f>D21</f>
        <v>152000</v>
      </c>
      <c r="M67" s="12">
        <f>J67*$H$23-$D$24*(H27*H17+$D$7)</f>
        <v>256816.60971781111</v>
      </c>
      <c r="N67" s="14"/>
      <c r="O67" s="6" t="s">
        <v>55</v>
      </c>
      <c r="P67" s="12">
        <f t="shared" ref="P67:Q67" si="39">L68</f>
        <v>182000</v>
      </c>
      <c r="Q67" s="12">
        <f t="shared" si="39"/>
        <v>214387.15268864299</v>
      </c>
    </row>
    <row r="68" spans="1:17" ht="15.75" customHeight="1" x14ac:dyDescent="0.2">
      <c r="A68" s="6" t="s">
        <v>55</v>
      </c>
      <c r="B68" s="13">
        <f t="shared" ref="B68:H68" si="40">B28</f>
        <v>0</v>
      </c>
      <c r="C68" s="13">
        <f t="shared" si="40"/>
        <v>0</v>
      </c>
      <c r="D68" s="13">
        <f t="shared" si="40"/>
        <v>0</v>
      </c>
      <c r="E68" s="13">
        <f t="shared" si="40"/>
        <v>1.7999999999999988E-2</v>
      </c>
      <c r="F68" s="13">
        <f t="shared" si="40"/>
        <v>1.1999999999999992E-2</v>
      </c>
      <c r="G68" s="13">
        <f t="shared" si="40"/>
        <v>7.1999999999999955E-3</v>
      </c>
      <c r="H68" s="13">
        <f t="shared" si="40"/>
        <v>7.1999999999999955E-3</v>
      </c>
      <c r="J68" s="13">
        <f t="shared" si="34"/>
        <v>0.14193407074800124</v>
      </c>
      <c r="L68" s="12">
        <f>E21</f>
        <v>182000</v>
      </c>
      <c r="M68" s="12">
        <f>J68*$H$23-$E$24*(H28*H17+$E$7)</f>
        <v>214387.15268864299</v>
      </c>
      <c r="N68" s="14"/>
      <c r="O68" s="6" t="s">
        <v>76</v>
      </c>
      <c r="P68" s="12">
        <f t="shared" ref="P68:Q68" si="41">L69</f>
        <v>0</v>
      </c>
      <c r="Q68" s="12">
        <f t="shared" si="41"/>
        <v>0</v>
      </c>
    </row>
    <row r="69" spans="1:17" ht="15.75" customHeight="1" x14ac:dyDescent="0.2">
      <c r="A69" s="6" t="s">
        <v>76</v>
      </c>
      <c r="B69" s="13">
        <f t="shared" ref="B69:H69" si="42">B29</f>
        <v>0</v>
      </c>
      <c r="C69" s="13">
        <f t="shared" si="42"/>
        <v>0</v>
      </c>
      <c r="D69" s="13">
        <f t="shared" si="42"/>
        <v>0</v>
      </c>
      <c r="E69" s="13">
        <f t="shared" si="42"/>
        <v>0</v>
      </c>
      <c r="F69" s="13">
        <f t="shared" si="42"/>
        <v>0</v>
      </c>
      <c r="G69" s="13">
        <f t="shared" si="42"/>
        <v>0</v>
      </c>
      <c r="H69" s="13">
        <f t="shared" si="42"/>
        <v>0</v>
      </c>
      <c r="J69" s="13">
        <f t="shared" si="34"/>
        <v>0</v>
      </c>
      <c r="L69" s="12">
        <f>F21</f>
        <v>0</v>
      </c>
      <c r="M69" s="12">
        <f>J69*$H$23-$F$24*(H29*H17+$F$7)</f>
        <v>0</v>
      </c>
      <c r="N69" s="14"/>
      <c r="O69" s="6" t="s">
        <v>60</v>
      </c>
      <c r="P69" s="12">
        <f t="shared" ref="P69:Q69" si="43">L70</f>
        <v>311000</v>
      </c>
      <c r="Q69" s="12">
        <f t="shared" si="43"/>
        <v>446039.90143467311</v>
      </c>
    </row>
    <row r="70" spans="1:17" ht="15.75" customHeight="1" x14ac:dyDescent="0.2">
      <c r="A70" s="6" t="s">
        <v>60</v>
      </c>
      <c r="B70" s="13">
        <f t="shared" ref="B70:H70" si="44">B30</f>
        <v>0</v>
      </c>
      <c r="C70" s="13">
        <f t="shared" si="44"/>
        <v>0</v>
      </c>
      <c r="D70" s="13">
        <f t="shared" si="44"/>
        <v>0</v>
      </c>
      <c r="E70" s="13">
        <f t="shared" si="44"/>
        <v>0</v>
      </c>
      <c r="F70" s="13">
        <f t="shared" si="44"/>
        <v>0</v>
      </c>
      <c r="G70" s="13">
        <f t="shared" si="44"/>
        <v>1.4999999999999999E-2</v>
      </c>
      <c r="H70" s="13">
        <f t="shared" si="44"/>
        <v>1.4999999999999999E-2</v>
      </c>
      <c r="J70" s="13">
        <f t="shared" si="34"/>
        <v>0.29569598072500275</v>
      </c>
      <c r="L70" s="12">
        <f>G21</f>
        <v>311000</v>
      </c>
      <c r="M70" s="12">
        <f>J70*$H$23-$G$24*(H30*H17+$G$7)</f>
        <v>446039.90143467311</v>
      </c>
      <c r="N70" s="14"/>
      <c r="O70" s="6" t="s">
        <v>61</v>
      </c>
      <c r="P70" s="12">
        <f t="shared" ref="P70:Q70" si="45">L71</f>
        <v>0</v>
      </c>
      <c r="Q70" s="12">
        <f t="shared" si="45"/>
        <v>0</v>
      </c>
    </row>
    <row r="71" spans="1:17" ht="15.75" customHeight="1" x14ac:dyDescent="0.2">
      <c r="A71" s="6" t="s">
        <v>61</v>
      </c>
      <c r="B71" s="13">
        <f t="shared" ref="B71:H71" si="46">B31</f>
        <v>0</v>
      </c>
      <c r="C71" s="13">
        <f t="shared" si="46"/>
        <v>0</v>
      </c>
      <c r="D71" s="13">
        <f t="shared" si="46"/>
        <v>0</v>
      </c>
      <c r="E71" s="13">
        <f t="shared" si="46"/>
        <v>0</v>
      </c>
      <c r="F71" s="13">
        <f t="shared" si="46"/>
        <v>0</v>
      </c>
      <c r="G71" s="13">
        <f t="shared" si="46"/>
        <v>0</v>
      </c>
      <c r="H71" s="13">
        <f t="shared" si="46"/>
        <v>0</v>
      </c>
      <c r="J71" s="13">
        <f t="shared" si="34"/>
        <v>0</v>
      </c>
      <c r="L71" s="12">
        <f>H21</f>
        <v>0</v>
      </c>
      <c r="M71" s="12">
        <f>J71*$H$23</f>
        <v>0</v>
      </c>
    </row>
    <row r="72" spans="1:17" ht="15.75" customHeight="1" x14ac:dyDescent="0.2">
      <c r="J72" s="13"/>
    </row>
    <row r="73" spans="1:17" ht="15.75" customHeight="1" x14ac:dyDescent="0.2">
      <c r="A73" s="6" t="s">
        <v>62</v>
      </c>
      <c r="B73" s="6" t="s">
        <v>55</v>
      </c>
      <c r="C73" s="6" t="s">
        <v>55</v>
      </c>
      <c r="D73" s="6" t="s">
        <v>75</v>
      </c>
      <c r="E73" s="6" t="s">
        <v>55</v>
      </c>
      <c r="F73" s="6" t="s">
        <v>76</v>
      </c>
      <c r="G73" s="6" t="s">
        <v>60</v>
      </c>
      <c r="H73" s="6" t="s">
        <v>61</v>
      </c>
      <c r="J73" s="13"/>
      <c r="P73" s="7" t="s">
        <v>50</v>
      </c>
      <c r="Q73" s="7" t="s">
        <v>51</v>
      </c>
    </row>
    <row r="74" spans="1:17" ht="15.75" customHeight="1" x14ac:dyDescent="0.2">
      <c r="A74" s="6" t="s">
        <v>55</v>
      </c>
      <c r="B74" s="13">
        <f t="shared" ref="B74:H74" si="47">B65</f>
        <v>6.25E-2</v>
      </c>
      <c r="C74" s="13">
        <f t="shared" si="47"/>
        <v>3.7499999999999999E-2</v>
      </c>
      <c r="D74" s="13">
        <f t="shared" si="47"/>
        <v>2.75E-2</v>
      </c>
      <c r="E74" s="13">
        <f t="shared" si="47"/>
        <v>1.7874999999999999E-2</v>
      </c>
      <c r="F74" s="13">
        <f t="shared" si="47"/>
        <v>1.1916666666666664E-2</v>
      </c>
      <c r="G74" s="13">
        <f t="shared" si="47"/>
        <v>7.1499999999999984E-3</v>
      </c>
      <c r="H74" s="13">
        <f t="shared" si="47"/>
        <v>7.1499999999999984E-3</v>
      </c>
      <c r="J74" s="13">
        <f t="shared" ref="J74:J80" si="48">H74/$H$56</f>
        <v>0.14094841747891795</v>
      </c>
      <c r="L74" s="12">
        <f t="shared" ref="L74:M74" si="49">L65</f>
        <v>51000</v>
      </c>
      <c r="M74" s="12">
        <f t="shared" si="49"/>
        <v>209135.95301719414</v>
      </c>
      <c r="O74" s="6" t="s">
        <v>55</v>
      </c>
      <c r="P74" s="12">
        <f t="shared" ref="P74:Q74" si="50">L74+L75+L77</f>
        <v>336000</v>
      </c>
      <c r="Q74" s="12">
        <f t="shared" si="50"/>
        <v>798721.24440307135</v>
      </c>
    </row>
    <row r="75" spans="1:17" ht="15.75" customHeight="1" x14ac:dyDescent="0.2">
      <c r="A75" s="6" t="s">
        <v>55</v>
      </c>
      <c r="B75" s="13">
        <f t="shared" ref="B75:H75" si="51">B66</f>
        <v>0</v>
      </c>
      <c r="C75" s="13">
        <f t="shared" si="51"/>
        <v>6.666666666666668E-2</v>
      </c>
      <c r="D75" s="13">
        <f t="shared" si="51"/>
        <v>4.8888888888888898E-2</v>
      </c>
      <c r="E75" s="13">
        <f t="shared" si="51"/>
        <v>3.1777777777777787E-2</v>
      </c>
      <c r="F75" s="13">
        <f t="shared" si="51"/>
        <v>2.1185185185185192E-2</v>
      </c>
      <c r="G75" s="13">
        <f t="shared" si="51"/>
        <v>1.2711111111111116E-2</v>
      </c>
      <c r="H75" s="13">
        <f t="shared" si="51"/>
        <v>1.2711111111111116E-2</v>
      </c>
      <c r="J75" s="13">
        <f t="shared" si="48"/>
        <v>0.25057496440696542</v>
      </c>
      <c r="L75" s="12">
        <f t="shared" ref="L75:M75" si="52">L66</f>
        <v>103000</v>
      </c>
      <c r="M75" s="12">
        <f t="shared" si="52"/>
        <v>375198.13869723427</v>
      </c>
      <c r="O75" s="6" t="s">
        <v>75</v>
      </c>
      <c r="P75" s="12">
        <f t="shared" ref="P75:Q75" si="53">L76</f>
        <v>152000</v>
      </c>
      <c r="Q75" s="12">
        <f t="shared" si="53"/>
        <v>256816.60971781111</v>
      </c>
    </row>
    <row r="76" spans="1:17" ht="15.75" customHeight="1" x14ac:dyDescent="0.2">
      <c r="A76" s="6" t="s">
        <v>75</v>
      </c>
      <c r="B76" s="13">
        <f t="shared" ref="B76:H76" si="54">B67</f>
        <v>0</v>
      </c>
      <c r="C76" s="13">
        <f t="shared" si="54"/>
        <v>0</v>
      </c>
      <c r="D76" s="13">
        <f t="shared" si="54"/>
        <v>3.3333333333333326E-2</v>
      </c>
      <c r="E76" s="13">
        <f t="shared" si="54"/>
        <v>2.1666666666666664E-2</v>
      </c>
      <c r="F76" s="13">
        <f t="shared" si="54"/>
        <v>1.4444444444444442E-2</v>
      </c>
      <c r="G76" s="13">
        <f t="shared" si="54"/>
        <v>8.6666666666666663E-3</v>
      </c>
      <c r="H76" s="13">
        <f t="shared" si="54"/>
        <v>8.6666666666666663E-3</v>
      </c>
      <c r="J76" s="13">
        <f t="shared" si="48"/>
        <v>0.1708465666411127</v>
      </c>
      <c r="L76" s="12">
        <f t="shared" ref="L76:M76" si="55">L67</f>
        <v>152000</v>
      </c>
      <c r="M76" s="12">
        <f t="shared" si="55"/>
        <v>256816.60971781111</v>
      </c>
      <c r="O76" s="6" t="s">
        <v>76</v>
      </c>
      <c r="P76" s="12">
        <f t="shared" ref="P76:Q76" si="56">L78</f>
        <v>0</v>
      </c>
      <c r="Q76" s="12">
        <f t="shared" si="56"/>
        <v>0</v>
      </c>
    </row>
    <row r="77" spans="1:17" ht="15.75" customHeight="1" x14ac:dyDescent="0.2">
      <c r="A77" s="6" t="s">
        <v>55</v>
      </c>
      <c r="B77" s="13">
        <f t="shared" ref="B77:H77" si="57">B68</f>
        <v>0</v>
      </c>
      <c r="C77" s="13">
        <f t="shared" si="57"/>
        <v>0</v>
      </c>
      <c r="D77" s="13">
        <f t="shared" si="57"/>
        <v>0</v>
      </c>
      <c r="E77" s="13">
        <f t="shared" si="57"/>
        <v>1.7999999999999988E-2</v>
      </c>
      <c r="F77" s="13">
        <f t="shared" si="57"/>
        <v>1.1999999999999992E-2</v>
      </c>
      <c r="G77" s="13">
        <f t="shared" si="57"/>
        <v>7.1999999999999955E-3</v>
      </c>
      <c r="H77" s="13">
        <f t="shared" si="57"/>
        <v>7.1999999999999955E-3</v>
      </c>
      <c r="J77" s="13">
        <f t="shared" si="48"/>
        <v>0.14193407074800124</v>
      </c>
      <c r="L77" s="12">
        <f t="shared" ref="L77:M77" si="58">L68</f>
        <v>182000</v>
      </c>
      <c r="M77" s="12">
        <f t="shared" si="58"/>
        <v>214387.15268864299</v>
      </c>
      <c r="O77" s="6" t="s">
        <v>60</v>
      </c>
      <c r="P77" s="12">
        <f t="shared" ref="P77:Q77" si="59">L79</f>
        <v>311000</v>
      </c>
      <c r="Q77" s="12">
        <f t="shared" si="59"/>
        <v>446039.90143467311</v>
      </c>
    </row>
    <row r="78" spans="1:17" ht="15.75" customHeight="1" x14ac:dyDescent="0.2">
      <c r="A78" s="6" t="s">
        <v>76</v>
      </c>
      <c r="B78" s="13">
        <f t="shared" ref="B78:H78" si="60">B69</f>
        <v>0</v>
      </c>
      <c r="C78" s="13">
        <f t="shared" si="60"/>
        <v>0</v>
      </c>
      <c r="D78" s="13">
        <f t="shared" si="60"/>
        <v>0</v>
      </c>
      <c r="E78" s="13">
        <f t="shared" si="60"/>
        <v>0</v>
      </c>
      <c r="F78" s="13">
        <f t="shared" si="60"/>
        <v>0</v>
      </c>
      <c r="G78" s="13">
        <f t="shared" si="60"/>
        <v>0</v>
      </c>
      <c r="H78" s="13">
        <f t="shared" si="60"/>
        <v>0</v>
      </c>
      <c r="J78" s="13">
        <f t="shared" si="48"/>
        <v>0</v>
      </c>
      <c r="L78" s="12">
        <f t="shared" ref="L78:M78" si="61">L69</f>
        <v>0</v>
      </c>
      <c r="M78" s="12">
        <f t="shared" si="61"/>
        <v>0</v>
      </c>
      <c r="O78" s="6" t="s">
        <v>61</v>
      </c>
      <c r="P78" s="12">
        <f t="shared" ref="P78:Q78" si="62">L80</f>
        <v>0</v>
      </c>
      <c r="Q78" s="12">
        <f t="shared" si="62"/>
        <v>0</v>
      </c>
    </row>
    <row r="79" spans="1:17" ht="15.75" customHeight="1" x14ac:dyDescent="0.2">
      <c r="A79" s="6" t="s">
        <v>60</v>
      </c>
      <c r="B79" s="13">
        <f t="shared" ref="B79:H79" si="63">B70</f>
        <v>0</v>
      </c>
      <c r="C79" s="13">
        <f t="shared" si="63"/>
        <v>0</v>
      </c>
      <c r="D79" s="13">
        <f t="shared" si="63"/>
        <v>0</v>
      </c>
      <c r="E79" s="13">
        <f t="shared" si="63"/>
        <v>0</v>
      </c>
      <c r="F79" s="13">
        <f t="shared" si="63"/>
        <v>0</v>
      </c>
      <c r="G79" s="13">
        <f t="shared" si="63"/>
        <v>1.4999999999999999E-2</v>
      </c>
      <c r="H79" s="13">
        <f t="shared" si="63"/>
        <v>1.4999999999999999E-2</v>
      </c>
      <c r="J79" s="13">
        <f t="shared" si="48"/>
        <v>0.29569598072500275</v>
      </c>
      <c r="L79" s="12">
        <f t="shared" ref="L79:M79" si="64">L70</f>
        <v>311000</v>
      </c>
      <c r="M79" s="12">
        <f t="shared" si="64"/>
        <v>446039.90143467311</v>
      </c>
    </row>
    <row r="80" spans="1:17" ht="15.75" customHeight="1" x14ac:dyDescent="0.2">
      <c r="A80" s="6" t="s">
        <v>61</v>
      </c>
      <c r="B80" s="13">
        <f t="shared" ref="B80:H80" si="65">B71</f>
        <v>0</v>
      </c>
      <c r="C80" s="13">
        <f t="shared" si="65"/>
        <v>0</v>
      </c>
      <c r="D80" s="13">
        <f t="shared" si="65"/>
        <v>0</v>
      </c>
      <c r="E80" s="13">
        <f t="shared" si="65"/>
        <v>0</v>
      </c>
      <c r="F80" s="13">
        <f t="shared" si="65"/>
        <v>0</v>
      </c>
      <c r="G80" s="13">
        <f t="shared" si="65"/>
        <v>0</v>
      </c>
      <c r="H80" s="13">
        <f t="shared" si="65"/>
        <v>0</v>
      </c>
      <c r="J80" s="13">
        <f t="shared" si="48"/>
        <v>0</v>
      </c>
      <c r="L80" s="12">
        <f t="shared" ref="L80:M80" si="66">L71</f>
        <v>0</v>
      </c>
      <c r="M80" s="12">
        <f t="shared" si="66"/>
        <v>0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/>
  </sheetViews>
  <sheetFormatPr baseColWidth="10" defaultColWidth="11.1640625" defaultRowHeight="15" customHeight="1" x14ac:dyDescent="0.2"/>
  <cols>
    <col min="1" max="1" width="33" customWidth="1"/>
    <col min="2" max="2" width="16.6640625" customWidth="1"/>
    <col min="3" max="3" width="14" customWidth="1"/>
    <col min="4" max="5" width="15" customWidth="1"/>
    <col min="6" max="6" width="12" customWidth="1"/>
    <col min="7" max="7" width="37.83203125" customWidth="1"/>
    <col min="8" max="8" width="16.6640625" customWidth="1"/>
    <col min="9" max="10" width="14" customWidth="1"/>
    <col min="11" max="11" width="11" customWidth="1"/>
    <col min="12" max="12" width="24.83203125" customWidth="1"/>
    <col min="13" max="13" width="16.6640625" customWidth="1"/>
    <col min="14" max="14" width="13.83203125" customWidth="1"/>
    <col min="15" max="18" width="14.83203125" customWidth="1"/>
    <col min="19" max="19" width="10.5" customWidth="1"/>
    <col min="20" max="20" width="11.33203125" customWidth="1"/>
    <col min="21" max="21" width="12" customWidth="1"/>
    <col min="22" max="22" width="20.1640625" customWidth="1"/>
    <col min="23" max="23" width="10.5" customWidth="1"/>
    <col min="24" max="24" width="11.33203125" customWidth="1"/>
    <col min="25" max="25" width="10.5" customWidth="1"/>
    <col min="26" max="26" width="11.33203125" customWidth="1"/>
    <col min="27" max="27" width="10.5" customWidth="1"/>
  </cols>
  <sheetData>
    <row r="1" spans="1:18" ht="15.75" customHeight="1" x14ac:dyDescent="0.2">
      <c r="A1" s="1"/>
      <c r="B1" s="2">
        <v>42370</v>
      </c>
      <c r="C1" s="2">
        <v>42740</v>
      </c>
      <c r="D1" s="2">
        <v>44196</v>
      </c>
      <c r="E1" s="46"/>
      <c r="G1" s="1"/>
      <c r="H1" s="2">
        <v>43412</v>
      </c>
      <c r="I1" s="2">
        <v>44033</v>
      </c>
      <c r="J1" s="46"/>
      <c r="L1" s="1"/>
      <c r="M1" s="2">
        <v>42370</v>
      </c>
      <c r="N1" s="2">
        <v>42868</v>
      </c>
      <c r="O1" s="2">
        <v>43195</v>
      </c>
      <c r="P1" s="2">
        <v>43567</v>
      </c>
      <c r="Q1" s="2">
        <v>44190</v>
      </c>
      <c r="R1" s="46"/>
    </row>
    <row r="2" spans="1:18" ht="15.75" customHeight="1" x14ac:dyDescent="0.2">
      <c r="A2" s="3" t="s">
        <v>0</v>
      </c>
      <c r="B2" s="4" t="str">
        <f t="shared" ref="B2:D2" si="0">$A$20</f>
        <v>Acme</v>
      </c>
      <c r="C2" s="4" t="str">
        <f t="shared" si="0"/>
        <v>Acme</v>
      </c>
      <c r="D2" s="4" t="str">
        <f t="shared" si="0"/>
        <v>Acme</v>
      </c>
      <c r="E2" s="4"/>
      <c r="G2" s="3" t="s">
        <v>0</v>
      </c>
      <c r="H2" s="4" t="str">
        <f t="shared" ref="H2:I2" si="1">$G$20</f>
        <v>Alpha</v>
      </c>
      <c r="I2" s="4" t="str">
        <f t="shared" si="1"/>
        <v>Alpha</v>
      </c>
      <c r="J2" s="4"/>
      <c r="L2" s="3" t="s">
        <v>0</v>
      </c>
      <c r="M2" s="4" t="str">
        <f t="shared" ref="M2:Q2" si="2">$L$20</f>
        <v>Kappa</v>
      </c>
      <c r="N2" s="4" t="str">
        <f t="shared" si="2"/>
        <v>Kappa</v>
      </c>
      <c r="O2" s="4" t="str">
        <f t="shared" si="2"/>
        <v>Kappa</v>
      </c>
      <c r="P2" s="4" t="str">
        <f t="shared" si="2"/>
        <v>Kappa</v>
      </c>
      <c r="Q2" s="4" t="str">
        <f t="shared" si="2"/>
        <v>Kappa</v>
      </c>
      <c r="R2" s="4"/>
    </row>
    <row r="3" spans="1:18" ht="15.75" customHeight="1" x14ac:dyDescent="0.2">
      <c r="A3" s="3" t="s">
        <v>1</v>
      </c>
      <c r="B3" s="5" t="s">
        <v>2</v>
      </c>
      <c r="C3" s="5" t="s">
        <v>3</v>
      </c>
      <c r="D3" s="5" t="s">
        <v>3</v>
      </c>
      <c r="E3" s="5"/>
      <c r="G3" s="3" t="s">
        <v>1</v>
      </c>
      <c r="H3" s="5" t="s">
        <v>2</v>
      </c>
      <c r="I3" s="5" t="s">
        <v>70</v>
      </c>
      <c r="J3" s="5"/>
      <c r="L3" s="3" t="s">
        <v>1</v>
      </c>
      <c r="M3" s="5" t="s">
        <v>2</v>
      </c>
      <c r="N3" s="5" t="s">
        <v>3</v>
      </c>
      <c r="O3" s="5" t="s">
        <v>3</v>
      </c>
      <c r="P3" s="5" t="s">
        <v>3</v>
      </c>
      <c r="Q3" s="5" t="s">
        <v>3</v>
      </c>
      <c r="R3" s="5"/>
    </row>
    <row r="4" spans="1:18" ht="15.75" customHeight="1" x14ac:dyDescent="0.2">
      <c r="A4" s="3" t="s">
        <v>5</v>
      </c>
      <c r="B4" s="7" t="s">
        <v>7</v>
      </c>
      <c r="C4" s="7" t="s">
        <v>7</v>
      </c>
      <c r="D4" s="7" t="s">
        <v>7</v>
      </c>
      <c r="E4" s="7"/>
      <c r="G4" s="3" t="s">
        <v>5</v>
      </c>
      <c r="H4" s="7" t="s">
        <v>7</v>
      </c>
      <c r="I4" s="7" t="s">
        <v>7</v>
      </c>
      <c r="J4" s="7"/>
      <c r="L4" s="3" t="s">
        <v>5</v>
      </c>
      <c r="M4" s="7" t="s">
        <v>6</v>
      </c>
      <c r="N4" s="7" t="s">
        <v>7</v>
      </c>
      <c r="O4" s="7" t="s">
        <v>6</v>
      </c>
      <c r="P4" s="7" t="s">
        <v>7</v>
      </c>
      <c r="Q4" s="7" t="s">
        <v>7</v>
      </c>
      <c r="R4" s="7"/>
    </row>
    <row r="5" spans="1:18" ht="15.75" customHeight="1" x14ac:dyDescent="0.2">
      <c r="A5" s="3" t="s">
        <v>9</v>
      </c>
      <c r="B5" s="8"/>
      <c r="C5" s="7"/>
      <c r="D5" s="7"/>
      <c r="E5" s="7"/>
      <c r="G5" s="3" t="s">
        <v>9</v>
      </c>
      <c r="H5" s="8"/>
      <c r="I5" s="7"/>
      <c r="J5" s="7"/>
      <c r="L5" s="3" t="s">
        <v>9</v>
      </c>
      <c r="M5" s="8">
        <v>0.15</v>
      </c>
      <c r="N5" s="7"/>
      <c r="O5" s="8">
        <v>0.1</v>
      </c>
      <c r="P5" s="7"/>
      <c r="Q5" s="7"/>
      <c r="R5" s="7"/>
    </row>
    <row r="6" spans="1:18" ht="15.75" customHeight="1" x14ac:dyDescent="0.2">
      <c r="A6" s="3" t="s">
        <v>10</v>
      </c>
      <c r="B6" s="9">
        <f>-(25000)</f>
        <v>-25000</v>
      </c>
      <c r="C6" s="9">
        <f>-50000</f>
        <v>-50000</v>
      </c>
      <c r="D6" s="9">
        <f>-190000</f>
        <v>-190000</v>
      </c>
      <c r="E6" s="9"/>
      <c r="G6" s="3" t="s">
        <v>10</v>
      </c>
      <c r="H6" s="9">
        <f>-(51000)</f>
        <v>-51000</v>
      </c>
      <c r="I6" s="9">
        <f>0</f>
        <v>0</v>
      </c>
      <c r="J6" s="9"/>
      <c r="L6" s="3" t="s">
        <v>10</v>
      </c>
      <c r="M6" s="9">
        <f>-(25000)</f>
        <v>-25000</v>
      </c>
      <c r="N6" s="9">
        <f>-50000</f>
        <v>-50000</v>
      </c>
      <c r="O6" s="9">
        <f>-253000</f>
        <v>-253000</v>
      </c>
      <c r="P6" s="9">
        <v>0</v>
      </c>
      <c r="Q6" s="9">
        <f>-190000</f>
        <v>-190000</v>
      </c>
      <c r="R6" s="9"/>
    </row>
    <row r="7" spans="1:18" ht="15.75" customHeight="1" x14ac:dyDescent="0.2">
      <c r="A7" s="3" t="s">
        <v>11</v>
      </c>
      <c r="B7" s="9">
        <f>-(24000)</f>
        <v>-24000</v>
      </c>
      <c r="C7" s="9">
        <f>-48000</f>
        <v>-48000</v>
      </c>
      <c r="D7" s="9">
        <f>-180000</f>
        <v>-180000</v>
      </c>
      <c r="E7" s="9"/>
      <c r="G7" s="3" t="s">
        <v>11</v>
      </c>
      <c r="H7" s="9">
        <f>-50000</f>
        <v>-50000</v>
      </c>
      <c r="I7" s="9">
        <f>375000</f>
        <v>375000</v>
      </c>
      <c r="J7" s="9"/>
      <c r="L7" s="3" t="s">
        <v>11</v>
      </c>
      <c r="M7" s="9">
        <f>-(24000)</f>
        <v>-24000</v>
      </c>
      <c r="N7" s="9">
        <f>-48000</f>
        <v>-48000</v>
      </c>
      <c r="O7" s="9">
        <f>-250000</f>
        <v>-250000</v>
      </c>
      <c r="P7" s="9">
        <v>0</v>
      </c>
      <c r="Q7" s="9">
        <f>-187000</f>
        <v>-187000</v>
      </c>
      <c r="R7" s="9"/>
    </row>
    <row r="8" spans="1:18" ht="15.75" customHeight="1" x14ac:dyDescent="0.2">
      <c r="A8" s="3" t="s">
        <v>12</v>
      </c>
      <c r="B8" s="10">
        <f t="shared" ref="B8:D8" si="3">1-B7/B6</f>
        <v>4.0000000000000036E-2</v>
      </c>
      <c r="C8" s="10">
        <f t="shared" si="3"/>
        <v>4.0000000000000036E-2</v>
      </c>
      <c r="D8" s="10">
        <f t="shared" si="3"/>
        <v>5.2631578947368474E-2</v>
      </c>
      <c r="E8" s="10"/>
      <c r="G8" s="3" t="s">
        <v>12</v>
      </c>
      <c r="H8" s="10">
        <f>1-H7/H6</f>
        <v>1.9607843137254943E-2</v>
      </c>
      <c r="I8" s="10">
        <f>IF(I6&lt;0,1-I7/I6,0)</f>
        <v>0</v>
      </c>
      <c r="J8" s="10"/>
      <c r="L8" s="3" t="s">
        <v>12</v>
      </c>
      <c r="M8" s="10">
        <f t="shared" ref="M8:O8" si="4">1-M7/M6</f>
        <v>4.0000000000000036E-2</v>
      </c>
      <c r="N8" s="10">
        <f t="shared" si="4"/>
        <v>4.0000000000000036E-2</v>
      </c>
      <c r="O8" s="10">
        <f t="shared" si="4"/>
        <v>1.1857707509881465E-2</v>
      </c>
      <c r="P8" s="10">
        <f>IF(P6&lt;0,1-P7/P6,0)</f>
        <v>0</v>
      </c>
      <c r="Q8" s="10">
        <f>1-Q7/Q6</f>
        <v>1.5789473684210575E-2</v>
      </c>
      <c r="R8" s="10"/>
    </row>
    <row r="9" spans="1:18" ht="15.75" customHeight="1" x14ac:dyDescent="0.2">
      <c r="A9" s="3" t="s">
        <v>13</v>
      </c>
      <c r="B9" s="11">
        <v>0.03</v>
      </c>
      <c r="C9" s="11">
        <v>0.04</v>
      </c>
      <c r="D9" s="11">
        <v>0.05</v>
      </c>
      <c r="E9" s="11"/>
      <c r="G9" s="3" t="s">
        <v>13</v>
      </c>
      <c r="H9" s="11">
        <v>0.02</v>
      </c>
      <c r="I9" s="11">
        <v>0</v>
      </c>
      <c r="J9" s="11"/>
      <c r="L9" s="3" t="s">
        <v>13</v>
      </c>
      <c r="M9" s="11">
        <v>0.03</v>
      </c>
      <c r="N9" s="11">
        <v>0.02</v>
      </c>
      <c r="O9" s="11">
        <v>1.7999999999999999E-2</v>
      </c>
      <c r="P9" s="11">
        <v>0.02</v>
      </c>
      <c r="Q9" s="11">
        <v>1.4999999999999999E-2</v>
      </c>
      <c r="R9" s="11"/>
    </row>
    <row r="10" spans="1:18" ht="15.75" customHeight="1" x14ac:dyDescent="0.2">
      <c r="A10" s="3" t="s">
        <v>14</v>
      </c>
      <c r="B10" s="12">
        <f>IF(B4="SAFE",B11*B15,B11*B13)</f>
        <v>24000</v>
      </c>
      <c r="C10" s="12">
        <f t="shared" ref="C10:D10" si="5">B11*(C17-C12)+(-C7)</f>
        <v>86000</v>
      </c>
      <c r="D10" s="12">
        <f t="shared" si="5"/>
        <v>489600</v>
      </c>
      <c r="E10" s="12"/>
      <c r="G10" s="3" t="s">
        <v>14</v>
      </c>
      <c r="H10" s="12">
        <f>IF(H4="SAFE",H11*H15,H11*H13)</f>
        <v>50000</v>
      </c>
      <c r="I10" s="12">
        <f>I7</f>
        <v>375000</v>
      </c>
      <c r="J10" s="12"/>
      <c r="L10" s="3" t="s">
        <v>14</v>
      </c>
      <c r="M10" s="12">
        <f>IF(M4="SAFE",M11*M15,M11*M13)</f>
        <v>24000</v>
      </c>
      <c r="N10" s="12">
        <f t="shared" ref="N10:Q10" si="6">M11*(N17-N12)+(-N7)</f>
        <v>86000</v>
      </c>
      <c r="O10" s="12">
        <f t="shared" si="6"/>
        <v>407380</v>
      </c>
      <c r="P10" s="12">
        <f t="shared" si="6"/>
        <v>452644.44444444444</v>
      </c>
      <c r="Q10" s="12">
        <f t="shared" si="6"/>
        <v>865966.66666666663</v>
      </c>
      <c r="R10" s="12"/>
    </row>
    <row r="11" spans="1:18" ht="15.75" customHeight="1" x14ac:dyDescent="0.2">
      <c r="A11" s="3" t="s">
        <v>15</v>
      </c>
      <c r="B11" s="13">
        <f>IF(B4="SAFE",-B7/B15,-B7/B13)</f>
        <v>8.0000000000000002E-3</v>
      </c>
      <c r="C11" s="13">
        <f t="shared" ref="C11:D11" si="7">C10/C17</f>
        <v>1.72E-2</v>
      </c>
      <c r="D11" s="13">
        <f t="shared" si="7"/>
        <v>2.4479999999999998E-2</v>
      </c>
      <c r="E11" s="13"/>
      <c r="G11" s="3" t="s">
        <v>15</v>
      </c>
      <c r="H11" s="13">
        <f>IF(H4="SAFE",-H7/H15,-H7/H13)</f>
        <v>0.05</v>
      </c>
      <c r="I11" s="13">
        <f>I10/I17</f>
        <v>0.05</v>
      </c>
      <c r="J11" s="13"/>
      <c r="L11" s="3" t="s">
        <v>15</v>
      </c>
      <c r="M11" s="13">
        <f>IF(M4="SAFE",-M7/M15,-M7/M13)</f>
        <v>8.0000000000000002E-3</v>
      </c>
      <c r="N11" s="13">
        <f t="shared" ref="N11:Q11" si="8">N10/N17</f>
        <v>1.72E-2</v>
      </c>
      <c r="O11" s="13">
        <f t="shared" si="8"/>
        <v>4.114949494949495E-2</v>
      </c>
      <c r="P11" s="13">
        <f t="shared" si="8"/>
        <v>3.7720370370370369E-2</v>
      </c>
      <c r="Q11" s="13">
        <f t="shared" si="8"/>
        <v>4.3298333333333335E-2</v>
      </c>
      <c r="R11" s="13"/>
    </row>
    <row r="12" spans="1:18" ht="15.75" customHeight="1" x14ac:dyDescent="0.2">
      <c r="A12" s="3" t="s">
        <v>16</v>
      </c>
      <c r="B12" s="14">
        <v>100000</v>
      </c>
      <c r="C12" s="14">
        <v>250000</v>
      </c>
      <c r="D12" s="14">
        <v>2000000</v>
      </c>
      <c r="E12" s="14"/>
      <c r="G12" s="3" t="s">
        <v>16</v>
      </c>
      <c r="H12" s="14">
        <v>50000</v>
      </c>
      <c r="I12" s="14"/>
      <c r="J12" s="14"/>
      <c r="L12" s="3" t="s">
        <v>16</v>
      </c>
      <c r="M12" s="14">
        <v>100000</v>
      </c>
      <c r="N12" s="14">
        <v>250000</v>
      </c>
      <c r="O12" s="14">
        <v>750000</v>
      </c>
      <c r="P12" s="14">
        <v>1000000</v>
      </c>
      <c r="Q12" s="14">
        <v>2000000</v>
      </c>
      <c r="R12" s="14"/>
    </row>
    <row r="13" spans="1:18" ht="15.75" customHeight="1" x14ac:dyDescent="0.2">
      <c r="A13" s="3" t="s">
        <v>17</v>
      </c>
      <c r="B13" s="14">
        <v>3000000</v>
      </c>
      <c r="C13" s="14">
        <v>5000000</v>
      </c>
      <c r="D13" s="14">
        <v>20000000</v>
      </c>
      <c r="E13" s="14"/>
      <c r="G13" s="3" t="s">
        <v>17</v>
      </c>
      <c r="H13" s="14">
        <v>1000000</v>
      </c>
      <c r="I13" s="14">
        <v>7500000</v>
      </c>
      <c r="J13" s="14"/>
      <c r="L13" s="3" t="s">
        <v>17</v>
      </c>
      <c r="M13" s="14"/>
      <c r="N13" s="14">
        <v>5000000</v>
      </c>
      <c r="O13" s="14"/>
      <c r="P13" s="14">
        <v>12000000</v>
      </c>
      <c r="Q13" s="14">
        <v>20000000</v>
      </c>
      <c r="R13" s="14"/>
    </row>
    <row r="14" spans="1:18" ht="15.75" customHeight="1" x14ac:dyDescent="0.2">
      <c r="A14" s="3" t="s">
        <v>18</v>
      </c>
      <c r="B14" s="14"/>
      <c r="C14" s="14"/>
      <c r="D14" s="14"/>
      <c r="E14" s="14"/>
      <c r="G14" s="3" t="s">
        <v>18</v>
      </c>
      <c r="H14" s="14"/>
      <c r="I14" s="14"/>
      <c r="J14" s="14"/>
      <c r="L14" s="3" t="s">
        <v>18</v>
      </c>
      <c r="M14" s="14">
        <v>3000000</v>
      </c>
      <c r="N14" s="14"/>
      <c r="O14" s="14">
        <v>15000000</v>
      </c>
      <c r="P14" s="14"/>
      <c r="Q14" s="14"/>
      <c r="R14" s="14"/>
    </row>
    <row r="15" spans="1:18" ht="15.75" customHeight="1" x14ac:dyDescent="0.2">
      <c r="A15" s="47" t="s">
        <v>19</v>
      </c>
      <c r="B15" s="14"/>
      <c r="C15" s="14"/>
      <c r="D15" s="14"/>
      <c r="E15" s="14"/>
      <c r="G15" s="47" t="s">
        <v>19</v>
      </c>
      <c r="H15" s="14"/>
      <c r="I15" s="14"/>
      <c r="J15" s="14"/>
      <c r="L15" s="47" t="s">
        <v>19</v>
      </c>
      <c r="M15" s="14">
        <f>MIN(M14,(1-M5)*(N13-N12))</f>
        <v>3000000</v>
      </c>
      <c r="N15" s="14"/>
      <c r="O15" s="14">
        <f>MIN(O14,(1-O5)*(P13-P12))</f>
        <v>9900000</v>
      </c>
      <c r="P15" s="14"/>
      <c r="Q15" s="14"/>
      <c r="R15" s="14"/>
    </row>
    <row r="16" spans="1:18" ht="15.75" customHeight="1" x14ac:dyDescent="0.2">
      <c r="B16" s="14"/>
      <c r="H16" s="14"/>
      <c r="M16" s="14"/>
    </row>
    <row r="17" spans="1:18" ht="15.75" customHeight="1" x14ac:dyDescent="0.2">
      <c r="A17" s="16" t="s">
        <v>20</v>
      </c>
      <c r="B17" s="14">
        <f t="shared" ref="B17:D17" si="9">IF(B4="SAFE",B15,B13)</f>
        <v>3000000</v>
      </c>
      <c r="C17" s="14">
        <f t="shared" si="9"/>
        <v>5000000</v>
      </c>
      <c r="D17" s="14">
        <f t="shared" si="9"/>
        <v>20000000</v>
      </c>
      <c r="E17" s="14"/>
      <c r="G17" s="16" t="s">
        <v>20</v>
      </c>
      <c r="H17" s="14">
        <f t="shared" ref="H17:I17" si="10">IF(H4="SAFE",H15,H13)</f>
        <v>1000000</v>
      </c>
      <c r="I17" s="14">
        <f t="shared" si="10"/>
        <v>7500000</v>
      </c>
      <c r="J17" s="14"/>
      <c r="L17" s="16" t="s">
        <v>20</v>
      </c>
      <c r="M17" s="14">
        <f t="shared" ref="M17:Q17" si="11">IF(M4="SAFE",M15,M13)</f>
        <v>3000000</v>
      </c>
      <c r="N17" s="14">
        <f t="shared" si="11"/>
        <v>5000000</v>
      </c>
      <c r="O17" s="14">
        <f t="shared" si="11"/>
        <v>9900000</v>
      </c>
      <c r="P17" s="14">
        <f t="shared" si="11"/>
        <v>12000000</v>
      </c>
      <c r="Q17" s="14">
        <f t="shared" si="11"/>
        <v>20000000</v>
      </c>
      <c r="R17" s="14"/>
    </row>
    <row r="18" spans="1:18" ht="15.75" customHeight="1" x14ac:dyDescent="0.2"/>
    <row r="19" spans="1:18" ht="15.75" customHeight="1" x14ac:dyDescent="0.2"/>
    <row r="20" spans="1:18" ht="15.75" customHeight="1" x14ac:dyDescent="0.2">
      <c r="A20" s="6" t="s">
        <v>47</v>
      </c>
      <c r="G20" s="6" t="s">
        <v>77</v>
      </c>
      <c r="L20" s="6" t="s">
        <v>21</v>
      </c>
    </row>
    <row r="21" spans="1:18" ht="15.75" customHeight="1" x14ac:dyDescent="0.2">
      <c r="A21" s="6" t="s">
        <v>22</v>
      </c>
      <c r="B21" s="12">
        <f t="shared" ref="B21:D21" si="12">-B6</f>
        <v>25000</v>
      </c>
      <c r="C21" s="12">
        <f t="shared" si="12"/>
        <v>50000</v>
      </c>
      <c r="D21" s="12">
        <f t="shared" si="12"/>
        <v>190000</v>
      </c>
      <c r="E21" s="12"/>
      <c r="G21" s="6" t="s">
        <v>22</v>
      </c>
      <c r="H21" s="12">
        <f t="shared" ref="H21:I21" si="13">-H6</f>
        <v>51000</v>
      </c>
      <c r="I21" s="12">
        <f t="shared" si="13"/>
        <v>0</v>
      </c>
      <c r="J21" s="12"/>
      <c r="L21" s="6" t="s">
        <v>22</v>
      </c>
      <c r="M21" s="12">
        <f t="shared" ref="M21:Q21" si="14">-M6</f>
        <v>25000</v>
      </c>
      <c r="N21" s="12">
        <f t="shared" si="14"/>
        <v>50000</v>
      </c>
      <c r="O21" s="12">
        <f t="shared" si="14"/>
        <v>253000</v>
      </c>
      <c r="P21" s="12">
        <f t="shared" si="14"/>
        <v>0</v>
      </c>
      <c r="Q21" s="12">
        <f t="shared" si="14"/>
        <v>190000</v>
      </c>
      <c r="R21" s="12"/>
    </row>
    <row r="22" spans="1:18" ht="15.75" customHeight="1" x14ac:dyDescent="0.2">
      <c r="A22" s="6" t="s">
        <v>23</v>
      </c>
      <c r="B22" s="12">
        <f>B21</f>
        <v>25000</v>
      </c>
      <c r="C22" s="12">
        <f t="shared" ref="C22:D22" si="15">C21+B22</f>
        <v>75000</v>
      </c>
      <c r="D22" s="12">
        <f t="shared" si="15"/>
        <v>265000</v>
      </c>
      <c r="E22" s="12"/>
      <c r="G22" s="6" t="s">
        <v>23</v>
      </c>
      <c r="H22" s="12">
        <f>H21</f>
        <v>51000</v>
      </c>
      <c r="I22" s="12">
        <f>I21+H22</f>
        <v>51000</v>
      </c>
      <c r="J22" s="12"/>
      <c r="L22" s="6" t="s">
        <v>23</v>
      </c>
      <c r="M22" s="12">
        <f>M21</f>
        <v>25000</v>
      </c>
      <c r="N22" s="12">
        <f t="shared" ref="N22:Q22" si="16">N21+M22</f>
        <v>75000</v>
      </c>
      <c r="O22" s="12">
        <f t="shared" si="16"/>
        <v>328000</v>
      </c>
      <c r="P22" s="12">
        <f t="shared" si="16"/>
        <v>328000</v>
      </c>
      <c r="Q22" s="12">
        <f t="shared" si="16"/>
        <v>518000</v>
      </c>
      <c r="R22" s="12"/>
    </row>
    <row r="23" spans="1:18" ht="15.75" customHeight="1" x14ac:dyDescent="0.2">
      <c r="A23" s="6" t="s">
        <v>24</v>
      </c>
      <c r="B23" s="12">
        <f t="shared" ref="B23:D23" si="17">B10</f>
        <v>24000</v>
      </c>
      <c r="C23" s="12">
        <f t="shared" si="17"/>
        <v>86000</v>
      </c>
      <c r="D23" s="12">
        <f t="shared" si="17"/>
        <v>489600</v>
      </c>
      <c r="E23" s="12"/>
      <c r="G23" s="6" t="s">
        <v>24</v>
      </c>
      <c r="H23" s="12">
        <f t="shared" ref="H23:I23" si="18">H10</f>
        <v>50000</v>
      </c>
      <c r="I23" s="12">
        <f t="shared" si="18"/>
        <v>375000</v>
      </c>
      <c r="J23" s="12"/>
      <c r="L23" s="6" t="s">
        <v>24</v>
      </c>
      <c r="M23" s="12">
        <f t="shared" ref="M23:Q23" si="19">M10</f>
        <v>24000</v>
      </c>
      <c r="N23" s="12">
        <f t="shared" si="19"/>
        <v>86000</v>
      </c>
      <c r="O23" s="12">
        <f t="shared" si="19"/>
        <v>407380</v>
      </c>
      <c r="P23" s="12">
        <f t="shared" si="19"/>
        <v>452644.44444444444</v>
      </c>
      <c r="Q23" s="12">
        <f t="shared" si="19"/>
        <v>865966.66666666663</v>
      </c>
      <c r="R23" s="12"/>
    </row>
    <row r="24" spans="1:18" ht="15.75" customHeight="1" x14ac:dyDescent="0.2">
      <c r="A24" s="17" t="s">
        <v>25</v>
      </c>
      <c r="B24" s="11">
        <f t="shared" ref="B24:D24" si="20">B9</f>
        <v>0.03</v>
      </c>
      <c r="C24" s="11">
        <f t="shared" si="20"/>
        <v>0.04</v>
      </c>
      <c r="D24" s="11">
        <f t="shared" si="20"/>
        <v>0.05</v>
      </c>
      <c r="E24" s="11"/>
      <c r="G24" s="17" t="s">
        <v>25</v>
      </c>
      <c r="H24" s="11">
        <f t="shared" ref="H24:I24" si="21">H9</f>
        <v>0.02</v>
      </c>
      <c r="I24" s="11">
        <f t="shared" si="21"/>
        <v>0</v>
      </c>
      <c r="J24" s="11"/>
      <c r="L24" s="17" t="s">
        <v>25</v>
      </c>
      <c r="M24" s="11">
        <f t="shared" ref="M24:Q24" si="22">M9</f>
        <v>0.03</v>
      </c>
      <c r="N24" s="11">
        <f t="shared" si="22"/>
        <v>0.02</v>
      </c>
      <c r="O24" s="11">
        <f t="shared" si="22"/>
        <v>1.7999999999999999E-2</v>
      </c>
      <c r="P24" s="11">
        <f t="shared" si="22"/>
        <v>0.02</v>
      </c>
      <c r="Q24" s="11">
        <f t="shared" si="22"/>
        <v>1.4999999999999999E-2</v>
      </c>
      <c r="R24" s="11"/>
    </row>
    <row r="25" spans="1:18" ht="15.75" customHeight="1" x14ac:dyDescent="0.2">
      <c r="A25" s="17" t="s">
        <v>26</v>
      </c>
      <c r="B25" s="13">
        <f>B11</f>
        <v>8.0000000000000002E-3</v>
      </c>
      <c r="C25" s="13">
        <f t="shared" ref="C25:D25" si="23">B25*(C17-C12)/C17</f>
        <v>7.6E-3</v>
      </c>
      <c r="D25" s="13">
        <f t="shared" si="23"/>
        <v>6.8399999999999997E-3</v>
      </c>
      <c r="E25" s="13"/>
      <c r="G25" s="17" t="s">
        <v>26</v>
      </c>
      <c r="H25" s="13">
        <f>H11</f>
        <v>0.05</v>
      </c>
      <c r="I25" s="13">
        <f>H25*(I17-I12)/I17</f>
        <v>0.05</v>
      </c>
      <c r="J25" s="13"/>
      <c r="L25" s="17" t="s">
        <v>26</v>
      </c>
      <c r="M25" s="13">
        <f>M11</f>
        <v>8.0000000000000002E-3</v>
      </c>
      <c r="N25" s="13">
        <f t="shared" ref="N25:Q25" si="24">M25*(N17-N12)/N17</f>
        <v>7.6E-3</v>
      </c>
      <c r="O25" s="13">
        <f t="shared" si="24"/>
        <v>7.0242424242424242E-3</v>
      </c>
      <c r="P25" s="13">
        <f t="shared" si="24"/>
        <v>6.438888888888889E-3</v>
      </c>
      <c r="Q25" s="13">
        <f t="shared" si="24"/>
        <v>5.7949999999999998E-3</v>
      </c>
      <c r="R25" s="13"/>
    </row>
    <row r="26" spans="1:18" ht="15.75" customHeight="1" x14ac:dyDescent="0.2">
      <c r="A26" s="17" t="s">
        <v>27</v>
      </c>
      <c r="B26" s="13">
        <v>0</v>
      </c>
      <c r="C26" s="13">
        <f>C11-C25</f>
        <v>9.6000000000000009E-3</v>
      </c>
      <c r="D26" s="13">
        <f>C26*(D17-D12)/D17</f>
        <v>8.6400000000000018E-3</v>
      </c>
      <c r="E26" s="13"/>
      <c r="G26" s="17" t="s">
        <v>27</v>
      </c>
      <c r="H26" s="13">
        <v>0</v>
      </c>
      <c r="I26" s="13">
        <f>I11-I25</f>
        <v>0</v>
      </c>
      <c r="J26" s="13"/>
      <c r="L26" s="17" t="s">
        <v>27</v>
      </c>
      <c r="M26" s="13">
        <v>0</v>
      </c>
      <c r="N26" s="13">
        <f>N11-N25</f>
        <v>9.6000000000000009E-3</v>
      </c>
      <c r="O26" s="13">
        <f t="shared" ref="O26:Q26" si="25">N26*(O17-O12)/O17</f>
        <v>8.8727272727272734E-3</v>
      </c>
      <c r="P26" s="13">
        <f t="shared" si="25"/>
        <v>8.1333333333333344E-3</v>
      </c>
      <c r="Q26" s="13">
        <f t="shared" si="25"/>
        <v>7.3200000000000019E-3</v>
      </c>
      <c r="R26" s="13"/>
    </row>
    <row r="27" spans="1:18" ht="15.75" customHeight="1" x14ac:dyDescent="0.2">
      <c r="A27" s="17" t="s">
        <v>28</v>
      </c>
      <c r="B27" s="13">
        <v>0</v>
      </c>
      <c r="C27" s="13">
        <v>0</v>
      </c>
      <c r="D27" s="13">
        <f>D11-SUM(D25:D26)</f>
        <v>8.9999999999999976E-3</v>
      </c>
      <c r="E27" s="13"/>
      <c r="G27" s="17" t="s">
        <v>28</v>
      </c>
      <c r="H27" s="13">
        <v>0</v>
      </c>
      <c r="I27" s="13">
        <v>0</v>
      </c>
      <c r="J27" s="13"/>
      <c r="L27" s="17" t="s">
        <v>28</v>
      </c>
      <c r="M27" s="13">
        <v>0</v>
      </c>
      <c r="N27" s="13">
        <v>0</v>
      </c>
      <c r="O27" s="13">
        <f>O11-SUM(O25:O26)</f>
        <v>2.5252525252525252E-2</v>
      </c>
      <c r="P27" s="13">
        <f t="shared" ref="P27:Q27" si="26">O27*(P17-P12)/P17</f>
        <v>2.3148148148148147E-2</v>
      </c>
      <c r="Q27" s="13">
        <f t="shared" si="26"/>
        <v>2.0833333333333332E-2</v>
      </c>
      <c r="R27" s="13"/>
    </row>
    <row r="28" spans="1:18" ht="15.75" customHeight="1" x14ac:dyDescent="0.2">
      <c r="A28" s="17" t="s">
        <v>29</v>
      </c>
      <c r="B28" s="13">
        <v>0</v>
      </c>
      <c r="C28" s="13">
        <v>0</v>
      </c>
      <c r="D28" s="13">
        <v>0</v>
      </c>
      <c r="E28" s="13"/>
      <c r="G28" s="17" t="s">
        <v>29</v>
      </c>
      <c r="H28" s="13">
        <v>0</v>
      </c>
      <c r="I28" s="13">
        <v>0</v>
      </c>
      <c r="J28" s="13"/>
      <c r="L28" s="17" t="s">
        <v>29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/>
    </row>
    <row r="29" spans="1:18" ht="15.75" customHeight="1" x14ac:dyDescent="0.2">
      <c r="A29" s="17" t="s">
        <v>30</v>
      </c>
      <c r="B29" s="13">
        <v>0</v>
      </c>
      <c r="C29" s="13">
        <v>0</v>
      </c>
      <c r="D29" s="13">
        <f>D11-SUM(D25:D28)</f>
        <v>0</v>
      </c>
      <c r="E29" s="13"/>
      <c r="G29" s="17" t="s">
        <v>30</v>
      </c>
      <c r="H29" s="13">
        <v>0</v>
      </c>
      <c r="I29" s="13">
        <v>0</v>
      </c>
      <c r="J29" s="13"/>
      <c r="L29" s="17" t="s">
        <v>30</v>
      </c>
      <c r="M29" s="13">
        <v>0</v>
      </c>
      <c r="N29" s="13">
        <v>0</v>
      </c>
      <c r="O29" s="13">
        <v>0</v>
      </c>
      <c r="P29" s="13">
        <v>0</v>
      </c>
      <c r="Q29" s="13">
        <f>Q11-SUM(Q25:Q28)</f>
        <v>9.3500000000000041E-3</v>
      </c>
      <c r="R29" s="13"/>
    </row>
    <row r="30" spans="1:18" ht="15.75" customHeight="1" x14ac:dyDescent="0.2">
      <c r="A30" s="18" t="s">
        <v>31</v>
      </c>
      <c r="B30" s="19">
        <f>MAX(0,(B23-B22)*B24)</f>
        <v>0</v>
      </c>
      <c r="C30" s="19">
        <f>$B$24*(C25*C17+$B$7)</f>
        <v>420</v>
      </c>
      <c r="D30" s="19">
        <f>$B$24*(D25*D17+$B$7)+$C$24*(D26*D17+$C$7)</f>
        <v>8376</v>
      </c>
      <c r="E30" s="19"/>
      <c r="F30" s="19"/>
      <c r="G30" s="18" t="s">
        <v>31</v>
      </c>
      <c r="H30" s="19">
        <f>MAX(0,(H23-H22)*H24)</f>
        <v>0</v>
      </c>
      <c r="I30" s="19">
        <f>$H$24*(I25*I17+$H$7)</f>
        <v>6500</v>
      </c>
      <c r="J30" s="19"/>
      <c r="K30" s="19"/>
      <c r="L30" s="18" t="s">
        <v>31</v>
      </c>
      <c r="M30" s="19">
        <f>MAX(0,(M23-M22)*M24)</f>
        <v>0</v>
      </c>
      <c r="N30" s="19">
        <f>$M$24*(N25*N17+$M$7)</f>
        <v>420</v>
      </c>
      <c r="O30" s="19">
        <f>$M$24*(O25*O17+$M$7)+$N$24*(O26*O17+$N$7)</f>
        <v>2163</v>
      </c>
      <c r="P30" s="19">
        <f>$M$24*(P25*P17+$M$7)+$N$24*(P26*P17+$N$7)+$O$24*(P27*P17+$O$7)</f>
        <v>3090</v>
      </c>
      <c r="Q30" s="19">
        <f>$M$24*(Q25*Q17+$M$7)+$N$24*(Q26*Q17+$N$7)+$O$24*(Q27*Q17+$O$7)+$P$24*(Q28*Q17+$P$7)</f>
        <v>7725</v>
      </c>
      <c r="R30" s="19"/>
    </row>
    <row r="31" spans="1:18" ht="15.75" customHeight="1" x14ac:dyDescent="0.2">
      <c r="A31" s="6" t="s">
        <v>32</v>
      </c>
      <c r="B31" s="12">
        <f>B23-B21-B30</f>
        <v>-1000</v>
      </c>
      <c r="C31" s="12">
        <f t="shared" ref="C31:D31" si="27">C23-C22-C30</f>
        <v>10580</v>
      </c>
      <c r="D31" s="12">
        <f t="shared" si="27"/>
        <v>216224</v>
      </c>
      <c r="E31" s="12"/>
      <c r="G31" s="6" t="s">
        <v>32</v>
      </c>
      <c r="H31" s="12">
        <f>H23-H21-H30</f>
        <v>-1000</v>
      </c>
      <c r="I31" s="12">
        <f>I23-I22-I30</f>
        <v>317500</v>
      </c>
      <c r="J31" s="12"/>
      <c r="L31" s="6" t="s">
        <v>32</v>
      </c>
      <c r="M31" s="12">
        <f>M23-M21-M30</f>
        <v>-1000</v>
      </c>
      <c r="N31" s="12">
        <f t="shared" ref="N31:Q31" si="28">N23-N22-N30</f>
        <v>10580</v>
      </c>
      <c r="O31" s="12">
        <f t="shared" si="28"/>
        <v>77217</v>
      </c>
      <c r="P31" s="12">
        <f t="shared" si="28"/>
        <v>121554.44444444444</v>
      </c>
      <c r="Q31" s="12">
        <f t="shared" si="28"/>
        <v>340241.66666666663</v>
      </c>
      <c r="R31" s="12"/>
    </row>
    <row r="32" spans="1:18" ht="15.75" customHeight="1" x14ac:dyDescent="0.2">
      <c r="A32" s="6" t="s">
        <v>33</v>
      </c>
      <c r="B32" s="13">
        <f t="shared" ref="B32:D32" si="29">B31/B22</f>
        <v>-0.04</v>
      </c>
      <c r="C32" s="13">
        <f t="shared" si="29"/>
        <v>0.14106666666666667</v>
      </c>
      <c r="D32" s="13">
        <f t="shared" si="29"/>
        <v>0.81593962264150943</v>
      </c>
      <c r="E32" s="13"/>
      <c r="G32" s="6" t="s">
        <v>33</v>
      </c>
      <c r="H32" s="13">
        <f t="shared" ref="H32:I32" si="30">H31/H22</f>
        <v>-1.9607843137254902E-2</v>
      </c>
      <c r="I32" s="13">
        <f t="shared" si="30"/>
        <v>6.2254901960784315</v>
      </c>
      <c r="J32" s="13"/>
      <c r="L32" s="6" t="s">
        <v>33</v>
      </c>
      <c r="M32" s="13">
        <f t="shared" ref="M32:Q32" si="31">M31/M22</f>
        <v>-0.04</v>
      </c>
      <c r="N32" s="13">
        <f t="shared" si="31"/>
        <v>0.14106666666666667</v>
      </c>
      <c r="O32" s="13">
        <f t="shared" si="31"/>
        <v>0.23541768292682927</v>
      </c>
      <c r="P32" s="13">
        <f t="shared" si="31"/>
        <v>0.37059281842818426</v>
      </c>
      <c r="Q32" s="13">
        <f t="shared" si="31"/>
        <v>0.65683719433719423</v>
      </c>
      <c r="R32" s="13"/>
    </row>
    <row r="33" spans="1:27" ht="15.75" customHeight="1" x14ac:dyDescent="0.2">
      <c r="A33" s="20" t="s">
        <v>34</v>
      </c>
      <c r="B33" s="9">
        <f t="shared" ref="B33:C33" si="32">B6</f>
        <v>-25000</v>
      </c>
      <c r="C33" s="9">
        <f t="shared" si="32"/>
        <v>-50000</v>
      </c>
      <c r="D33" s="9">
        <f>D6+D10</f>
        <v>299600</v>
      </c>
      <c r="E33" s="9"/>
      <c r="G33" s="20" t="s">
        <v>34</v>
      </c>
      <c r="H33" s="9">
        <f t="shared" ref="H33:H34" si="33">H6</f>
        <v>-51000</v>
      </c>
      <c r="I33" s="9">
        <f>I23</f>
        <v>375000</v>
      </c>
      <c r="J33" s="9"/>
      <c r="L33" s="20" t="s">
        <v>34</v>
      </c>
      <c r="M33" s="9">
        <f t="shared" ref="M33:P33" si="34">M6</f>
        <v>-25000</v>
      </c>
      <c r="N33" s="9">
        <f t="shared" si="34"/>
        <v>-50000</v>
      </c>
      <c r="O33" s="9">
        <f t="shared" si="34"/>
        <v>-253000</v>
      </c>
      <c r="P33" s="9">
        <f t="shared" si="34"/>
        <v>0</v>
      </c>
      <c r="Q33" s="9">
        <f>Q6+Q10</f>
        <v>675966.66666666663</v>
      </c>
      <c r="R33" s="9"/>
    </row>
    <row r="34" spans="1:27" ht="15.75" customHeight="1" x14ac:dyDescent="0.2">
      <c r="A34" s="20" t="s">
        <v>35</v>
      </c>
      <c r="B34" s="9">
        <f t="shared" ref="B34:C34" si="35">B7</f>
        <v>-24000</v>
      </c>
      <c r="C34" s="9">
        <f t="shared" si="35"/>
        <v>-48000</v>
      </c>
      <c r="D34" s="21">
        <f>D7+D10</f>
        <v>309600</v>
      </c>
      <c r="E34" s="9"/>
      <c r="G34" s="20" t="s">
        <v>35</v>
      </c>
      <c r="H34" s="9">
        <f t="shared" si="33"/>
        <v>-50000</v>
      </c>
      <c r="I34" s="9">
        <f>I23</f>
        <v>375000</v>
      </c>
      <c r="J34" s="9"/>
      <c r="L34" s="20" t="s">
        <v>35</v>
      </c>
      <c r="M34" s="9">
        <f t="shared" ref="M34:P34" si="36">M7</f>
        <v>-24000</v>
      </c>
      <c r="N34" s="9">
        <f t="shared" si="36"/>
        <v>-48000</v>
      </c>
      <c r="O34" s="9">
        <f t="shared" si="36"/>
        <v>-250000</v>
      </c>
      <c r="P34" s="9">
        <f t="shared" si="36"/>
        <v>0</v>
      </c>
      <c r="Q34" s="21">
        <f>Q7+Q10</f>
        <v>678966.66666666663</v>
      </c>
    </row>
    <row r="35" spans="1:27" ht="15.75" customHeight="1" x14ac:dyDescent="0.2">
      <c r="K35" s="48" t="s">
        <v>78</v>
      </c>
    </row>
    <row r="36" spans="1:27" ht="15.75" customHeight="1" x14ac:dyDescent="0.2">
      <c r="A36" s="6"/>
      <c r="G36" s="6"/>
      <c r="L36" s="6"/>
    </row>
    <row r="37" spans="1:27" ht="15.75" customHeight="1" x14ac:dyDescent="0.2">
      <c r="A37" s="6" t="s">
        <v>79</v>
      </c>
      <c r="G37" s="6"/>
      <c r="L37" s="6"/>
    </row>
    <row r="38" spans="1:27" ht="15.75" customHeight="1" x14ac:dyDescent="0.2">
      <c r="A38" s="6" t="s">
        <v>80</v>
      </c>
      <c r="B38" s="6">
        <v>2016</v>
      </c>
      <c r="C38" s="49"/>
      <c r="D38" s="6">
        <v>2017</v>
      </c>
      <c r="F38" s="49"/>
      <c r="G38" s="6">
        <v>2018</v>
      </c>
      <c r="H38" s="49"/>
      <c r="I38" s="49">
        <v>2019</v>
      </c>
      <c r="J38" s="49"/>
      <c r="K38" s="6">
        <v>2020</v>
      </c>
      <c r="M38" s="49"/>
    </row>
    <row r="39" spans="1:27" ht="15.75" customHeight="1" x14ac:dyDescent="0.2">
      <c r="A39" s="3" t="s">
        <v>81</v>
      </c>
      <c r="B39" s="50">
        <f>B1</f>
        <v>42370</v>
      </c>
      <c r="C39" s="51">
        <f>M1</f>
        <v>42370</v>
      </c>
      <c r="D39" s="50">
        <f>C1</f>
        <v>42740</v>
      </c>
      <c r="E39" s="50"/>
      <c r="F39" s="51">
        <f t="shared" ref="F39:G39" si="37">N1</f>
        <v>42868</v>
      </c>
      <c r="G39" s="50">
        <f t="shared" si="37"/>
        <v>43195</v>
      </c>
      <c r="H39" s="51">
        <f>H1</f>
        <v>43412</v>
      </c>
      <c r="I39" s="51">
        <f>P1</f>
        <v>43567</v>
      </c>
      <c r="J39" s="51"/>
      <c r="K39" s="50">
        <f>I1</f>
        <v>44033</v>
      </c>
      <c r="L39" s="50">
        <f>Q1</f>
        <v>44190</v>
      </c>
      <c r="M39" s="51">
        <f>D1</f>
        <v>44196</v>
      </c>
    </row>
    <row r="40" spans="1:27" ht="15.75" customHeight="1" x14ac:dyDescent="0.2">
      <c r="A40" s="6" t="s">
        <v>82</v>
      </c>
      <c r="B40" s="7" t="s">
        <v>83</v>
      </c>
      <c r="C40" s="52" t="s">
        <v>84</v>
      </c>
      <c r="D40" s="7" t="s">
        <v>85</v>
      </c>
      <c r="E40" s="7"/>
      <c r="F40" s="52" t="s">
        <v>86</v>
      </c>
      <c r="G40" s="7" t="s">
        <v>87</v>
      </c>
      <c r="H40" s="52" t="s">
        <v>88</v>
      </c>
      <c r="I40" s="52" t="s">
        <v>89</v>
      </c>
      <c r="J40" s="52"/>
      <c r="K40" s="7" t="s">
        <v>90</v>
      </c>
      <c r="L40" s="7" t="s">
        <v>91</v>
      </c>
      <c r="M40" s="52" t="s">
        <v>92</v>
      </c>
    </row>
    <row r="41" spans="1:27" ht="15.75" customHeight="1" x14ac:dyDescent="0.2">
      <c r="A41" s="6" t="s">
        <v>93</v>
      </c>
      <c r="B41" s="53" t="str">
        <f>B2</f>
        <v>Acme</v>
      </c>
      <c r="C41" s="54" t="str">
        <f>M2</f>
        <v>Kappa</v>
      </c>
      <c r="D41" s="53" t="str">
        <f>C2</f>
        <v>Acme</v>
      </c>
      <c r="E41" s="53"/>
      <c r="F41" s="54" t="str">
        <f t="shared" ref="F41:G41" si="38">N2</f>
        <v>Kappa</v>
      </c>
      <c r="G41" s="53" t="str">
        <f t="shared" si="38"/>
        <v>Kappa</v>
      </c>
      <c r="H41" s="54" t="str">
        <f>H2</f>
        <v>Alpha</v>
      </c>
      <c r="I41" s="54" t="str">
        <f>P2</f>
        <v>Kappa</v>
      </c>
      <c r="J41" s="54"/>
      <c r="K41" s="53" t="str">
        <f>I2</f>
        <v>Alpha</v>
      </c>
      <c r="L41" s="53" t="str">
        <f>Q2</f>
        <v>Kappa</v>
      </c>
      <c r="M41" s="54" t="str">
        <f>D2</f>
        <v>Acme</v>
      </c>
    </row>
    <row r="42" spans="1:27" ht="15.75" customHeight="1" x14ac:dyDescent="0.2">
      <c r="A42" s="20" t="s">
        <v>34</v>
      </c>
      <c r="B42" s="9">
        <f t="shared" ref="B42:B43" si="39">B33</f>
        <v>-25000</v>
      </c>
      <c r="C42" s="55">
        <f t="shared" ref="C42:C43" si="40">M33</f>
        <v>-25000</v>
      </c>
      <c r="D42" s="9">
        <f t="shared" ref="D42:D43" si="41">C33</f>
        <v>-50000</v>
      </c>
      <c r="E42" s="9"/>
      <c r="F42" s="55">
        <f t="shared" ref="F42:G42" si="42">N33</f>
        <v>-50000</v>
      </c>
      <c r="G42" s="9">
        <f t="shared" si="42"/>
        <v>-253000</v>
      </c>
      <c r="H42" s="55">
        <f t="shared" ref="H42:H43" si="43">H33</f>
        <v>-51000</v>
      </c>
      <c r="I42" s="55">
        <f t="shared" ref="I42:I43" si="44">P33</f>
        <v>0</v>
      </c>
      <c r="J42" s="55"/>
      <c r="K42" s="9">
        <f t="shared" ref="K42:K43" si="45">I33</f>
        <v>375000</v>
      </c>
      <c r="L42" s="9">
        <f t="shared" ref="L42:L43" si="46">Q33</f>
        <v>675966.66666666663</v>
      </c>
      <c r="M42" s="55">
        <f t="shared" ref="M42:M43" si="47">D33</f>
        <v>299600</v>
      </c>
    </row>
    <row r="43" spans="1:27" ht="15.75" customHeight="1" x14ac:dyDescent="0.2">
      <c r="A43" s="20" t="s">
        <v>35</v>
      </c>
      <c r="B43" s="9">
        <f t="shared" si="39"/>
        <v>-24000</v>
      </c>
      <c r="C43" s="55">
        <f t="shared" si="40"/>
        <v>-24000</v>
      </c>
      <c r="D43" s="9">
        <f t="shared" si="41"/>
        <v>-48000</v>
      </c>
      <c r="E43" s="9"/>
      <c r="F43" s="55">
        <f t="shared" ref="F43:G43" si="48">N34</f>
        <v>-48000</v>
      </c>
      <c r="G43" s="9">
        <f t="shared" si="48"/>
        <v>-250000</v>
      </c>
      <c r="H43" s="55">
        <f t="shared" si="43"/>
        <v>-50000</v>
      </c>
      <c r="I43" s="55">
        <f t="shared" si="44"/>
        <v>0</v>
      </c>
      <c r="J43" s="55"/>
      <c r="K43" s="9">
        <f t="shared" si="45"/>
        <v>375000</v>
      </c>
      <c r="L43" s="9">
        <f t="shared" si="46"/>
        <v>678966.66666666663</v>
      </c>
      <c r="M43" s="55">
        <f t="shared" si="47"/>
        <v>309600</v>
      </c>
    </row>
    <row r="44" spans="1:27" ht="15.75" customHeight="1" x14ac:dyDescent="0.2">
      <c r="C44" s="55"/>
      <c r="F44" s="55"/>
      <c r="H44" s="55"/>
      <c r="I44" s="55"/>
      <c r="J44" s="55"/>
      <c r="M44" s="55"/>
    </row>
    <row r="45" spans="1:27" ht="15.75" customHeight="1" x14ac:dyDescent="0.2">
      <c r="A45" s="6" t="s">
        <v>94</v>
      </c>
      <c r="B45" s="6">
        <v>0</v>
      </c>
      <c r="C45" s="56">
        <v>0</v>
      </c>
      <c r="D45" s="12">
        <f>C30</f>
        <v>420</v>
      </c>
      <c r="E45" s="12"/>
      <c r="F45" s="56">
        <f>D45+N30</f>
        <v>840</v>
      </c>
      <c r="G45" s="12">
        <f>O30+D45</f>
        <v>2583</v>
      </c>
      <c r="H45" s="56">
        <f>0+G45</f>
        <v>2583</v>
      </c>
      <c r="I45" s="56">
        <f>P30+H30+C30</f>
        <v>3510</v>
      </c>
      <c r="J45" s="56"/>
      <c r="K45" s="12">
        <f>I45+I30</f>
        <v>10010</v>
      </c>
      <c r="L45" s="12">
        <f>Q30+I30+C30</f>
        <v>14645</v>
      </c>
      <c r="M45" s="56">
        <f>Q30+I30+D30</f>
        <v>22601</v>
      </c>
      <c r="W45" s="12">
        <f t="shared" ref="W45:X45" si="49">SUM(W47:W48)</f>
        <v>834000</v>
      </c>
      <c r="X45" s="12">
        <f t="shared" si="49"/>
        <v>1707965.6666666665</v>
      </c>
      <c r="AA45" s="12">
        <f>X45-SUM(X73:X79)</f>
        <v>0</v>
      </c>
    </row>
    <row r="46" spans="1:27" ht="15.75" customHeight="1" x14ac:dyDescent="0.2">
      <c r="A46" s="6" t="s">
        <v>95</v>
      </c>
      <c r="B46" s="9">
        <f>B22</f>
        <v>25000</v>
      </c>
      <c r="C46" s="56">
        <f>M22+B22</f>
        <v>50000</v>
      </c>
      <c r="D46" s="12">
        <f>C22+M22</f>
        <v>100000</v>
      </c>
      <c r="E46" s="12"/>
      <c r="F46" s="56">
        <f>N22+C22</f>
        <v>150000</v>
      </c>
      <c r="G46" s="12">
        <f>O22+C22</f>
        <v>403000</v>
      </c>
      <c r="H46" s="56">
        <f>G46+H22</f>
        <v>454000</v>
      </c>
      <c r="I46" s="56">
        <f>P22+C22+H22</f>
        <v>454000</v>
      </c>
      <c r="J46" s="56"/>
      <c r="K46" s="12">
        <f>I22+P22+C22</f>
        <v>454000</v>
      </c>
      <c r="L46" s="12">
        <f>Q22+I22+C22</f>
        <v>644000</v>
      </c>
      <c r="M46" s="56">
        <f>Q22+I22+D22</f>
        <v>834000</v>
      </c>
      <c r="V46" s="6" t="s">
        <v>96</v>
      </c>
      <c r="W46" s="34" t="s">
        <v>50</v>
      </c>
      <c r="X46" s="34" t="s">
        <v>51</v>
      </c>
    </row>
    <row r="47" spans="1:27" ht="15.75" customHeight="1" x14ac:dyDescent="0.2">
      <c r="A47" s="6" t="s">
        <v>97</v>
      </c>
      <c r="B47" s="9">
        <f>-B7</f>
        <v>24000</v>
      </c>
      <c r="C47" s="56">
        <f>B47-M7</f>
        <v>48000</v>
      </c>
      <c r="D47" s="12">
        <f>C47-C7</f>
        <v>96000</v>
      </c>
      <c r="E47" s="12"/>
      <c r="F47" s="56">
        <f>D47-N7</f>
        <v>144000</v>
      </c>
      <c r="G47" s="12">
        <f>F47-O7</f>
        <v>394000</v>
      </c>
      <c r="H47" s="56">
        <f>G47-H7</f>
        <v>444000</v>
      </c>
      <c r="I47" s="56">
        <f>H47-P7</f>
        <v>444000</v>
      </c>
      <c r="J47" s="56"/>
      <c r="K47" s="12">
        <f>I47</f>
        <v>444000</v>
      </c>
      <c r="L47" s="12">
        <f>K47-Q7</f>
        <v>631000</v>
      </c>
      <c r="M47" s="56">
        <f>L47-D7</f>
        <v>811000</v>
      </c>
      <c r="V47" s="6" t="s">
        <v>57</v>
      </c>
      <c r="W47" s="12">
        <f t="shared" ref="W47:X47" si="50">F57</f>
        <v>265000</v>
      </c>
      <c r="X47" s="12">
        <f t="shared" si="50"/>
        <v>481224</v>
      </c>
    </row>
    <row r="48" spans="1:27" ht="15.75" customHeight="1" x14ac:dyDescent="0.2">
      <c r="A48" s="6" t="s">
        <v>43</v>
      </c>
      <c r="B48" s="9">
        <f>B23</f>
        <v>24000</v>
      </c>
      <c r="C48" s="56">
        <f>M23+B23</f>
        <v>48000</v>
      </c>
      <c r="D48" s="12">
        <f>C23+M23</f>
        <v>110000</v>
      </c>
      <c r="E48" s="12"/>
      <c r="F48" s="56">
        <f>N23+C23</f>
        <v>172000</v>
      </c>
      <c r="G48" s="12">
        <f>O23+C23</f>
        <v>493380</v>
      </c>
      <c r="H48" s="56">
        <f>G48+H23</f>
        <v>543380</v>
      </c>
      <c r="I48" s="56">
        <f>P23+C23+H23</f>
        <v>588644.4444444445</v>
      </c>
      <c r="J48" s="56"/>
      <c r="K48" s="12">
        <f>I23+P23+C23</f>
        <v>913644.4444444445</v>
      </c>
      <c r="L48" s="12">
        <f>Q23+I23+C23</f>
        <v>1326966.6666666665</v>
      </c>
      <c r="M48" s="56">
        <f>Q23+I23+D23</f>
        <v>1730566.6666666665</v>
      </c>
      <c r="V48" s="6" t="s">
        <v>98</v>
      </c>
      <c r="W48" s="12">
        <f t="shared" ref="W48:X48" si="51">K57+S57</f>
        <v>569000</v>
      </c>
      <c r="X48" s="12">
        <f t="shared" si="51"/>
        <v>1226741.6666666665</v>
      </c>
    </row>
    <row r="49" spans="1:24" ht="15.75" customHeight="1" x14ac:dyDescent="0.2">
      <c r="A49" s="6" t="s">
        <v>32</v>
      </c>
      <c r="B49" s="9">
        <f t="shared" ref="B49:D49" si="52">B48-B46-B45</f>
        <v>-1000</v>
      </c>
      <c r="C49" s="56">
        <f t="shared" si="52"/>
        <v>-2000</v>
      </c>
      <c r="D49" s="12">
        <f t="shared" si="52"/>
        <v>9580</v>
      </c>
      <c r="E49" s="12"/>
      <c r="F49" s="56">
        <f t="shared" ref="F49:I49" si="53">F48-F46-F45</f>
        <v>21160</v>
      </c>
      <c r="G49" s="12">
        <f t="shared" si="53"/>
        <v>87797</v>
      </c>
      <c r="H49" s="56">
        <f t="shared" si="53"/>
        <v>86797</v>
      </c>
      <c r="I49" s="56">
        <f t="shared" si="53"/>
        <v>131134.4444444445</v>
      </c>
      <c r="J49" s="56"/>
      <c r="K49" s="12">
        <f t="shared" ref="K49:M49" si="54">K48-K46-K45</f>
        <v>449634.4444444445</v>
      </c>
      <c r="L49" s="12">
        <f t="shared" si="54"/>
        <v>668321.66666666651</v>
      </c>
      <c r="M49" s="56">
        <f t="shared" si="54"/>
        <v>873965.66666666651</v>
      </c>
    </row>
    <row r="50" spans="1:24" ht="15.75" customHeight="1" x14ac:dyDescent="0.2">
      <c r="A50" s="6" t="s">
        <v>33</v>
      </c>
      <c r="B50" s="6">
        <f t="shared" ref="B50:D50" si="55">B49/B46</f>
        <v>-0.04</v>
      </c>
      <c r="C50" s="49">
        <f t="shared" si="55"/>
        <v>-0.04</v>
      </c>
      <c r="D50" s="6">
        <f t="shared" si="55"/>
        <v>9.5799999999999996E-2</v>
      </c>
      <c r="F50" s="49">
        <f t="shared" ref="F50:I50" si="56">F49/F46</f>
        <v>0.14106666666666667</v>
      </c>
      <c r="G50" s="6">
        <f t="shared" si="56"/>
        <v>0.21785856079404467</v>
      </c>
      <c r="H50" s="49">
        <f t="shared" si="56"/>
        <v>0.1911828193832599</v>
      </c>
      <c r="I50" s="49">
        <f t="shared" si="56"/>
        <v>0.28884238864415085</v>
      </c>
      <c r="J50" s="49"/>
      <c r="K50" s="6">
        <f t="shared" ref="K50:M50" si="57">K49/K46</f>
        <v>0.99038423886441518</v>
      </c>
      <c r="L50" s="6">
        <f t="shared" si="57"/>
        <v>1.0377665631469977</v>
      </c>
      <c r="M50" s="49">
        <f t="shared" si="57"/>
        <v>1.0479204636290966</v>
      </c>
      <c r="V50" s="6" t="s">
        <v>54</v>
      </c>
    </row>
    <row r="51" spans="1:24" ht="15.75" customHeight="1" x14ac:dyDescent="0.2">
      <c r="C51" s="49"/>
      <c r="F51" s="49"/>
      <c r="H51" s="49"/>
      <c r="I51" s="49"/>
      <c r="J51" s="49"/>
      <c r="M51" s="49"/>
      <c r="V51" s="6" t="s">
        <v>55</v>
      </c>
      <c r="W51" s="12">
        <f t="shared" ref="W51:X51" si="58">F58</f>
        <v>265000</v>
      </c>
      <c r="X51" s="12">
        <f t="shared" si="58"/>
        <v>481224</v>
      </c>
    </row>
    <row r="52" spans="1:24" ht="15.75" customHeight="1" x14ac:dyDescent="0.2">
      <c r="C52" s="49"/>
      <c r="F52" s="49"/>
      <c r="H52" s="49"/>
      <c r="I52" s="49"/>
      <c r="J52" s="49"/>
      <c r="M52" s="49"/>
      <c r="V52" s="6" t="s">
        <v>99</v>
      </c>
      <c r="W52" s="12">
        <f t="shared" ref="W52:X52" si="59">K58</f>
        <v>51000</v>
      </c>
      <c r="X52" s="12">
        <f t="shared" si="59"/>
        <v>368500</v>
      </c>
    </row>
    <row r="53" spans="1:24" ht="15.75" customHeight="1" x14ac:dyDescent="0.2">
      <c r="A53" s="6" t="s">
        <v>36</v>
      </c>
      <c r="B53" s="23">
        <f>XIRR(B42:M42,B39:M39)</f>
        <v>0.41316846013069153</v>
      </c>
      <c r="C53" s="49"/>
      <c r="F53" s="49"/>
      <c r="H53" s="49"/>
      <c r="I53" s="49"/>
      <c r="J53" s="49"/>
      <c r="M53" s="49"/>
      <c r="V53" s="6" t="s">
        <v>100</v>
      </c>
      <c r="W53" s="12">
        <f t="shared" ref="W53:X53" si="60">S58</f>
        <v>518000</v>
      </c>
      <c r="X53" s="12">
        <f t="shared" si="60"/>
        <v>858241.66666666663</v>
      </c>
    </row>
    <row r="54" spans="1:24" ht="15.75" customHeight="1" x14ac:dyDescent="0.2">
      <c r="A54" s="6" t="s">
        <v>37</v>
      </c>
      <c r="B54" s="23">
        <f>XIRR(B43:M43,B39:M39)</f>
        <v>0.42830144762992872</v>
      </c>
      <c r="C54" s="49"/>
      <c r="F54" s="49"/>
      <c r="H54" s="49"/>
      <c r="I54" s="49"/>
      <c r="J54" s="49"/>
      <c r="M54" s="49"/>
    </row>
    <row r="55" spans="1:24" ht="15.75" customHeight="1" x14ac:dyDescent="0.2">
      <c r="C55" s="49"/>
      <c r="F55" s="49"/>
      <c r="H55" s="49"/>
      <c r="I55" s="49"/>
      <c r="J55" s="49"/>
      <c r="M55" s="49"/>
      <c r="V55" s="6" t="s">
        <v>52</v>
      </c>
    </row>
    <row r="56" spans="1:24" ht="15.75" customHeight="1" x14ac:dyDescent="0.2">
      <c r="F56" s="34" t="s">
        <v>50</v>
      </c>
      <c r="G56" s="34" t="s">
        <v>51</v>
      </c>
      <c r="K56" s="34" t="s">
        <v>50</v>
      </c>
      <c r="L56" s="34" t="s">
        <v>51</v>
      </c>
      <c r="S56" s="34" t="s">
        <v>50</v>
      </c>
      <c r="T56" s="34" t="s">
        <v>51</v>
      </c>
      <c r="V56" s="6" t="s">
        <v>53</v>
      </c>
      <c r="W56" s="12">
        <f t="shared" ref="W56:X56" si="61">F59</f>
        <v>265000</v>
      </c>
      <c r="X56" s="12">
        <f t="shared" si="61"/>
        <v>481224</v>
      </c>
    </row>
    <row r="57" spans="1:24" ht="15.75" customHeight="1" x14ac:dyDescent="0.2">
      <c r="A57" s="6" t="s">
        <v>96</v>
      </c>
      <c r="B57" s="6" t="s">
        <v>57</v>
      </c>
      <c r="C57" s="6" t="s">
        <v>57</v>
      </c>
      <c r="D57" s="6" t="s">
        <v>57</v>
      </c>
      <c r="F57" s="12">
        <f>D22</f>
        <v>265000</v>
      </c>
      <c r="G57" s="12">
        <f>D23-D30</f>
        <v>481224</v>
      </c>
      <c r="H57" s="6" t="s">
        <v>98</v>
      </c>
      <c r="I57" s="6" t="s">
        <v>98</v>
      </c>
      <c r="K57" s="12">
        <f>I22</f>
        <v>51000</v>
      </c>
      <c r="L57" s="12">
        <f>I23-I30</f>
        <v>368500</v>
      </c>
      <c r="M57" s="6" t="s">
        <v>98</v>
      </c>
      <c r="N57" s="6" t="s">
        <v>98</v>
      </c>
      <c r="O57" s="6" t="s">
        <v>98</v>
      </c>
      <c r="P57" s="6" t="s">
        <v>98</v>
      </c>
      <c r="Q57" s="6" t="s">
        <v>98</v>
      </c>
      <c r="S57" s="12">
        <f>Q22</f>
        <v>518000</v>
      </c>
      <c r="T57" s="12">
        <f>Q23-Q30</f>
        <v>858241.66666666663</v>
      </c>
      <c r="V57" s="6" t="s">
        <v>101</v>
      </c>
      <c r="W57" s="12">
        <f t="shared" ref="W57:X57" si="62">K59</f>
        <v>51000</v>
      </c>
      <c r="X57" s="12">
        <f t="shared" si="62"/>
        <v>368500</v>
      </c>
    </row>
    <row r="58" spans="1:24" ht="15.75" customHeight="1" x14ac:dyDescent="0.2">
      <c r="A58" s="6" t="s">
        <v>54</v>
      </c>
      <c r="B58" s="6" t="s">
        <v>55</v>
      </c>
      <c r="C58" s="6" t="s">
        <v>55</v>
      </c>
      <c r="D58" s="6" t="s">
        <v>55</v>
      </c>
      <c r="F58" s="12">
        <f t="shared" ref="F58:G58" si="63">F57</f>
        <v>265000</v>
      </c>
      <c r="G58" s="12">
        <f t="shared" si="63"/>
        <v>481224</v>
      </c>
      <c r="H58" s="6" t="s">
        <v>99</v>
      </c>
      <c r="I58" s="6" t="s">
        <v>99</v>
      </c>
      <c r="K58" s="12">
        <f t="shared" ref="K58:L58" si="64">K57</f>
        <v>51000</v>
      </c>
      <c r="L58" s="12">
        <f t="shared" si="64"/>
        <v>368500</v>
      </c>
      <c r="M58" s="6" t="s">
        <v>100</v>
      </c>
      <c r="N58" s="6" t="s">
        <v>100</v>
      </c>
      <c r="O58" s="6" t="s">
        <v>100</v>
      </c>
      <c r="P58" s="6" t="s">
        <v>100</v>
      </c>
      <c r="Q58" s="6" t="s">
        <v>100</v>
      </c>
      <c r="S58" s="12">
        <f t="shared" ref="S58:T58" si="65">S57</f>
        <v>518000</v>
      </c>
      <c r="T58" s="12">
        <f t="shared" si="65"/>
        <v>858241.66666666663</v>
      </c>
      <c r="V58" s="6" t="s">
        <v>102</v>
      </c>
      <c r="W58" s="12">
        <f t="shared" ref="W58:X58" si="66">S59</f>
        <v>518000</v>
      </c>
      <c r="X58" s="12">
        <f t="shared" si="66"/>
        <v>858241.66666666663</v>
      </c>
    </row>
    <row r="59" spans="1:24" ht="15.75" customHeight="1" x14ac:dyDescent="0.2">
      <c r="A59" s="6" t="s">
        <v>52</v>
      </c>
      <c r="B59" s="6" t="s">
        <v>53</v>
      </c>
      <c r="C59" s="6" t="s">
        <v>53</v>
      </c>
      <c r="D59" s="6" t="s">
        <v>53</v>
      </c>
      <c r="F59" s="12">
        <f t="shared" ref="F59:G59" si="67">F58</f>
        <v>265000</v>
      </c>
      <c r="G59" s="12">
        <f t="shared" si="67"/>
        <v>481224</v>
      </c>
      <c r="H59" s="6" t="s">
        <v>101</v>
      </c>
      <c r="I59" s="6" t="s">
        <v>101</v>
      </c>
      <c r="K59" s="12">
        <f t="shared" ref="K59:L59" si="68">K58</f>
        <v>51000</v>
      </c>
      <c r="L59" s="12">
        <f t="shared" si="68"/>
        <v>368500</v>
      </c>
      <c r="M59" s="6" t="s">
        <v>102</v>
      </c>
      <c r="N59" s="6" t="s">
        <v>102</v>
      </c>
      <c r="O59" s="6" t="s">
        <v>102</v>
      </c>
      <c r="P59" s="6" t="s">
        <v>102</v>
      </c>
      <c r="Q59" s="6" t="s">
        <v>102</v>
      </c>
      <c r="S59" s="12">
        <f t="shared" ref="S59:T59" si="69">S58</f>
        <v>518000</v>
      </c>
      <c r="T59" s="12">
        <f t="shared" si="69"/>
        <v>858241.66666666663</v>
      </c>
    </row>
    <row r="60" spans="1:24" ht="15.75" customHeight="1" x14ac:dyDescent="0.2">
      <c r="B60" s="13">
        <f t="shared" ref="B60:D60" si="70">B11</f>
        <v>8.0000000000000002E-3</v>
      </c>
      <c r="C60" s="13">
        <f t="shared" si="70"/>
        <v>1.72E-2</v>
      </c>
      <c r="D60" s="13">
        <f t="shared" si="70"/>
        <v>2.4479999999999998E-2</v>
      </c>
      <c r="E60" s="13"/>
      <c r="H60" s="13">
        <f t="shared" ref="H60:I60" si="71">H11</f>
        <v>0.05</v>
      </c>
      <c r="I60" s="13">
        <f t="shared" si="71"/>
        <v>0.05</v>
      </c>
      <c r="J60" s="13"/>
      <c r="M60" s="13">
        <f t="shared" ref="M60:Q60" si="72">M11</f>
        <v>8.0000000000000002E-3</v>
      </c>
      <c r="N60" s="13">
        <f t="shared" si="72"/>
        <v>1.72E-2</v>
      </c>
      <c r="O60" s="13">
        <f t="shared" si="72"/>
        <v>4.114949494949495E-2</v>
      </c>
      <c r="P60" s="13">
        <f t="shared" si="72"/>
        <v>3.7720370370370369E-2</v>
      </c>
      <c r="Q60" s="13">
        <f t="shared" si="72"/>
        <v>4.3298333333333335E-2</v>
      </c>
      <c r="R60" s="13"/>
    </row>
    <row r="61" spans="1:24" ht="15.75" customHeight="1" x14ac:dyDescent="0.2">
      <c r="V61" s="6" t="s">
        <v>59</v>
      </c>
    </row>
    <row r="62" spans="1:24" ht="15.75" customHeight="1" x14ac:dyDescent="0.2">
      <c r="V62" s="6" t="s">
        <v>60</v>
      </c>
      <c r="W62" s="12">
        <f t="shared" ref="W62:X62" si="73">F64+S64</f>
        <v>50000</v>
      </c>
      <c r="X62" s="22">
        <f t="shared" si="73"/>
        <v>246559</v>
      </c>
    </row>
    <row r="63" spans="1:24" ht="15.75" customHeight="1" x14ac:dyDescent="0.2">
      <c r="A63" s="6" t="s">
        <v>59</v>
      </c>
      <c r="B63" s="6" t="s">
        <v>60</v>
      </c>
      <c r="C63" s="6" t="s">
        <v>55</v>
      </c>
      <c r="D63" s="6" t="s">
        <v>61</v>
      </c>
      <c r="E63" s="37" t="s">
        <v>49</v>
      </c>
      <c r="F63" s="34" t="s">
        <v>50</v>
      </c>
      <c r="G63" s="34" t="s">
        <v>51</v>
      </c>
      <c r="H63" s="6" t="s">
        <v>101</v>
      </c>
      <c r="I63" s="6" t="s">
        <v>76</v>
      </c>
      <c r="J63" s="37" t="s">
        <v>49</v>
      </c>
      <c r="K63" s="34" t="s">
        <v>50</v>
      </c>
      <c r="L63" s="34" t="s">
        <v>51</v>
      </c>
      <c r="M63" s="6" t="s">
        <v>60</v>
      </c>
      <c r="N63" s="6" t="s">
        <v>55</v>
      </c>
      <c r="O63" s="6" t="s">
        <v>103</v>
      </c>
      <c r="P63" s="6" t="s">
        <v>99</v>
      </c>
      <c r="Q63" s="6" t="s">
        <v>104</v>
      </c>
      <c r="R63" s="37" t="s">
        <v>49</v>
      </c>
      <c r="S63" s="34" t="s">
        <v>50</v>
      </c>
      <c r="T63" s="34" t="s">
        <v>51</v>
      </c>
      <c r="U63" s="14"/>
      <c r="V63" s="6" t="s">
        <v>55</v>
      </c>
      <c r="W63" s="12">
        <f t="shared" ref="W63:X63" si="74">F65+S65</f>
        <v>100000</v>
      </c>
      <c r="X63" s="22">
        <f t="shared" si="74"/>
        <v>312240.00000000006</v>
      </c>
    </row>
    <row r="64" spans="1:24" ht="15.75" customHeight="1" x14ac:dyDescent="0.2">
      <c r="A64" s="6" t="s">
        <v>60</v>
      </c>
      <c r="B64" s="13">
        <f t="shared" ref="B64:D64" si="75">B25</f>
        <v>8.0000000000000002E-3</v>
      </c>
      <c r="C64" s="13">
        <f t="shared" si="75"/>
        <v>7.6E-3</v>
      </c>
      <c r="D64" s="13">
        <f t="shared" si="75"/>
        <v>6.8399999999999997E-3</v>
      </c>
      <c r="E64" s="13">
        <f t="shared" ref="E64:E66" si="76">D64/$D$11</f>
        <v>0.27941176470588236</v>
      </c>
      <c r="F64" s="12">
        <f>B21</f>
        <v>25000</v>
      </c>
      <c r="G64" s="22">
        <f>E64*$D$23-B24*(D64*$D$17+B7)</f>
        <v>133416</v>
      </c>
      <c r="H64" s="13">
        <f t="shared" ref="H64:I64" si="77">H25</f>
        <v>0.05</v>
      </c>
      <c r="I64" s="13">
        <f t="shared" si="77"/>
        <v>0.05</v>
      </c>
      <c r="J64" s="13">
        <f>I64/$I$11</f>
        <v>1</v>
      </c>
      <c r="K64" s="12">
        <f>H21</f>
        <v>51000</v>
      </c>
      <c r="L64" s="22">
        <f>J64*I64*I17-I30</f>
        <v>368500</v>
      </c>
      <c r="M64" s="13">
        <f t="shared" ref="M64:Q64" si="78">M25</f>
        <v>8.0000000000000002E-3</v>
      </c>
      <c r="N64" s="13">
        <f t="shared" si="78"/>
        <v>7.6E-3</v>
      </c>
      <c r="O64" s="13">
        <f t="shared" si="78"/>
        <v>7.0242424242424242E-3</v>
      </c>
      <c r="P64" s="13">
        <f t="shared" si="78"/>
        <v>6.438888888888889E-3</v>
      </c>
      <c r="Q64" s="13">
        <f t="shared" si="78"/>
        <v>5.7949999999999998E-3</v>
      </c>
      <c r="R64" s="13">
        <f t="shared" ref="R64:R68" si="79">Q64/$Q$11</f>
        <v>0.13383886985642249</v>
      </c>
      <c r="S64" s="12">
        <f>M21</f>
        <v>25000</v>
      </c>
      <c r="T64" s="22">
        <f>R64*$Q$23-M24*(Q25*$Q$17+M7)</f>
        <v>113142.99999999999</v>
      </c>
      <c r="U64" s="14"/>
      <c r="V64" s="6" t="s">
        <v>61</v>
      </c>
      <c r="W64" s="12">
        <f t="shared" ref="W64:X64" si="80">F66</f>
        <v>190000</v>
      </c>
      <c r="X64" s="22">
        <f t="shared" si="80"/>
        <v>179999.99999999997</v>
      </c>
    </row>
    <row r="65" spans="1:24" ht="15.75" customHeight="1" x14ac:dyDescent="0.2">
      <c r="A65" s="6" t="s">
        <v>55</v>
      </c>
      <c r="C65" s="13">
        <f t="shared" ref="C65:D65" si="81">C26</f>
        <v>9.6000000000000009E-3</v>
      </c>
      <c r="D65" s="13">
        <f t="shared" si="81"/>
        <v>8.6400000000000018E-3</v>
      </c>
      <c r="E65" s="13">
        <f t="shared" si="76"/>
        <v>0.35294117647058831</v>
      </c>
      <c r="F65" s="12">
        <f>C21</f>
        <v>50000</v>
      </c>
      <c r="G65" s="22">
        <f>E65*$D$23-$C$24*(D26*D17+$C$7)</f>
        <v>167808.00000000003</v>
      </c>
      <c r="I65" s="13">
        <f>I26</f>
        <v>0</v>
      </c>
      <c r="J65" s="13">
        <f>I65</f>
        <v>0</v>
      </c>
      <c r="K65" s="12">
        <f>I21</f>
        <v>0</v>
      </c>
      <c r="L65" s="6" t="s">
        <v>61</v>
      </c>
      <c r="N65" s="13">
        <f t="shared" ref="N65:Q65" si="82">N26</f>
        <v>9.6000000000000009E-3</v>
      </c>
      <c r="O65" s="13">
        <f t="shared" si="82"/>
        <v>8.8727272727272734E-3</v>
      </c>
      <c r="P65" s="13">
        <f t="shared" si="82"/>
        <v>8.1333333333333344E-3</v>
      </c>
      <c r="Q65" s="13">
        <f t="shared" si="82"/>
        <v>7.3200000000000019E-3</v>
      </c>
      <c r="R65" s="13">
        <f t="shared" si="79"/>
        <v>0.16905962508179687</v>
      </c>
      <c r="S65" s="12">
        <f>N21</f>
        <v>50000</v>
      </c>
      <c r="T65" s="22">
        <f>R65*$Q$23-N24*(Q26*$Q$17+N7)</f>
        <v>144432.00000000003</v>
      </c>
      <c r="U65" s="14"/>
      <c r="V65" s="6" t="s">
        <v>101</v>
      </c>
      <c r="W65" s="12">
        <f t="shared" ref="W65:X65" si="83">K64</f>
        <v>51000</v>
      </c>
      <c r="X65" s="22">
        <f t="shared" si="83"/>
        <v>368500</v>
      </c>
    </row>
    <row r="66" spans="1:24" ht="15.75" customHeight="1" x14ac:dyDescent="0.2">
      <c r="A66" s="6" t="s">
        <v>61</v>
      </c>
      <c r="D66" s="13">
        <f>D27</f>
        <v>8.9999999999999976E-3</v>
      </c>
      <c r="E66" s="13">
        <f t="shared" si="76"/>
        <v>0.36764705882352933</v>
      </c>
      <c r="F66" s="12">
        <f>D21</f>
        <v>190000</v>
      </c>
      <c r="G66" s="22">
        <f>E66*$D$23</f>
        <v>179999.99999999997</v>
      </c>
      <c r="O66" s="13">
        <f t="shared" ref="O66:Q66" si="84">O27</f>
        <v>2.5252525252525252E-2</v>
      </c>
      <c r="P66" s="13">
        <f t="shared" si="84"/>
        <v>2.3148148148148147E-2</v>
      </c>
      <c r="Q66" s="13">
        <f t="shared" si="84"/>
        <v>2.0833333333333332E-2</v>
      </c>
      <c r="R66" s="13">
        <f t="shared" si="79"/>
        <v>0.48115785827014124</v>
      </c>
      <c r="S66" s="12">
        <f>O21</f>
        <v>253000</v>
      </c>
      <c r="T66" s="22">
        <f>R66*$Q$23-O24*(Q27*$Q$17+O7)</f>
        <v>413666.66666666663</v>
      </c>
      <c r="U66" s="14"/>
      <c r="V66" s="6" t="s">
        <v>76</v>
      </c>
      <c r="W66" s="12">
        <f t="shared" ref="W66:X66" si="85">K65</f>
        <v>0</v>
      </c>
      <c r="X66" s="6" t="str">
        <f t="shared" si="85"/>
        <v>-</v>
      </c>
    </row>
    <row r="67" spans="1:24" ht="15.75" customHeight="1" x14ac:dyDescent="0.2">
      <c r="A67" s="6"/>
      <c r="G67" s="14"/>
      <c r="P67" s="13">
        <f t="shared" ref="P67:Q67" si="86">P28</f>
        <v>0</v>
      </c>
      <c r="Q67" s="13">
        <f t="shared" si="86"/>
        <v>0</v>
      </c>
      <c r="R67" s="13">
        <f t="shared" si="79"/>
        <v>0</v>
      </c>
      <c r="S67" s="12">
        <f>P21</f>
        <v>0</v>
      </c>
      <c r="T67" s="22">
        <f>R67*$Q$23-P24*(Q28*$Q$17-P7)</f>
        <v>0</v>
      </c>
      <c r="V67" s="6" t="s">
        <v>103</v>
      </c>
      <c r="W67" s="12">
        <f t="shared" ref="W67:X67" si="87">S66</f>
        <v>253000</v>
      </c>
      <c r="X67" s="22">
        <f t="shared" si="87"/>
        <v>413666.66666666663</v>
      </c>
    </row>
    <row r="68" spans="1:24" ht="15.75" customHeight="1" x14ac:dyDescent="0.2">
      <c r="A68" s="6"/>
      <c r="Q68" s="13">
        <f>Q29</f>
        <v>9.3500000000000041E-3</v>
      </c>
      <c r="R68" s="13">
        <f t="shared" si="79"/>
        <v>0.21594364679163949</v>
      </c>
      <c r="S68" s="12">
        <f>Q21</f>
        <v>190000</v>
      </c>
      <c r="T68" s="22">
        <f>R68*$Q$23</f>
        <v>187000.00000000006</v>
      </c>
      <c r="V68" s="6" t="s">
        <v>99</v>
      </c>
      <c r="W68" s="12">
        <f t="shared" ref="W68:X68" si="88">S67</f>
        <v>0</v>
      </c>
      <c r="X68" s="22">
        <f t="shared" si="88"/>
        <v>0</v>
      </c>
    </row>
    <row r="69" spans="1:24" ht="15.75" customHeight="1" x14ac:dyDescent="0.2">
      <c r="A69" s="6"/>
      <c r="T69" s="22"/>
      <c r="V69" s="6" t="s">
        <v>104</v>
      </c>
      <c r="W69" s="12">
        <f t="shared" ref="W69:X69" si="89">S68</f>
        <v>190000</v>
      </c>
      <c r="X69" s="22">
        <f t="shared" si="89"/>
        <v>187000.00000000006</v>
      </c>
    </row>
    <row r="70" spans="1:24" ht="15.75" customHeight="1" x14ac:dyDescent="0.2">
      <c r="A70" s="6" t="s">
        <v>62</v>
      </c>
      <c r="B70" s="6" t="s">
        <v>55</v>
      </c>
      <c r="C70" s="6" t="s">
        <v>55</v>
      </c>
      <c r="D70" s="6" t="s">
        <v>61</v>
      </c>
      <c r="H70" s="6" t="s">
        <v>99</v>
      </c>
      <c r="I70" s="6" t="s">
        <v>99</v>
      </c>
      <c r="M70" s="6" t="s">
        <v>60</v>
      </c>
      <c r="N70" s="6" t="s">
        <v>76</v>
      </c>
      <c r="O70" s="6" t="s">
        <v>105</v>
      </c>
      <c r="P70" s="6" t="s">
        <v>101</v>
      </c>
      <c r="Q70" s="6" t="s">
        <v>60</v>
      </c>
      <c r="T70" s="22"/>
    </row>
    <row r="71" spans="1:24" ht="15.75" customHeight="1" x14ac:dyDescent="0.2">
      <c r="A71" s="6" t="s">
        <v>55</v>
      </c>
      <c r="B71" s="13">
        <f t="shared" ref="B71:D71" si="90">B64</f>
        <v>8.0000000000000002E-3</v>
      </c>
      <c r="C71" s="13">
        <f t="shared" si="90"/>
        <v>7.6E-3</v>
      </c>
      <c r="D71" s="13">
        <f t="shared" si="90"/>
        <v>6.8399999999999997E-3</v>
      </c>
      <c r="E71" s="13">
        <f t="shared" ref="E71:E73" si="91">D71/$D$11</f>
        <v>0.27941176470588236</v>
      </c>
      <c r="F71" s="12">
        <f t="shared" ref="F71:I71" si="92">F64</f>
        <v>25000</v>
      </c>
      <c r="G71" s="12">
        <f t="shared" si="92"/>
        <v>133416</v>
      </c>
      <c r="H71" s="13">
        <f t="shared" si="92"/>
        <v>0.05</v>
      </c>
      <c r="I71" s="13">
        <f t="shared" si="92"/>
        <v>0.05</v>
      </c>
      <c r="J71" s="13">
        <f>I71/$I$11</f>
        <v>1</v>
      </c>
      <c r="K71" s="12">
        <f t="shared" ref="K71:Q71" si="93">K64</f>
        <v>51000</v>
      </c>
      <c r="L71" s="12">
        <f t="shared" si="93"/>
        <v>368500</v>
      </c>
      <c r="M71" s="13">
        <f t="shared" si="93"/>
        <v>8.0000000000000002E-3</v>
      </c>
      <c r="N71" s="13">
        <f t="shared" si="93"/>
        <v>7.6E-3</v>
      </c>
      <c r="O71" s="13">
        <f t="shared" si="93"/>
        <v>7.0242424242424242E-3</v>
      </c>
      <c r="P71" s="13">
        <f t="shared" si="93"/>
        <v>6.438888888888889E-3</v>
      </c>
      <c r="Q71" s="13">
        <f t="shared" si="93"/>
        <v>5.7949999999999998E-3</v>
      </c>
      <c r="R71" s="13">
        <f t="shared" ref="R71:R75" si="94">Q71/$Q$11</f>
        <v>0.13383886985642249</v>
      </c>
      <c r="S71" s="12">
        <f t="shared" ref="S71:T71" si="95">S64</f>
        <v>25000</v>
      </c>
      <c r="T71" s="12">
        <f t="shared" si="95"/>
        <v>113142.99999999999</v>
      </c>
    </row>
    <row r="72" spans="1:24" ht="15.75" customHeight="1" x14ac:dyDescent="0.2">
      <c r="A72" s="6" t="s">
        <v>55</v>
      </c>
      <c r="C72" s="13">
        <f t="shared" ref="C72:D72" si="96">C65</f>
        <v>9.6000000000000009E-3</v>
      </c>
      <c r="D72" s="13">
        <f t="shared" si="96"/>
        <v>8.6400000000000018E-3</v>
      </c>
      <c r="E72" s="13">
        <f t="shared" si="91"/>
        <v>0.35294117647058831</v>
      </c>
      <c r="F72" s="12">
        <f t="shared" ref="F72:G72" si="97">F65</f>
        <v>50000</v>
      </c>
      <c r="G72" s="12">
        <f t="shared" si="97"/>
        <v>167808.00000000003</v>
      </c>
      <c r="I72" s="13">
        <f>I65</f>
        <v>0</v>
      </c>
      <c r="J72" s="13">
        <f>I72</f>
        <v>0</v>
      </c>
      <c r="K72" s="12">
        <f>K65</f>
        <v>0</v>
      </c>
      <c r="L72" s="12">
        <v>0</v>
      </c>
      <c r="N72" s="13">
        <f t="shared" ref="N72:Q72" si="98">N65</f>
        <v>9.6000000000000009E-3</v>
      </c>
      <c r="O72" s="13">
        <f t="shared" si="98"/>
        <v>8.8727272727272734E-3</v>
      </c>
      <c r="P72" s="13">
        <f t="shared" si="98"/>
        <v>8.1333333333333344E-3</v>
      </c>
      <c r="Q72" s="13">
        <f t="shared" si="98"/>
        <v>7.3200000000000019E-3</v>
      </c>
      <c r="R72" s="13">
        <f t="shared" si="94"/>
        <v>0.16905962508179687</v>
      </c>
      <c r="S72" s="12">
        <f t="shared" ref="S72:T72" si="99">S65</f>
        <v>50000</v>
      </c>
      <c r="T72" s="12">
        <f t="shared" si="99"/>
        <v>144432.00000000003</v>
      </c>
      <c r="V72" s="6" t="s">
        <v>62</v>
      </c>
    </row>
    <row r="73" spans="1:24" ht="15.75" customHeight="1" x14ac:dyDescent="0.2">
      <c r="A73" s="6" t="s">
        <v>61</v>
      </c>
      <c r="D73" s="13">
        <f>D66</f>
        <v>8.9999999999999976E-3</v>
      </c>
      <c r="E73" s="13">
        <f t="shared" si="91"/>
        <v>0.36764705882352933</v>
      </c>
      <c r="F73" s="12">
        <f t="shared" ref="F73:G73" si="100">F66</f>
        <v>190000</v>
      </c>
      <c r="G73" s="12">
        <f t="shared" si="100"/>
        <v>179999.99999999997</v>
      </c>
      <c r="O73" s="13">
        <f t="shared" ref="O73:Q73" si="101">O66</f>
        <v>2.5252525252525252E-2</v>
      </c>
      <c r="P73" s="13">
        <f t="shared" si="101"/>
        <v>2.3148148148148147E-2</v>
      </c>
      <c r="Q73" s="13">
        <f t="shared" si="101"/>
        <v>2.0833333333333332E-2</v>
      </c>
      <c r="R73" s="13">
        <f t="shared" si="94"/>
        <v>0.48115785827014124</v>
      </c>
      <c r="S73" s="12">
        <f t="shared" ref="S73:T73" si="102">S66</f>
        <v>253000</v>
      </c>
      <c r="T73" s="12">
        <f t="shared" si="102"/>
        <v>413666.66666666663</v>
      </c>
      <c r="V73" s="6" t="s">
        <v>55</v>
      </c>
      <c r="W73" s="12">
        <f t="shared" ref="W73:X73" si="103">F71+F72</f>
        <v>75000</v>
      </c>
      <c r="X73" s="12">
        <f t="shared" si="103"/>
        <v>301224</v>
      </c>
    </row>
    <row r="74" spans="1:24" ht="15.75" customHeight="1" x14ac:dyDescent="0.2">
      <c r="P74" s="13">
        <f t="shared" ref="P74:Q74" si="104">P67</f>
        <v>0</v>
      </c>
      <c r="Q74" s="13">
        <f t="shared" si="104"/>
        <v>0</v>
      </c>
      <c r="R74" s="13">
        <f t="shared" si="94"/>
        <v>0</v>
      </c>
      <c r="S74" s="12">
        <f t="shared" ref="S74:T74" si="105">S67</f>
        <v>0</v>
      </c>
      <c r="T74" s="12">
        <f t="shared" si="105"/>
        <v>0</v>
      </c>
      <c r="V74" s="6" t="s">
        <v>61</v>
      </c>
      <c r="W74" s="12">
        <f t="shared" ref="W74:X74" si="106">F73</f>
        <v>190000</v>
      </c>
      <c r="X74" s="12">
        <f t="shared" si="106"/>
        <v>179999.99999999997</v>
      </c>
    </row>
    <row r="75" spans="1:24" ht="15.75" customHeight="1" x14ac:dyDescent="0.2">
      <c r="Q75" s="13">
        <f>Q68</f>
        <v>9.3500000000000041E-3</v>
      </c>
      <c r="R75" s="13">
        <f t="shared" si="94"/>
        <v>0.21594364679163949</v>
      </c>
      <c r="S75" s="12">
        <f t="shared" ref="S75:T75" si="107">S68</f>
        <v>190000</v>
      </c>
      <c r="T75" s="12">
        <f t="shared" si="107"/>
        <v>187000.00000000006</v>
      </c>
      <c r="V75" s="6" t="s">
        <v>99</v>
      </c>
      <c r="W75" s="12">
        <f t="shared" ref="W75:X75" si="108">K71+K72</f>
        <v>51000</v>
      </c>
      <c r="X75" s="12">
        <f t="shared" si="108"/>
        <v>368500</v>
      </c>
    </row>
    <row r="76" spans="1:24" ht="15.75" customHeight="1" x14ac:dyDescent="0.2">
      <c r="V76" s="6" t="s">
        <v>60</v>
      </c>
      <c r="W76" s="12">
        <f t="shared" ref="W76:X76" si="109">S71+S75</f>
        <v>215000</v>
      </c>
      <c r="X76" s="12">
        <f t="shared" si="109"/>
        <v>300143.00000000006</v>
      </c>
    </row>
    <row r="77" spans="1:24" ht="15.75" customHeight="1" x14ac:dyDescent="0.2">
      <c r="V77" s="6" t="s">
        <v>76</v>
      </c>
      <c r="W77" s="12">
        <f t="shared" ref="W77:X77" si="110">S72</f>
        <v>50000</v>
      </c>
      <c r="X77" s="12">
        <f t="shared" si="110"/>
        <v>144432.00000000003</v>
      </c>
    </row>
    <row r="78" spans="1:24" ht="15.75" customHeight="1" x14ac:dyDescent="0.2">
      <c r="V78" s="6" t="s">
        <v>105</v>
      </c>
      <c r="W78" s="12">
        <f t="shared" ref="W78:X78" si="111">S73</f>
        <v>253000</v>
      </c>
      <c r="X78" s="12">
        <f t="shared" si="111"/>
        <v>413666.66666666663</v>
      </c>
    </row>
    <row r="79" spans="1:24" ht="15.75" customHeight="1" x14ac:dyDescent="0.2">
      <c r="V79" s="6" t="s">
        <v>101</v>
      </c>
      <c r="W79" s="12">
        <f t="shared" ref="W79:X79" si="112">S74</f>
        <v>0</v>
      </c>
      <c r="X79" s="12">
        <f t="shared" si="112"/>
        <v>0</v>
      </c>
    </row>
    <row r="80" spans="1:2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Kappa (2 SAFES)</vt:lpstr>
      <vt:lpstr>Acme</vt:lpstr>
      <vt:lpstr>Acme Reeval</vt:lpstr>
      <vt:lpstr>Charts data - Acme</vt:lpstr>
      <vt:lpstr>USD + EUR + RUB -</vt:lpstr>
      <vt:lpstr>Sigma</vt:lpstr>
      <vt:lpstr>Phi (Fund report)</vt:lpstr>
      <vt:lpstr>Mega</vt:lpstr>
      <vt:lpstr>Acme + Alpha + Kappa</vt:lpstr>
      <vt:lpstr>Charts data - Tex</vt:lpstr>
      <vt:lpstr>Alpha (EXIT)</vt:lpstr>
      <vt:lpstr>Zeta (WriteOFF)</vt:lpstr>
      <vt:lpstr>Gamma (3 SAFES) - 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allselead@gmail.com</dc:creator>
  <cp:lastModifiedBy>Microsoft Office User</cp:lastModifiedBy>
  <dcterms:created xsi:type="dcterms:W3CDTF">2022-03-07T19:31:32Z</dcterms:created>
  <dcterms:modified xsi:type="dcterms:W3CDTF">2023-04-17T11:14:17Z</dcterms:modified>
</cp:coreProperties>
</file>