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llchart" sheetId="1" r:id="rId3"/>
    <sheet state="visible" name="Support" sheetId="2" r:id="rId4"/>
  </sheets>
  <definedNames>
    <definedName name="GroupF">Support!$A$127:$F$132</definedName>
    <definedName name="FinalA">Support!$G$21:$AA$24</definedName>
    <definedName name="Hosts">Support!$AJ$16:$AJ$183</definedName>
    <definedName name="H2HD">Support!$AD$77:$AI$88</definedName>
    <definedName name="penaltiesD">Support!$A$94:$D$95</definedName>
    <definedName name="penaltiesA">Support!$A$19:$D$20</definedName>
    <definedName name="GroupC">Support!$A$52:$F$57</definedName>
    <definedName name="penaltiesF">Support!$A$144:$D$145</definedName>
    <definedName name="GroupD">Support!$A$77:$F$82</definedName>
    <definedName name="Names">#REF!</definedName>
    <definedName name="config">Wallchart!$V$37:$Z$52</definedName>
    <definedName name="H2HE">Support!$AD$102:$AI$113</definedName>
    <definedName name="FinalB">Support!$G$46:$AA$49</definedName>
    <definedName name="GroupB">Support!$A$27:$F$32</definedName>
    <definedName name="Preds">#REF!</definedName>
    <definedName name="third_placed">Support!$F$161:$P$166</definedName>
    <definedName name="penaltiesC">Support!$A$69:$D$70</definedName>
    <definedName name="penaltiesB">Support!$A$44:$D$45</definedName>
    <definedName name="GroupA">Support!$A$2:$F$7</definedName>
    <definedName name="FinalD">Support!$G$96:$AA$99</definedName>
    <definedName name="FinalF">Support!$G$146:$AA$149</definedName>
    <definedName name="rank3place">Wallchart!$T$28:$V$31</definedName>
    <definedName name="penaltiesE">Support!$A$119:$D$120</definedName>
    <definedName name="H2HA">Support!$AD$2:$AI$13</definedName>
    <definedName name="H2HC">Support!$AD$52:$AI$63</definedName>
    <definedName name="Wallchart">Wallchart!$1:$54</definedName>
    <definedName name="FinalE">Support!$G$121:$AA$124</definedName>
    <definedName name="teamInfo">Support!$AL$2:$AV$25</definedName>
    <definedName name="H2HF">Support!$AD$127:$AI$138</definedName>
    <definedName name="GroupE">Support!$A$102:$F$107</definedName>
    <definedName name="H2HB">Support!$AD$27:$AI$38</definedName>
    <definedName name="FinalC">Support!$G$71:$AA$74</definedName>
    <definedName hidden="1" localSheetId="0" name="Z_4300D3AF_F076_4A86_BC3C_FC0049D2D990_.wvu.FilterData">Wallchart!$V$37:$Z$52</definedName>
    <definedName name="KOSCORE">LAMBDA(fixture, homescore, awayscore, winner, ifs(INDEX(Preds,row(),column()-2*#REF!-counta(Names)) = "", "", not(REGEXMATCH(INDEX(Preds,row(),column()-2*#REF!-counta(Names)),"^\d+-\d+~("&amp;SUBSTITUTE(fixture," vs ","|")&amp;")$")), "X",
 and(homescore&amp;"-"&amp;awayscore = REGEXEXTRACT(INDEX(Preds,row(),column()-2*#REF!-counta(Names)),"^[^~]+"), winner = REGEXEXTRACT(INDEX(Preds,row(),column()-2*#REF!-counta(Names)),"[^~]+$")), #REF!,
 or(homescore&amp;"-"&amp;awayscore = REGEXEXTRACT(INDEX(Preds,row(),column()-2*#REF!-counta(Names)),"^[^~]+"), winner = REGEXEXTRACT(INDEX(Preds,row(),column()-2*#REF!-counta(Names)),"[^~]+$")), #REF!,
 TRUE,0))</definedName>
    <definedName name="DATETIME">LAMBDA(year, month, day, hour, minute, date(regexextract(year,"\d+"), month, day) + time(hour,minute,0))</definedName>
    <definedName name="DISPLAY_PENALTIES">LAMBDA(game, if(isblank(index(indirect("Penalties"&amp;char(roundup(row()/9) + 64)), game, 2)), "", index(indirect("Penalties"&amp;char(roundup(row()/9) + 64)), game, 2) &amp; " - " &amp; index(indirect("Penalties"&amp;char(roundup(row()/9) + 64)), game, 3)))</definedName>
    <definedName name="KNOCKOUT">LAMBDA(adjacent, cell, if(isformula(adjacent),
    ifs(sum(offset(cell, -offset(cell, 0, -1) + 1, -5, 3)) = sum(offset(cell, -offset(cell, 0, -1) + 1, -4, 3)), "",
        sum(offset(cell, -offset(cell, 0, -1) + 1, -5, 3)) &gt; sum(offset(cell, -offset(cell, 0, -1) + 1, -4, 3)), offset(cell, -offset(cell, 0, -1) + 1, -7),
        TRUE, offset(cell, -offset(cell, 0, -1) + 1, -2)),
    ifs(sum(offset(cell, offset(cell, 0, -6) - 1, -10, 3)) = sum(offset(cell, offset(cell, 0, -6) - 1, -9, 3)), "",
        sum(offset(cell, offset(cell, 0, -6) - 1, -10, 3)) &gt; sum(offset(cell, offset(cell, 0, -6) - 1, -9, 3)), offset(cell, offset(cell, 0, -6) - 1, -12),
        TRUE, offset(cell, offset(cell, 0, -6) - 1, -7))))</definedName>
    <definedName name="FLAG">LAMBDA(cell, if(isformula(offset(cell, 0, -1)), xlookup(offset(cell, 0, -1), index(teamInfo,,1), index(teamInfo,,9), ""),
                                    xlookup(offset(cell, 0,  1), index(teamInfo,,1), index(teamInfo,,9), "")))</definedName>
    <definedName name="CHAR2NUM">LAMBDA(char, code(char) - 65)</definedName>
    <definedName name="THIRD_PLACE">LAMBDA(partner_cell, if(index(indirect("Final"&amp;char(Support!$AK$2+64)),4,3) = 3,
xlookup(xlookup(join("",sort(index(rank3place, ,1))),index(config, ,1), XLOOKUP(REGEXEXTRACT(FORMULATEXT(partner_cell),"\d")&amp;REGEXEXTRACT(FORMULATEXT(partner_cell), "\""(\w)\"""), index(config, 1,) ,config)),index(rank3place, ,1),index(rank3place, ,3)),
"3"&amp;join("", sort(unique(query(xlookup(REGEXEXTRACT(FORMULATEXT(partner_cell),"\d")&amp;REGEXEXTRACT(FORMULATEXT(partner_cell), "\""(\w)\"""),index(config,1,),config), "offset 1"))))))</definedName>
    <definedName name="H2H">LAMBDA(tie, team, group, block, category, if(tie = "", "",
    sum(arrayformula(xlookup(query({block}, "select Col1 where Col2 = '"&amp;tie&amp;"'",0), query({teamInfo}, "select Col2 where Col3 = '"&amp;group&amp;"'",0),
        transpose(filter(query({indirect("H2H"&amp;group)}, "where Col1 = '"&amp;team&amp;"' and Col"&amp;Support!$AK$3 + 2&amp;" = "&amp;category,0), {0,1,1,1,1,0})))))
   ))</definedName>
    <definedName name="GRPDISP">LAMBDA(IFS(INDEX(Preds, row(), column() - #REF!) = "", "", REGEXMATCH(INDEX(Preds, row(), column() - #REF!), "^\d+-\d+$"), INDEX(Preds, row(), column() - #REF!), TRUE, "X"))</definedName>
    <definedName name="GRPSCORE">LAMBDA(homegoals, awaygoals, ifs(INDEX(Preds, row(), column() - 2*#REF! - counta(Names)) = "", "", 
     not(REGEXMATCH(INDEX(Preds, row(), column() - 2*#REF! - counta(Names)), "^\d+-\d+$")), "X",
     homeGoals&amp;"-"&amp;awayGoals = INDEX(Preds, row(), column() - 2*#REF! - counta(Names)), #REF!,
     sign(homeGoals - awayGoals) = sign(REGEXEXTRACT(INDEX(Preds, row(), column() - 2*#REF! - counta(Names)), "^\d+") -
                                        REGEXEXTRACT(INDEX(Preds, row(), column() - 2*#REF! - counta(Names)),"\d+$")), #REF!,
     TRUE, 0))</definedName>
    <definedName name="KODISP">LAMBDA(kogame, ifs(INDEX(Preds, row(), column() - #REF!) = "", "",
not(REGEXMATCH(INDEX(Preds, row(), column() - #REF!),"^\d+-\d+~(?:"&amp;SUBSTITUTE(kogame," vs ","|")&amp;")$")), "X",
abs(REGEXEXTRACT(INDEX(Preds, row(), column() - #REF!), "^\d+") - REGEXEXTRACT(INDEX(Preds, row(), column() - #REF!), "-(\d+)")) &gt; 0, REGEXEXTRACT(INDEX(Preds, row(), column() - #REF!), "^[^~]+"),
find(REGEXEXTRACT(INDEX(Preds, row(), column() - #REF!), "[^~]+$"), kogame) = 1, "w"&amp;REGEXEXTRACT(INDEX(Preds, row(), column() - #REF!), "^[^~]+"),
find(REGEXEXTRACT(INDEX(Preds,row(), column() - #REF!), "[^~]+$"), kogame) &gt; 1, REGEXEXTRACT(INDEX(Preds, row(), column() - #REF!), "^[^~]+")&amp;"w"))</definedName>
    <definedName name="GROUPQUAL">LAMBDA(rank, group, if(index(indirect("Final"&amp;group),rank,3) = 3, index(indirect("Final"&amp;group), rank, 2), rank&amp;group))</definedName>
  </definedNames>
  <calcPr/>
  <customWorkbookViews>
    <customWorkbookView activeSheetId="0" maximized="1" windowHeight="0" windowWidth="0" guid="{4300D3AF-F076-4A86-BC3C-FC0049D2D990}"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V1">
      <text>
        <t xml:space="preserve">If teams in a group containing the hosts are tied and the EQ Ranking needs to be used involving the hosts as one of the tied teams, a drawing of lots will take place. Use the 'DoL' column to rank the hosts and the tied teams. Only use if the hosts are involved as one of the tied teams.</t>
      </text>
    </comment>
  </commentList>
</comments>
</file>

<file path=xl/sharedStrings.xml><?xml version="1.0" encoding="utf-8"?>
<sst xmlns="http://schemas.openxmlformats.org/spreadsheetml/2006/main" count="1034" uniqueCount="161">
  <si>
    <t>Group A</t>
  </si>
  <si>
    <t>Round of 16</t>
  </si>
  <si>
    <t>Quarter-finals</t>
  </si>
  <si>
    <t>Semi-finals</t>
  </si>
  <si>
    <t>Final</t>
  </si>
  <si>
    <t>Germany</t>
  </si>
  <si>
    <t>Scotland</t>
  </si>
  <si>
    <t>P</t>
  </si>
  <si>
    <t>W</t>
  </si>
  <si>
    <t>D</t>
  </si>
  <si>
    <t>L</t>
  </si>
  <si>
    <t>F</t>
  </si>
  <si>
    <t>A</t>
  </si>
  <si>
    <t>GD</t>
  </si>
  <si>
    <t>Pts</t>
  </si>
  <si>
    <t>Hungary</t>
  </si>
  <si>
    <t>Switzerland</t>
  </si>
  <si>
    <t>Spain</t>
  </si>
  <si>
    <t>Croatia</t>
  </si>
  <si>
    <t>Italy</t>
  </si>
  <si>
    <t>Albania</t>
  </si>
  <si>
    <t>Slovenia</t>
  </si>
  <si>
    <t>Denmark</t>
  </si>
  <si>
    <t>Serbia</t>
  </si>
  <si>
    <t>England</t>
  </si>
  <si>
    <t>Ranking of Third-placed Teams</t>
  </si>
  <si>
    <t>Team</t>
  </si>
  <si>
    <t>Poland</t>
  </si>
  <si>
    <t>Netherlands</t>
  </si>
  <si>
    <t>Portugal</t>
  </si>
  <si>
    <t>Austria</t>
  </si>
  <si>
    <t>France</t>
  </si>
  <si>
    <t>E</t>
  </si>
  <si>
    <t>Romania</t>
  </si>
  <si>
    <t>B</t>
  </si>
  <si>
    <t>C</t>
  </si>
  <si>
    <t>Qualifiers</t>
  </si>
  <si>
    <t>Ukraine</t>
  </si>
  <si>
    <t>Belgium</t>
  </si>
  <si>
    <t>Slovakia</t>
  </si>
  <si>
    <t>ABCE</t>
  </si>
  <si>
    <t>ABCF</t>
  </si>
  <si>
    <t>ABDE</t>
  </si>
  <si>
    <t>ABDF</t>
  </si>
  <si>
    <t>ABEF</t>
  </si>
  <si>
    <t>ACDE</t>
  </si>
  <si>
    <t>ACDF</t>
  </si>
  <si>
    <t>ACEF</t>
  </si>
  <si>
    <t>Türkiye</t>
  </si>
  <si>
    <t>Georgia</t>
  </si>
  <si>
    <t>ADEF</t>
  </si>
  <si>
    <t>Czechia</t>
  </si>
  <si>
    <t>BCDE</t>
  </si>
  <si>
    <t>BCDF</t>
  </si>
  <si>
    <t>BCEF</t>
  </si>
  <si>
    <t>BDEF</t>
  </si>
  <si>
    <t>CDEF</t>
  </si>
  <si>
    <t>H2H</t>
  </si>
  <si>
    <t>UEFA Men's Euro 2024</t>
  </si>
  <si>
    <t>Code</t>
  </si>
  <si>
    <t>Group</t>
  </si>
  <si>
    <t>Yellow</t>
  </si>
  <si>
    <t>Indirect Red</t>
  </si>
  <si>
    <t>Direct Red</t>
  </si>
  <si>
    <t>Discipline</t>
  </si>
  <si>
    <t>EQ Ranking</t>
  </si>
  <si>
    <t>Flag</t>
  </si>
  <si>
    <t>FIFA</t>
  </si>
  <si>
    <t>DoL</t>
  </si>
  <si>
    <t>Player name</t>
  </si>
  <si>
    <t>Link to player's spreadsheet (in Google Drive)</t>
  </si>
  <si>
    <t>Email</t>
  </si>
  <si>
    <t>Status</t>
  </si>
  <si>
    <t>PD</t>
  </si>
  <si>
    <t>Points</t>
  </si>
  <si>
    <t>No. of groups</t>
  </si>
  <si>
    <t>GER</t>
  </si>
  <si>
    <t/>
  </si>
  <si>
    <t>Adam</t>
  </si>
  <si>
    <t>https://docs.google.com/spreadsheets/d/1ZCkQIHj3--RoFofNnvq2uKMrVamGk72OGxtwPJG1LRc/edit</t>
  </si>
  <si>
    <t>The last column will only be used if points have been deducted.</t>
  </si>
  <si>
    <t>Teams per group</t>
  </si>
  <si>
    <t>HUN</t>
  </si>
  <si>
    <t>Ameet</t>
  </si>
  <si>
    <t>https://docs.google.com/spreadsheets/d/14sh4Oq1VYVGdUv2AGRDKGB0F8lumGc0xwWCu254z36Q/edit</t>
  </si>
  <si>
    <t>SCO</t>
  </si>
  <si>
    <t>Audun</t>
  </si>
  <si>
    <t>https://docs.google.com/spreadsheets/d/1jhQiv9Z68hA_E6waXW4GHdV5_IGFRx0fyIpse4gITRo/edit</t>
  </si>
  <si>
    <t>SUI</t>
  </si>
  <si>
    <t>Jimmy</t>
  </si>
  <si>
    <t>https://docs.google.com/spreadsheets/d/1QWgcykS5eOwB1Z9A8VlXkRMO5pAGsR-iaUjhuJgKwSs/edit</t>
  </si>
  <si>
    <t>ESP</t>
  </si>
  <si>
    <t>Rob</t>
  </si>
  <si>
    <t>https://docs.google.com/spreadsheets/d/19TLpP5JaBSXlsRYbvlZx7VcT51HiIzFPLilAQ7SHllI/edit</t>
  </si>
  <si>
    <t>Indirect red</t>
  </si>
  <si>
    <t>ITA</t>
  </si>
  <si>
    <t>Tamer</t>
  </si>
  <si>
    <t>https://docs.google.com/spreadsheets/d/1_JafBl9AJur53QJvhtEM6fBoTBsAPs7yqq4clrhXxjo/edit</t>
  </si>
  <si>
    <t>Teams are sorted by points. If teams are tied then the following tie-breaking criteria are applied:
1) Head-to-head: a) points b) goal difference c) goals scored
2) If teams are still tied, use 1) with tied teams
3) Overall: a) goal difference b) goals scored
4) Penalties: If two teams face-off in the last round of the group stage, have the same number of points, goals scored and conceded, and their score finishes level then their ranking is determined by a penalty shoot-out (not used if more than two teams have equal points)</t>
  </si>
  <si>
    <t>T1</t>
  </si>
  <si>
    <t>P1</t>
  </si>
  <si>
    <t>G1</t>
  </si>
  <si>
    <t>F1</t>
  </si>
  <si>
    <t>Direct red</t>
  </si>
  <si>
    <t>CRO</t>
  </si>
  <si>
    <t>Toffis</t>
  </si>
  <si>
    <t>https://docs.google.com/spreadsheets/d/1KV7cHDTvO4cPuWK-B99K9nYZXBPiqzDvI-n_IOc16s4/edit</t>
  </si>
  <si>
    <t>ALB</t>
  </si>
  <si>
    <t>Tom</t>
  </si>
  <si>
    <t>https://docs.google.com/spreadsheets/d/1DzMbU1tHYy7IZWlVmG29UZzOuUCusK-veaKswrxWdVc/edit</t>
  </si>
  <si>
    <t>For</t>
  </si>
  <si>
    <t>Helper cells</t>
  </si>
  <si>
    <t>SVN</t>
  </si>
  <si>
    <t>Turhan</t>
  </si>
  <si>
    <t>https://docs.google.com/spreadsheets/d/13clxNkRce-rVZo-jHX1Jza97S6rXz8k_K1zxu5qp3QU/edit</t>
  </si>
  <si>
    <t>Row offset of Groups</t>
  </si>
  <si>
    <t>SRB</t>
  </si>
  <si>
    <t>Matches per group</t>
  </si>
  <si>
    <t>DEN</t>
  </si>
  <si>
    <t>Rows per group on this sheet</t>
  </si>
  <si>
    <t>ENG</t>
  </si>
  <si>
    <t>T2</t>
  </si>
  <si>
    <t>P2</t>
  </si>
  <si>
    <t>G2</t>
  </si>
  <si>
    <t>F2</t>
  </si>
  <si>
    <t>Pn</t>
  </si>
  <si>
    <t>Ds</t>
  </si>
  <si>
    <t>R</t>
  </si>
  <si>
    <t>POL</t>
  </si>
  <si>
    <t>Hosts</t>
  </si>
  <si>
    <t>AUT</t>
  </si>
  <si>
    <t>NED</t>
  </si>
  <si>
    <t>FRA</t>
  </si>
  <si>
    <t>ROU</t>
  </si>
  <si>
    <t>BEL</t>
  </si>
  <si>
    <t>SVK</t>
  </si>
  <si>
    <t>UKR</t>
  </si>
  <si>
    <t>TUR</t>
  </si>
  <si>
    <t>POR</t>
  </si>
  <si>
    <t>GEO</t>
  </si>
  <si>
    <t>CZE</t>
  </si>
  <si>
    <t>Third-placed Teams</t>
  </si>
  <si>
    <t>If the EQ Ranking needs to be used involving the hosts as one of the tied teams, a drawing of lots will take place. Use the 'DoL' column to rank the hosts and the tied teams. Only use if the hosts are involved as one of the tied teams.</t>
  </si>
  <si>
    <t>Third-placed Teams Ranking Explanation</t>
  </si>
  <si>
    <t>Third-placed teams
qualify from groups</t>
  </si>
  <si>
    <t>1B
vs</t>
  </si>
  <si>
    <t>1C
vs</t>
  </si>
  <si>
    <t>1E
vs</t>
  </si>
  <si>
    <t>1F
vs</t>
  </si>
  <si>
    <t>*A*</t>
  </si>
  <si>
    <t>*B*</t>
  </si>
  <si>
    <t>*C*</t>
  </si>
  <si>
    <t>*D*</t>
  </si>
  <si>
    <t>3A</t>
  </si>
  <si>
    <t>3D</t>
  </si>
  <si>
    <t>3B</t>
  </si>
  <si>
    <t>3C</t>
  </si>
  <si>
    <t>*E*</t>
  </si>
  <si>
    <t>3E</t>
  </si>
  <si>
    <t>*F*</t>
  </si>
  <si>
    <t>3F</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</si>
</sst>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dd d mmmm - ham/pm"/>
    <numFmt numFmtId="165" formatCode="&quot;+&quot;0;&quot;-&quot;0;0"/>
    <numFmt numFmtId="166" formatCode="dddd&quot; &quot;d&quot; &quot;mmmm&quot; - &quot;hh&quot;:&quot;mm"/>
    <numFmt numFmtId="167" formatCode="0.0"/>
    <numFmt numFmtId="168" formatCode="dd/MM/yyyy"/>
  </numFmts>
  <fonts count="17">
    <font>
      <sz val="11.0"/>
      <color rgb="FF000000"/>
      <name val="Calibri"/>
    </font>
    <font>
      <b/>
      <sz val="10.0"/>
      <color rgb="FFFFFFFF"/>
      <name val="Trebuchet MS"/>
    </font>
    <font/>
    <font>
      <sz val="10.0"/>
      <name val="Trebuchet MS"/>
    </font>
    <font>
      <b/>
      <sz val="10.0"/>
      <name val="Trebuchet MS"/>
    </font>
    <font>
      <sz val="10.0"/>
      <color rgb="FFFFFFFF"/>
      <name val="Trebuchet MS"/>
    </font>
    <font>
      <sz val="11.0"/>
      <name val="Calibri"/>
    </font>
    <font>
      <sz val="9.0"/>
      <name val="Trebuchet MS"/>
    </font>
    <font>
      <name val="Trebuchet MS"/>
    </font>
    <font>
      <sz val="10.0"/>
      <color rgb="FF000000"/>
      <name val="Trebuchet MS"/>
    </font>
    <font>
      <sz val="8.0"/>
      <name val="Trebuchet MS"/>
    </font>
    <font>
      <i/>
      <sz val="10.0"/>
      <name val="Trebuchet MS"/>
    </font>
    <font>
      <sz val="10.0"/>
    </font>
    <font>
      <sz val="10.0"/>
      <name val="&quot;Trebuchet MS&quot;"/>
    </font>
    <font>
      <u/>
      <sz val="10.0"/>
      <color rgb="FF0000FF"/>
      <name val="Courier New"/>
    </font>
    <font>
      <i/>
      <sz val="9.0"/>
      <name val="Trebuchet MS"/>
    </font>
    <font>
      <sz val="10.0"/>
      <name val="Courier New"/>
    </font>
  </fonts>
  <fills count="13">
    <fill>
      <patternFill patternType="none"/>
    </fill>
    <fill>
      <patternFill patternType="lightGray"/>
    </fill>
    <fill>
      <patternFill patternType="solid">
        <fgColor rgb="FFCC0000"/>
        <bgColor rgb="FFCC0000"/>
      </patternFill>
    </fill>
    <fill>
      <patternFill patternType="solid">
        <fgColor rgb="FF000000"/>
        <bgColor rgb="FF000000"/>
      </patternFill>
    </fill>
    <fill>
      <patternFill patternType="solid">
        <fgColor rgb="FFFFFFFF"/>
        <bgColor rgb="FFFFFFFF"/>
      </patternFill>
    </fill>
    <fill>
      <patternFill patternType="solid">
        <fgColor rgb="FFFFC000"/>
        <bgColor rgb="FFFFC000"/>
      </patternFill>
    </fill>
    <fill>
      <patternFill patternType="solid">
        <fgColor rgb="FFEAECF0"/>
        <bgColor rgb="FFEAECF0"/>
      </patternFill>
    </fill>
    <fill>
      <patternFill patternType="solid">
        <fgColor rgb="FFBBF3BB"/>
        <bgColor rgb="FFBBF3BB"/>
      </patternFill>
    </fill>
    <fill>
      <patternFill patternType="solid">
        <fgColor rgb="FF0000FF"/>
        <bgColor rgb="FF0000FF"/>
      </patternFill>
    </fill>
    <fill>
      <patternFill patternType="solid">
        <fgColor rgb="FF4A86E8"/>
        <bgColor rgb="FF4A86E8"/>
      </patternFill>
    </fill>
    <fill>
      <patternFill patternType="solid">
        <fgColor rgb="FF99FFB5"/>
        <bgColor rgb="FF99FFB5"/>
      </patternFill>
    </fill>
    <fill>
      <patternFill patternType="solid">
        <fgColor rgb="FFFCE5CD"/>
        <bgColor rgb="FFFCE5CD"/>
      </patternFill>
    </fill>
    <fill>
      <patternFill patternType="solid">
        <fgColor rgb="FFBBF3FF"/>
        <bgColor rgb="FFBBF3FF"/>
      </patternFill>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666666"/>
      </left>
      <top style="thin">
        <color rgb="FF666666"/>
      </top>
      <bottom style="thin">
        <color rgb="FF666666"/>
      </bottom>
    </border>
    <border>
      <top style="thin">
        <color rgb="FF666666"/>
      </top>
      <bottom style="thin">
        <color rgb="FF666666"/>
      </bottom>
    </border>
    <border>
      <right style="thin">
        <color rgb="FF666666"/>
      </right>
      <top style="thin">
        <color rgb="FF666666"/>
      </top>
      <bottom style="thin">
        <color rgb="FF666666"/>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bottom style="thin">
        <color rgb="FF000000"/>
      </bottom>
    </border>
    <border>
      <left style="thin">
        <color rgb="FF000000"/>
      </left>
      <right style="thin">
        <color rgb="FF000000"/>
      </right>
    </border>
    <border>
      <top style="thin">
        <color rgb="FF000000"/>
      </top>
    </border>
    <border>
      <right style="thin">
        <color rgb="FF000000"/>
      </right>
      <top style="thin">
        <color rgb="FF000000"/>
      </top>
    </border>
    <border>
      <left style="thin">
        <color rgb="FF000000"/>
      </left>
      <top style="thin">
        <color rgb="FF000000"/>
      </top>
    </border>
    <border>
      <left style="thin">
        <color rgb="FF000000"/>
      </left>
    </border>
  </borders>
  <cellStyleXfs count="1">
    <xf borderId="0" fillId="0" fontId="0" numFmtId="0" applyAlignment="1" applyFont="1"/>
  </cellStyleXfs>
  <cellXfs count="1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0" fillId="0" fontId="3" numFmtId="0" xfId="0" applyAlignment="1" applyFont="1">
      <alignment horizontal="center" vertical="center"/>
    </xf>
    <xf borderId="0" fillId="0" fontId="3" numFmtId="0" xfId="0" applyAlignment="1" applyFont="1">
      <alignment vertical="center"/>
    </xf>
    <xf borderId="0" fillId="0" fontId="3" numFmtId="0" xfId="0" applyAlignment="1" applyFont="1">
      <alignment vertical="center"/>
    </xf>
    <xf borderId="0" fillId="0" fontId="3" numFmtId="0" xfId="0" applyAlignment="1" applyFont="1">
      <alignment horizontal="center" readingOrder="0" vertical="center"/>
    </xf>
    <xf borderId="0" fillId="0" fontId="3" numFmtId="0" xfId="0" applyAlignment="1" applyFont="1">
      <alignment horizontal="center" readingOrder="0" textRotation="0" vertical="center"/>
    </xf>
    <xf borderId="0" fillId="3" fontId="1" numFmtId="0" xfId="0" applyAlignment="1" applyFill="1" applyFont="1">
      <alignment horizontal="center" readingOrder="0" shrinkToFit="0" vertical="center" wrapText="0"/>
    </xf>
    <xf borderId="0" fillId="4" fontId="1" numFmtId="0" xfId="0" applyAlignment="1" applyFill="1" applyFont="1">
      <alignment horizontal="center" shrinkToFit="0" vertical="center" wrapText="0"/>
    </xf>
    <xf borderId="4" fillId="3" fontId="1" numFmtId="0" xfId="0" applyAlignment="1" applyBorder="1" applyFont="1">
      <alignment horizontal="center" readingOrder="0" shrinkToFit="0" vertical="center" wrapText="0"/>
    </xf>
    <xf borderId="5" fillId="0" fontId="2" numFmtId="0" xfId="0" applyBorder="1" applyFont="1"/>
    <xf borderId="6" fillId="0" fontId="2" numFmtId="0" xfId="0" applyBorder="1" applyFont="1"/>
    <xf borderId="7" fillId="0" fontId="3" numFmtId="164" xfId="0" applyAlignment="1" applyBorder="1" applyFont="1" applyNumberFormat="1">
      <alignment horizontal="right" readingOrder="0" vertical="center"/>
    </xf>
    <xf borderId="0" fillId="0" fontId="3" numFmtId="0" xfId="0" applyAlignment="1" applyFont="1">
      <alignment horizontal="right" readingOrder="0" vertical="center"/>
    </xf>
    <xf borderId="8" fillId="5" fontId="3" numFmtId="0" xfId="0" applyAlignment="1" applyBorder="1" applyFill="1" applyFont="1">
      <alignment horizontal="center" readingOrder="0" vertical="center"/>
    </xf>
    <xf borderId="0" fillId="0" fontId="3" numFmtId="0" xfId="0" applyAlignment="1" applyFont="1">
      <alignment horizontal="left" readingOrder="0" vertical="center"/>
    </xf>
    <xf borderId="1" fillId="6" fontId="4" numFmtId="0" xfId="0" applyAlignment="1" applyBorder="1" applyFill="1" applyFont="1">
      <alignment horizontal="center" readingOrder="0" vertical="center"/>
    </xf>
    <xf borderId="8" fillId="6" fontId="4" numFmtId="0" xfId="0" applyAlignment="1" applyBorder="1" applyFont="1">
      <alignment horizontal="center" readingOrder="0" vertical="center"/>
    </xf>
    <xf borderId="8" fillId="6" fontId="4" numFmtId="0" xfId="0" applyAlignment="1" applyBorder="1" applyFont="1">
      <alignment horizontal="center" vertical="center"/>
    </xf>
    <xf borderId="0" fillId="0" fontId="3" numFmtId="0" xfId="0" applyAlignment="1" applyFont="1">
      <alignment horizontal="right" vertical="center"/>
    </xf>
    <xf borderId="0" fillId="0" fontId="3" numFmtId="0" xfId="0" applyAlignment="1" applyFont="1">
      <alignment horizontal="center" vertical="center"/>
    </xf>
    <xf borderId="1" fillId="7" fontId="3" numFmtId="0" xfId="0" applyAlignment="1" applyBorder="1" applyFill="1" applyFont="1">
      <alignment horizontal="center" readingOrder="0" vertical="center"/>
    </xf>
    <xf borderId="3" fillId="7" fontId="3" numFmtId="0" xfId="0" applyAlignment="1" applyBorder="1" applyFont="1">
      <alignment readingOrder="0" vertical="center"/>
    </xf>
    <xf borderId="3" fillId="7" fontId="3" numFmtId="0" xfId="0" applyAlignment="1" applyBorder="1" applyFont="1">
      <alignment horizontal="center" readingOrder="0" vertical="center"/>
    </xf>
    <xf borderId="8" fillId="7" fontId="3" numFmtId="0" xfId="0" applyAlignment="1" applyBorder="1" applyFont="1">
      <alignment horizontal="center" readingOrder="0" vertical="center"/>
    </xf>
    <xf borderId="8" fillId="7" fontId="3" numFmtId="165" xfId="0" applyAlignment="1" applyBorder="1" applyFont="1" applyNumberFormat="1">
      <alignment horizontal="center" shrinkToFit="0" vertical="center" wrapText="0"/>
    </xf>
    <xf borderId="8" fillId="7" fontId="4" numFmtId="0" xfId="0" applyAlignment="1" applyBorder="1" applyFont="1">
      <alignment horizontal="center" readingOrder="0" vertical="center"/>
    </xf>
    <xf borderId="1" fillId="8" fontId="1" numFmtId="164" xfId="0" applyAlignment="1" applyBorder="1" applyFill="1" applyFont="1" applyNumberFormat="1">
      <alignment horizontal="center" readingOrder="0" shrinkToFit="0" vertical="center" wrapText="0"/>
    </xf>
    <xf borderId="2" fillId="0" fontId="2" numFmtId="0" xfId="0" applyBorder="1" applyFont="1"/>
    <xf borderId="3" fillId="0" fontId="2" numFmtId="0" xfId="0" applyBorder="1" applyFont="1"/>
    <xf borderId="9" fillId="3" fontId="3" numFmtId="0" xfId="0" applyAlignment="1" applyBorder="1" applyFont="1">
      <alignment vertical="center"/>
    </xf>
    <xf borderId="0" fillId="0" fontId="3" numFmtId="0" xfId="0" applyAlignment="1" applyFont="1">
      <alignment horizontal="left" vertical="center"/>
    </xf>
    <xf borderId="0" fillId="4" fontId="3" numFmtId="0" xfId="0" applyAlignment="1" applyFont="1">
      <alignment vertical="center"/>
    </xf>
    <xf borderId="3" fillId="7" fontId="3" numFmtId="0" xfId="0" applyAlignment="1" applyBorder="1" applyFont="1">
      <alignment horizontal="center" vertical="center"/>
    </xf>
    <xf borderId="8" fillId="7" fontId="3" numFmtId="0" xfId="0" applyAlignment="1" applyBorder="1" applyFont="1">
      <alignment horizontal="center" vertical="center"/>
    </xf>
    <xf borderId="8" fillId="7" fontId="4" numFmtId="0" xfId="0" applyAlignment="1" applyBorder="1" applyFont="1">
      <alignment horizontal="center" vertical="center"/>
    </xf>
    <xf borderId="10" fillId="0" fontId="3" numFmtId="0" xfId="0" applyAlignment="1" applyBorder="1" applyFont="1">
      <alignment horizontal="right" readingOrder="0" vertical="center"/>
    </xf>
    <xf borderId="11" fillId="0" fontId="3" numFmtId="0" xfId="0" applyAlignment="1" applyBorder="1" applyFont="1">
      <alignment horizontal="center" readingOrder="0" vertical="center"/>
    </xf>
    <xf borderId="12" fillId="5" fontId="3" numFmtId="0" xfId="0" applyAlignment="1" applyBorder="1" applyFont="1">
      <alignment horizontal="center" readingOrder="0" vertical="center"/>
    </xf>
    <xf borderId="10" fillId="0" fontId="3" numFmtId="0" xfId="0" applyAlignment="1" applyBorder="1" applyFont="1">
      <alignment horizontal="center" readingOrder="0" vertical="center"/>
    </xf>
    <xf borderId="13" fillId="0" fontId="3" numFmtId="0" xfId="0" applyAlignment="1" applyBorder="1" applyFont="1">
      <alignment readingOrder="0" vertical="center"/>
    </xf>
    <xf borderId="14" fillId="3" fontId="3" numFmtId="0" xfId="0" applyAlignment="1" applyBorder="1" applyFont="1">
      <alignment vertical="center"/>
    </xf>
    <xf borderId="0" fillId="4" fontId="3" numFmtId="0" xfId="0" applyAlignment="1" applyFont="1">
      <alignment horizontal="right" vertical="center"/>
    </xf>
    <xf borderId="0" fillId="4" fontId="3" numFmtId="0" xfId="0" applyAlignment="1" applyFont="1">
      <alignment horizontal="center" vertical="center"/>
    </xf>
    <xf borderId="1" fillId="0" fontId="3" numFmtId="0" xfId="0" applyAlignment="1" applyBorder="1" applyFont="1">
      <alignment horizontal="center" readingOrder="0" vertical="center"/>
    </xf>
    <xf borderId="3" fillId="0" fontId="3" numFmtId="0" xfId="0" applyAlignment="1" applyBorder="1" applyFont="1">
      <alignment readingOrder="0" vertical="center"/>
    </xf>
    <xf borderId="3" fillId="0" fontId="3" numFmtId="0" xfId="0" applyAlignment="1" applyBorder="1" applyFont="1">
      <alignment horizontal="center" vertical="center"/>
    </xf>
    <xf borderId="8" fillId="0" fontId="3" numFmtId="0" xfId="0" applyAlignment="1" applyBorder="1" applyFont="1">
      <alignment horizontal="center" vertical="center"/>
    </xf>
    <xf borderId="8" fillId="0" fontId="3" numFmtId="165" xfId="0" applyAlignment="1" applyBorder="1" applyFont="1" applyNumberFormat="1">
      <alignment horizontal="center" vertical="center"/>
    </xf>
    <xf borderId="8" fillId="0" fontId="4" numFmtId="0" xfId="0" applyAlignment="1" applyBorder="1" applyFont="1">
      <alignment horizontal="center" vertical="center"/>
    </xf>
    <xf borderId="0" fillId="0" fontId="5" numFmtId="0" xfId="0" applyAlignment="1" applyFont="1">
      <alignment vertical="center"/>
    </xf>
    <xf borderId="0" fillId="4" fontId="3" numFmtId="0" xfId="0" applyAlignment="1" applyFont="1">
      <alignment horizontal="center" readingOrder="0" vertical="center"/>
    </xf>
    <xf borderId="15" fillId="0" fontId="6" numFmtId="0" xfId="0" applyAlignment="1" applyBorder="1" applyFont="1">
      <alignment vertical="center"/>
    </xf>
    <xf borderId="14" fillId="3" fontId="3" numFmtId="0" xfId="0" applyAlignment="1" applyBorder="1" applyFont="1">
      <alignment vertical="center"/>
    </xf>
    <xf borderId="0" fillId="0" fontId="5" numFmtId="0" xfId="0" applyAlignment="1" applyFont="1">
      <alignment horizontal="center" vertical="center"/>
    </xf>
    <xf borderId="0" fillId="0" fontId="6" numFmtId="0" xfId="0" applyAlignment="1" applyFont="1">
      <alignment vertical="center"/>
    </xf>
    <xf borderId="15" fillId="8" fontId="1" numFmtId="164" xfId="0" applyAlignment="1" applyBorder="1" applyFont="1" applyNumberFormat="1">
      <alignment horizontal="center" readingOrder="0" shrinkToFit="0" vertical="center" wrapText="0"/>
    </xf>
    <xf borderId="15" fillId="0" fontId="2" numFmtId="0" xfId="0" applyBorder="1" applyFont="1"/>
    <xf borderId="16" fillId="0" fontId="2" numFmtId="0" xfId="0" applyBorder="1" applyFont="1"/>
    <xf borderId="0" fillId="0" fontId="7" numFmtId="0" xfId="0" applyAlignment="1" applyFont="1">
      <alignment horizontal="left" readingOrder="0" shrinkToFit="0" vertical="center" wrapText="1"/>
    </xf>
    <xf borderId="2" fillId="0" fontId="3" numFmtId="0" xfId="0" applyAlignment="1" applyBorder="1" applyFont="1">
      <alignment horizontal="right" readingOrder="0" vertical="center"/>
    </xf>
    <xf borderId="3" fillId="0" fontId="3" numFmtId="0" xfId="0" applyAlignment="1" applyBorder="1" applyFont="1">
      <alignment horizontal="center" readingOrder="0" vertical="center"/>
    </xf>
    <xf borderId="2" fillId="0" fontId="3" numFmtId="0" xfId="0" applyAlignment="1" applyBorder="1" applyFont="1">
      <alignment horizontal="left" readingOrder="0" vertical="center"/>
    </xf>
    <xf borderId="0" fillId="0" fontId="1" numFmtId="166" xfId="0" applyAlignment="1" applyFont="1" applyNumberFormat="1">
      <alignment horizontal="right" readingOrder="0" vertical="center"/>
    </xf>
    <xf borderId="0" fillId="0" fontId="4" numFmtId="0" xfId="0" applyAlignment="1" applyFont="1">
      <alignment horizontal="center" readingOrder="0" vertical="center"/>
    </xf>
    <xf borderId="0" fillId="0" fontId="5" numFmtId="0" xfId="0" applyAlignment="1" applyFont="1">
      <alignment horizontal="center" readingOrder="0" vertical="center"/>
    </xf>
    <xf borderId="0" fillId="0" fontId="5" numFmtId="0" xfId="0" applyAlignment="1" applyFont="1">
      <alignment horizontal="left" readingOrder="0" vertical="center"/>
    </xf>
    <xf borderId="0" fillId="0" fontId="5" numFmtId="0" xfId="0" applyAlignment="1" applyFont="1">
      <alignment horizontal="right" vertical="center"/>
    </xf>
    <xf borderId="0" fillId="0" fontId="8" numFmtId="0" xfId="0" applyAlignment="1" applyFont="1">
      <alignment vertical="center"/>
    </xf>
    <xf borderId="0" fillId="0" fontId="8" numFmtId="0" xfId="0" applyAlignment="1" applyFont="1">
      <alignment vertical="center"/>
    </xf>
    <xf borderId="12" fillId="3" fontId="3" numFmtId="0" xfId="0" applyAlignment="1" applyBorder="1" applyFont="1">
      <alignment vertical="center"/>
    </xf>
    <xf borderId="0" fillId="0" fontId="3" numFmtId="0" xfId="0" applyAlignment="1" applyFont="1">
      <alignment readingOrder="0" vertical="center"/>
    </xf>
    <xf borderId="8" fillId="7" fontId="3" numFmtId="165" xfId="0" applyAlignment="1" applyBorder="1" applyFont="1" applyNumberFormat="1">
      <alignment horizontal="center" vertical="center"/>
    </xf>
    <xf borderId="2" fillId="0" fontId="3" numFmtId="0" xfId="0" applyAlignment="1" applyBorder="1" applyFont="1">
      <alignment readingOrder="0" vertical="center"/>
    </xf>
    <xf borderId="0" fillId="0" fontId="2" numFmtId="0" xfId="0" applyAlignment="1" applyFont="1">
      <alignment vertical="center"/>
    </xf>
    <xf borderId="17" fillId="8" fontId="1" numFmtId="164" xfId="0" applyAlignment="1" applyBorder="1" applyFont="1" applyNumberFormat="1">
      <alignment horizontal="center" readingOrder="0" shrinkToFit="0" vertical="center" wrapText="0"/>
    </xf>
    <xf borderId="1" fillId="0" fontId="3" numFmtId="0" xfId="0" applyAlignment="1" applyBorder="1" applyFont="1">
      <alignment horizontal="right" readingOrder="0" vertical="center"/>
    </xf>
    <xf borderId="0" fillId="0" fontId="4" numFmtId="0" xfId="0" applyAlignment="1" applyFont="1">
      <alignment horizontal="right" readingOrder="0" vertical="center"/>
    </xf>
    <xf borderId="3" fillId="7" fontId="3" numFmtId="0" xfId="0" applyAlignment="1" applyBorder="1" applyFont="1">
      <alignment vertical="center"/>
    </xf>
    <xf borderId="0" fillId="0" fontId="9" numFmtId="0" xfId="0" applyAlignment="1" applyFont="1">
      <alignment horizontal="center" readingOrder="0" vertical="center"/>
    </xf>
    <xf borderId="16" fillId="7" fontId="3" numFmtId="0" xfId="0" applyAlignment="1" applyBorder="1" applyFont="1">
      <alignment vertical="center"/>
    </xf>
    <xf borderId="16" fillId="7" fontId="3" numFmtId="0" xfId="0" applyAlignment="1" applyBorder="1" applyFont="1">
      <alignment horizontal="center" vertical="center"/>
    </xf>
    <xf borderId="9" fillId="7" fontId="3" numFmtId="0" xfId="0" applyAlignment="1" applyBorder="1" applyFont="1">
      <alignment horizontal="center" vertical="center"/>
    </xf>
    <xf borderId="9" fillId="7" fontId="3" numFmtId="165" xfId="0" applyAlignment="1" applyBorder="1" applyFont="1" applyNumberFormat="1">
      <alignment horizontal="center" vertical="center"/>
    </xf>
    <xf borderId="9" fillId="7" fontId="4" numFmtId="0" xfId="0" applyAlignment="1" applyBorder="1" applyFont="1">
      <alignment horizontal="center" vertical="center"/>
    </xf>
    <xf borderId="3" fillId="0" fontId="3" numFmtId="0" xfId="0" applyAlignment="1" applyBorder="1" applyFont="1">
      <alignment vertical="center"/>
    </xf>
    <xf borderId="11" fillId="0" fontId="3" numFmtId="0" xfId="0" applyAlignment="1" applyBorder="1" applyFont="1">
      <alignment vertical="center"/>
    </xf>
    <xf borderId="11" fillId="0" fontId="3" numFmtId="0" xfId="0" applyAlignment="1" applyBorder="1" applyFont="1">
      <alignment horizontal="center" vertical="center"/>
    </xf>
    <xf borderId="12" fillId="0" fontId="3" numFmtId="0" xfId="0" applyAlignment="1" applyBorder="1" applyFont="1">
      <alignment horizontal="center" vertical="center"/>
    </xf>
    <xf borderId="12" fillId="0" fontId="3" numFmtId="165" xfId="0" applyAlignment="1" applyBorder="1" applyFont="1" applyNumberFormat="1">
      <alignment horizontal="center" vertical="center"/>
    </xf>
    <xf borderId="12" fillId="0" fontId="4" numFmtId="0" xfId="0" applyAlignment="1" applyBorder="1" applyFont="1">
      <alignment horizontal="center" vertical="center"/>
    </xf>
    <xf borderId="0" fillId="0" fontId="7" numFmtId="0" xfId="0" applyAlignment="1" applyFont="1">
      <alignment readingOrder="0" vertical="center"/>
    </xf>
    <xf borderId="0" fillId="0" fontId="1" numFmtId="166" xfId="0" applyAlignment="1" applyFont="1" applyNumberFormat="1">
      <alignment horizontal="right" vertical="center"/>
    </xf>
    <xf borderId="8" fillId="2" fontId="1" numFmtId="0" xfId="0" applyAlignment="1" applyBorder="1" applyFont="1">
      <alignment horizontal="center" readingOrder="0" vertical="center"/>
    </xf>
    <xf borderId="0" fillId="0" fontId="2" numFmtId="0" xfId="0" applyAlignment="1" applyFont="1">
      <alignment readingOrder="0" vertical="center"/>
    </xf>
    <xf borderId="8" fillId="0" fontId="3" numFmtId="0" xfId="0" applyAlignment="1" applyBorder="1" applyFont="1">
      <alignment horizontal="center" vertical="center"/>
    </xf>
    <xf borderId="0" fillId="0" fontId="3" numFmtId="0" xfId="0" applyAlignment="1" applyFont="1">
      <alignment textRotation="0" vertical="center"/>
    </xf>
    <xf borderId="0" fillId="0" fontId="3" numFmtId="0" xfId="0" applyAlignment="1" applyFont="1">
      <alignment horizontal="left" readingOrder="0" shrinkToFit="0" vertical="center" wrapText="1"/>
    </xf>
    <xf borderId="0" fillId="0" fontId="4" numFmtId="166" xfId="0" applyAlignment="1" applyFont="1" applyNumberFormat="1">
      <alignment horizontal="right" vertical="center"/>
    </xf>
    <xf borderId="0" fillId="0" fontId="10" numFmtId="0" xfId="0" applyAlignment="1" applyFont="1">
      <alignment horizontal="center" readingOrder="0" shrinkToFit="0" vertical="center" wrapText="1"/>
    </xf>
    <xf borderId="0" fillId="0" fontId="10" numFmtId="0" xfId="0" applyAlignment="1" applyFont="1">
      <alignment horizontal="left" readingOrder="0" shrinkToFit="0" vertical="center" wrapText="1"/>
    </xf>
    <xf borderId="0" fillId="0" fontId="11" numFmtId="0" xfId="0" applyAlignment="1" applyFont="1">
      <alignment horizontal="left" readingOrder="0" shrinkToFit="0" vertical="center" wrapText="0"/>
    </xf>
    <xf borderId="1" fillId="2" fontId="1" numFmtId="0" xfId="0" applyAlignment="1" applyBorder="1" applyFont="1">
      <alignment horizontal="center" readingOrder="0" textRotation="0" vertical="center"/>
    </xf>
    <xf borderId="2" fillId="2" fontId="1" numFmtId="0" xfId="0" applyAlignment="1" applyBorder="1" applyFont="1">
      <alignment horizontal="center" readingOrder="0" textRotation="0" vertical="center"/>
    </xf>
    <xf borderId="2" fillId="2" fontId="1" numFmtId="0" xfId="0" applyAlignment="1" applyBorder="1" applyFont="1">
      <alignment horizontal="left" readingOrder="0" textRotation="0" vertical="center"/>
    </xf>
    <xf borderId="3" fillId="2" fontId="1" numFmtId="0" xfId="0" applyAlignment="1" applyBorder="1" applyFont="1">
      <alignment horizontal="center" readingOrder="0" textRotation="0" vertical="center"/>
    </xf>
    <xf borderId="8" fillId="9" fontId="1" numFmtId="0" xfId="0" applyAlignment="1" applyBorder="1" applyFill="1" applyFont="1">
      <alignment horizontal="center" readingOrder="0" vertical="center"/>
    </xf>
    <xf borderId="8" fillId="0" fontId="3" numFmtId="0" xfId="0" applyAlignment="1" applyBorder="1" applyFont="1">
      <alignment horizontal="center" readingOrder="0" textRotation="0" vertical="center"/>
    </xf>
    <xf borderId="0" fillId="5" fontId="3" numFmtId="0" xfId="0" applyAlignment="1" applyFont="1">
      <alignment horizontal="center" readingOrder="0" vertical="center"/>
    </xf>
    <xf borderId="0" fillId="0" fontId="12" numFmtId="0" xfId="0" applyAlignment="1" applyFont="1">
      <alignment horizontal="center" vertical="center"/>
    </xf>
    <xf borderId="13" fillId="0" fontId="4" numFmtId="0" xfId="0" applyAlignment="1" applyBorder="1" applyFont="1">
      <alignment horizontal="left" readingOrder="0" vertical="center"/>
    </xf>
    <xf borderId="13" fillId="0" fontId="4" numFmtId="0" xfId="0" applyAlignment="1" applyBorder="1" applyFont="1">
      <alignment horizontal="center" readingOrder="0" vertical="center"/>
    </xf>
    <xf borderId="8" fillId="0" fontId="4" numFmtId="0" xfId="0" applyAlignment="1" applyBorder="1" applyFont="1">
      <alignment horizontal="center" readingOrder="0" vertical="center"/>
    </xf>
    <xf borderId="8" fillId="0" fontId="4" numFmtId="0" xfId="0" applyAlignment="1" applyBorder="1" applyFont="1">
      <alignment horizontal="left" readingOrder="0" vertical="center"/>
    </xf>
    <xf borderId="9" fillId="9" fontId="5" numFmtId="0" xfId="0" applyAlignment="1" applyBorder="1" applyFont="1">
      <alignment horizontal="center" readingOrder="0" textRotation="90" vertical="center"/>
    </xf>
    <xf borderId="8" fillId="0" fontId="3" numFmtId="0" xfId="0" applyAlignment="1" applyBorder="1" applyFont="1">
      <alignment horizontal="center" readingOrder="0" vertical="center"/>
    </xf>
    <xf borderId="8" fillId="3" fontId="3" numFmtId="0" xfId="0" applyAlignment="1" applyBorder="1" applyFont="1">
      <alignment horizontal="center" vertical="center"/>
    </xf>
    <xf borderId="8" fillId="0" fontId="13" numFmtId="0" xfId="0" applyAlignment="1" applyBorder="1" applyFont="1">
      <alignment horizontal="center" vertical="center"/>
    </xf>
    <xf borderId="1" fillId="5" fontId="3" numFmtId="0" xfId="0" applyAlignment="1" applyBorder="1" applyFont="1">
      <alignment horizontal="center" readingOrder="0" vertical="center"/>
    </xf>
    <xf borderId="14" fillId="0" fontId="3" numFmtId="0" xfId="0" applyAlignment="1" applyBorder="1" applyFont="1">
      <alignment readingOrder="0" vertical="center"/>
    </xf>
    <xf borderId="14" fillId="0" fontId="3" numFmtId="0" xfId="0" applyAlignment="1" applyBorder="1" applyFont="1">
      <alignment horizontal="center" readingOrder="0" vertical="center"/>
    </xf>
    <xf borderId="14" fillId="0" fontId="3" numFmtId="0" xfId="0" applyAlignment="1" applyBorder="1" applyFont="1">
      <alignment horizontal="center" vertical="center"/>
    </xf>
    <xf borderId="14" fillId="0" fontId="3" numFmtId="0" xfId="0" applyAlignment="1" applyBorder="1" applyFont="1">
      <alignment horizontal="center" vertical="center"/>
    </xf>
    <xf borderId="9" fillId="0" fontId="3" numFmtId="0" xfId="0" applyAlignment="1" applyBorder="1" applyFont="1">
      <alignment horizontal="center" vertical="center"/>
    </xf>
    <xf borderId="16" fillId="5" fontId="3" numFmtId="0" xfId="0" applyAlignment="1" applyBorder="1" applyFont="1">
      <alignment horizontal="center" readingOrder="0" vertical="center"/>
    </xf>
    <xf borderId="0" fillId="0" fontId="14" numFmtId="0" xfId="0" applyAlignment="1" applyFont="1">
      <alignment readingOrder="0" vertical="center"/>
    </xf>
    <xf borderId="8" fillId="0" fontId="3" numFmtId="0" xfId="0" applyAlignment="1" applyBorder="1" applyFont="1">
      <alignment horizontal="left" readingOrder="0" vertical="center"/>
    </xf>
    <xf borderId="0" fillId="0" fontId="15" numFmtId="0" xfId="0" applyAlignment="1" applyFont="1">
      <alignment horizontal="left" readingOrder="0" shrinkToFit="0" vertical="center" wrapText="1"/>
    </xf>
    <xf borderId="0" fillId="0" fontId="11" numFmtId="0" xfId="0" applyAlignment="1" applyFont="1">
      <alignment horizontal="left" readingOrder="0" shrinkToFit="0" vertical="center" wrapText="1"/>
    </xf>
    <xf borderId="14" fillId="0" fontId="2" numFmtId="0" xfId="0" applyBorder="1" applyFont="1"/>
    <xf borderId="7" fillId="5" fontId="3" numFmtId="0" xfId="0" applyAlignment="1" applyBorder="1" applyFont="1">
      <alignment horizontal="center" readingOrder="0" vertical="center"/>
    </xf>
    <xf borderId="12" fillId="0" fontId="2" numFmtId="0" xfId="0" applyBorder="1" applyFont="1"/>
    <xf borderId="0" fillId="0" fontId="4" numFmtId="0" xfId="0" applyAlignment="1" applyFont="1">
      <alignment horizontal="right" vertical="center"/>
    </xf>
    <xf borderId="13" fillId="0" fontId="3" numFmtId="0" xfId="0" applyAlignment="1" applyBorder="1" applyFont="1">
      <alignment horizontal="center" vertical="center"/>
    </xf>
    <xf borderId="12" fillId="0" fontId="3" numFmtId="0" xfId="0" applyAlignment="1" applyBorder="1" applyFont="1">
      <alignment readingOrder="0" vertical="center"/>
    </xf>
    <xf borderId="12" fillId="0" fontId="3" numFmtId="0" xfId="0" applyAlignment="1" applyBorder="1" applyFont="1">
      <alignment horizontal="center" readingOrder="0" vertical="center"/>
    </xf>
    <xf borderId="12" fillId="0" fontId="3" numFmtId="0" xfId="0" applyAlignment="1" applyBorder="1" applyFont="1">
      <alignment horizontal="center" vertical="center"/>
    </xf>
    <xf borderId="11" fillId="5" fontId="3" numFmtId="0" xfId="0" applyAlignment="1" applyBorder="1" applyFont="1">
      <alignment horizontal="center" readingOrder="0" vertical="center"/>
    </xf>
    <xf borderId="8" fillId="5" fontId="3" numFmtId="0" xfId="0" applyAlignment="1" applyBorder="1" applyFont="1">
      <alignment horizontal="center" vertical="center"/>
    </xf>
    <xf borderId="7" fillId="0" fontId="3" numFmtId="0" xfId="0" applyAlignment="1" applyBorder="1" applyFont="1">
      <alignment horizontal="right" vertical="center"/>
    </xf>
    <xf borderId="13" fillId="5" fontId="3" numFmtId="0" xfId="0" applyAlignment="1" applyBorder="1" applyFont="1">
      <alignment horizontal="center" vertical="center"/>
    </xf>
    <xf borderId="13" fillId="5" fontId="3" numFmtId="0" xfId="0" applyAlignment="1" applyBorder="1" applyFont="1">
      <alignment horizontal="center" readingOrder="0" vertical="center"/>
    </xf>
    <xf borderId="8" fillId="0" fontId="3" numFmtId="0" xfId="0" applyAlignment="1" applyBorder="1" applyFont="1">
      <alignment horizontal="left" vertical="center"/>
    </xf>
    <xf borderId="8" fillId="9" fontId="5" numFmtId="0" xfId="0" applyAlignment="1" applyBorder="1" applyFont="1">
      <alignment horizontal="center" vertical="center"/>
    </xf>
    <xf borderId="8" fillId="9" fontId="5" numFmtId="165" xfId="0" applyAlignment="1" applyBorder="1" applyFont="1" applyNumberFormat="1">
      <alignment horizontal="center" vertical="center"/>
    </xf>
    <xf borderId="7" fillId="0" fontId="3" numFmtId="0" xfId="0" applyAlignment="1" applyBorder="1" applyFont="1">
      <alignment horizontal="right" readingOrder="0" vertical="center"/>
    </xf>
    <xf borderId="13" fillId="10" fontId="3" numFmtId="0" xfId="0" applyAlignment="1" applyBorder="1" applyFill="1" applyFont="1">
      <alignment horizontal="center" vertical="center"/>
    </xf>
    <xf borderId="0" fillId="0" fontId="16" numFmtId="0" xfId="0" applyAlignment="1" applyFont="1">
      <alignment vertical="center"/>
    </xf>
    <xf borderId="0" fillId="0" fontId="16" numFmtId="0" xfId="0" applyAlignment="1" applyFont="1">
      <alignment vertical="center"/>
    </xf>
    <xf borderId="0" fillId="0" fontId="3" numFmtId="0" xfId="0" applyAlignment="1" applyFont="1">
      <alignment horizontal="left" vertical="center"/>
    </xf>
    <xf borderId="1" fillId="10" fontId="3" numFmtId="0" xfId="0" applyAlignment="1" applyBorder="1" applyFont="1">
      <alignment horizontal="center" vertical="center"/>
    </xf>
    <xf borderId="8" fillId="9" fontId="1" numFmtId="165" xfId="0" applyAlignment="1" applyBorder="1" applyFont="1" applyNumberFormat="1">
      <alignment horizontal="center" readingOrder="0" vertical="center"/>
    </xf>
    <xf borderId="8" fillId="11" fontId="4" numFmtId="0" xfId="0" applyAlignment="1" applyBorder="1" applyFill="1" applyFont="1">
      <alignment horizontal="center" readingOrder="0" vertical="center"/>
    </xf>
    <xf borderId="8" fillId="11" fontId="3" numFmtId="0" xfId="0" applyAlignment="1" applyBorder="1" applyFont="1">
      <alignment horizontal="center" vertical="center"/>
    </xf>
    <xf borderId="17" fillId="5" fontId="3" numFmtId="0" xfId="0" applyAlignment="1" applyBorder="1" applyFont="1">
      <alignment readingOrder="0" shrinkToFit="0" vertical="center" wrapText="1"/>
    </xf>
    <xf borderId="18" fillId="0" fontId="2" numFmtId="0" xfId="0" applyBorder="1" applyFont="1"/>
    <xf borderId="7" fillId="0" fontId="2" numFmtId="0" xfId="0" applyBorder="1" applyFont="1"/>
    <xf borderId="0" fillId="0" fontId="3" numFmtId="0" xfId="0" applyAlignment="1" applyFont="1">
      <alignment horizontal="center" readingOrder="0" shrinkToFit="0" vertical="center" wrapText="1"/>
    </xf>
    <xf borderId="1" fillId="6" fontId="4" numFmtId="0" xfId="0" applyAlignment="1" applyBorder="1" applyFont="1">
      <alignment horizontal="center" vertical="center"/>
    </xf>
    <xf borderId="3" fillId="6" fontId="4" numFmtId="0" xfId="0" applyAlignment="1" applyBorder="1" applyFont="1">
      <alignment horizontal="center" vertical="center"/>
    </xf>
    <xf borderId="8" fillId="0" fontId="4" numFmtId="0" xfId="0" applyAlignment="1" applyBorder="1" applyFont="1">
      <alignment horizontal="center" readingOrder="0" vertical="center"/>
    </xf>
    <xf borderId="8" fillId="0" fontId="4" numFmtId="165" xfId="0" applyAlignment="1" applyBorder="1" applyFont="1" applyNumberFormat="1">
      <alignment horizontal="center" readingOrder="0" vertical="center"/>
    </xf>
    <xf borderId="3" fillId="7" fontId="3" numFmtId="0" xfId="0" applyAlignment="1" applyBorder="1" applyFont="1">
      <alignment horizontal="left" vertical="center"/>
    </xf>
    <xf borderId="0" fillId="0" fontId="3" numFmtId="0" xfId="0" applyAlignment="1" applyFont="1">
      <alignment horizontal="right" vertical="center"/>
    </xf>
    <xf borderId="1" fillId="7" fontId="3" numFmtId="0" xfId="0" applyAlignment="1" applyBorder="1" applyFont="1">
      <alignment horizontal="center" vertical="center"/>
    </xf>
    <xf borderId="1" fillId="12" fontId="3" numFmtId="0" xfId="0" applyAlignment="1" applyBorder="1" applyFill="1" applyFont="1">
      <alignment horizontal="center" vertical="center"/>
    </xf>
    <xf borderId="3" fillId="12" fontId="3" numFmtId="0" xfId="0" applyAlignment="1" applyBorder="1" applyFont="1">
      <alignment horizontal="left" vertical="center"/>
    </xf>
    <xf borderId="8" fillId="12" fontId="3" numFmtId="0" xfId="0" applyAlignment="1" applyBorder="1" applyFont="1">
      <alignment horizontal="center" vertical="center"/>
    </xf>
    <xf borderId="1" fillId="0" fontId="3" numFmtId="0" xfId="0" applyAlignment="1" applyBorder="1" applyFont="1">
      <alignment horizontal="center" vertical="center"/>
    </xf>
    <xf borderId="3" fillId="0" fontId="3" numFmtId="0" xfId="0" applyAlignment="1" applyBorder="1" applyFont="1">
      <alignment horizontal="left" vertical="center"/>
    </xf>
    <xf borderId="10" fillId="0" fontId="2" numFmtId="0" xfId="0" applyBorder="1" applyFont="1"/>
    <xf borderId="13" fillId="0" fontId="2" numFmtId="0" xfId="0" applyBorder="1" applyFont="1"/>
    <xf borderId="11" fillId="0" fontId="2" numFmtId="0" xfId="0" applyBorder="1" applyFont="1"/>
    <xf borderId="3" fillId="0" fontId="4" numFmtId="0" xfId="0" applyAlignment="1" applyBorder="1" applyFont="1">
      <alignment horizontal="center" readingOrder="0" vertical="center"/>
    </xf>
    <xf borderId="0" fillId="0" fontId="3" numFmtId="167" xfId="0" applyAlignment="1" applyFont="1" applyNumberFormat="1">
      <alignment vertical="center"/>
    </xf>
    <xf borderId="0" fillId="0" fontId="11" numFmtId="0" xfId="0" applyAlignment="1" applyFont="1">
      <alignment horizontal="center" readingOrder="0" shrinkToFit="0" vertical="center" wrapText="1"/>
    </xf>
    <xf borderId="0" fillId="0" fontId="3" numFmtId="168" xfId="0" applyAlignment="1" applyFont="1" applyNumberFormat="1">
      <alignment readingOrder="0" vertical="center"/>
    </xf>
    <xf borderId="0" fillId="0" fontId="3" numFmtId="0" xfId="0" applyAlignment="1" applyFont="1">
      <alignment horizontal="left" readingOrder="0" shrinkToFit="0" vertical="top" wrapText="1"/>
    </xf>
    <xf borderId="0" fillId="0" fontId="12" numFmtId="0" xfId="0" applyAlignment="1" applyFont="1">
      <alignment vertical="center"/>
    </xf>
    <xf borderId="12" fillId="3" fontId="3" numFmtId="0" xfId="0" applyAlignment="1" applyBorder="1" applyFont="1">
      <alignment horizontal="center" vertical="center"/>
    </xf>
    <xf borderId="1" fillId="2" fontId="1" numFmtId="0" xfId="0" applyAlignment="1" applyBorder="1" applyFont="1">
      <alignment horizontal="left" readingOrder="0" textRotation="0" vertical="center"/>
    </xf>
    <xf borderId="2" fillId="0" fontId="4" numFmtId="0" xfId="0" applyAlignment="1" applyBorder="1" applyFont="1">
      <alignment horizontal="center" readingOrder="0" vertical="center"/>
    </xf>
    <xf borderId="2" fillId="0" fontId="3" numFmtId="0" xfId="0" applyAlignment="1" applyBorder="1" applyFont="1">
      <alignment horizontal="center" readingOrder="0" vertical="center"/>
    </xf>
    <xf borderId="0" fillId="0" fontId="3" numFmtId="0" xfId="0" applyAlignment="1" applyFont="1">
      <alignment readingOrder="0" shrinkToFit="0" vertical="center" wrapText="1"/>
    </xf>
    <xf borderId="2" fillId="6" fontId="4" numFmtId="0" xfId="0" applyAlignment="1" applyBorder="1" applyFont="1">
      <alignment horizontal="center" vertical="center"/>
    </xf>
    <xf borderId="3" fillId="6" fontId="4" numFmtId="0" xfId="0" applyAlignment="1" applyBorder="1" applyFont="1">
      <alignment horizontal="center" readingOrder="0" vertical="center"/>
    </xf>
    <xf borderId="2" fillId="7" fontId="3" numFmtId="0" xfId="0" applyAlignment="1" applyBorder="1" applyFont="1">
      <alignment horizontal="center" readingOrder="0" vertical="center"/>
    </xf>
    <xf borderId="3" fillId="7" fontId="3" numFmtId="0" xfId="0" applyAlignment="1" applyBorder="1" applyFont="1">
      <alignment horizontal="left" readingOrder="0" vertical="center"/>
    </xf>
  </cellXfs>
  <cellStyles count="1">
    <cellStyle xfId="0" name="Normal" builtinId="0"/>
  </cellStyles>
  <dxfs count="5">
    <dxf>
      <font>
        <color rgb="FF000000"/>
      </font>
      <fill>
        <patternFill patternType="solid">
          <fgColor rgb="FFFFC000"/>
          <bgColor rgb="FFFFC000"/>
        </patternFill>
      </fill>
      <border/>
    </dxf>
    <dxf>
      <font/>
      <fill>
        <patternFill patternType="solid">
          <fgColor rgb="FFEAD1DC"/>
          <bgColor rgb="FFEAD1DC"/>
        </patternFill>
      </fill>
      <border/>
    </dxf>
    <dxf>
      <font/>
      <fill>
        <patternFill patternType="solid">
          <fgColor rgb="FFBBF3FF"/>
          <bgColor rgb="FFBBF3FF"/>
        </patternFill>
      </fill>
      <border/>
    </dxf>
    <dxf>
      <font/>
      <fill>
        <patternFill patternType="solid">
          <fgColor rgb="FFBBF3BB"/>
          <bgColor rgb="FFBBF3BB"/>
        </patternFill>
      </fill>
      <border/>
    </dxf>
    <dxf>
      <font/>
      <fill>
        <patternFill patternType="solid">
          <fgColor rgb="FFFFC000"/>
          <bgColor rgb="FFFFC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18</xdr:col>
      <xdr:colOff>142875</xdr:colOff>
      <xdr:row>0</xdr:row>
      <xdr:rowOff>200025</xdr:rowOff>
    </xdr:from>
    <xdr:ext cx="4476750" cy="19812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21</xdr:col>
      <xdr:colOff>457200</xdr:colOff>
      <xdr:row>12</xdr:row>
      <xdr:rowOff>19050</xdr:rowOff>
    </xdr:from>
    <xdr:ext cx="1609725" cy="215265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54</xdr:col>
      <xdr:colOff>180975</xdr:colOff>
      <xdr:row>15</xdr:row>
      <xdr:rowOff>152400</xdr:rowOff>
    </xdr:from>
    <xdr:ext cx="771525" cy="1152525"/>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ZCkQIHj3--RoFofNnvq2uKMrVamGk72OGxtwPJG1LRc/edit" TargetMode="External"/><Relationship Id="rId3" Type="http://schemas.openxmlformats.org/officeDocument/2006/relationships/hyperlink" Target="https://docs.google.com/spreadsheets/d/14sh4Oq1VYVGdUv2AGRDKGB0F8lumGc0xwWCu254z36Q/edit" TargetMode="External"/><Relationship Id="rId4" Type="http://schemas.openxmlformats.org/officeDocument/2006/relationships/hyperlink" Target="https://docs.google.com/spreadsheets/d/1jhQiv9Z68hA_E6waXW4GHdV5_IGFRx0fyIpse4gITRo/edit" TargetMode="External"/><Relationship Id="rId11" Type="http://schemas.openxmlformats.org/officeDocument/2006/relationships/drawing" Target="../drawings/drawing2.xml"/><Relationship Id="rId10" Type="http://schemas.openxmlformats.org/officeDocument/2006/relationships/hyperlink" Target="https://docs.google.com/spreadsheets/d/13clxNkRce-rVZo-jHX1Jza97S6rXz8k_K1zxu5qp3QU/edit" TargetMode="External"/><Relationship Id="rId12" Type="http://schemas.openxmlformats.org/officeDocument/2006/relationships/vmlDrawing" Target="../drawings/vmlDrawing1.vml"/><Relationship Id="rId9" Type="http://schemas.openxmlformats.org/officeDocument/2006/relationships/hyperlink" Target="https://docs.google.com/spreadsheets/d/1DzMbU1tHYy7IZWlVmG29UZzOuUCusK-veaKswrxWdVc/edit" TargetMode="External"/><Relationship Id="rId5" Type="http://schemas.openxmlformats.org/officeDocument/2006/relationships/hyperlink" Target="https://docs.google.com/spreadsheets/d/1QWgcykS5eOwB1Z9A8VlXkRMO5pAGsR-iaUjhuJgKwSs/edit" TargetMode="External"/><Relationship Id="rId6" Type="http://schemas.openxmlformats.org/officeDocument/2006/relationships/hyperlink" Target="https://docs.google.com/spreadsheets/d/19TLpP5JaBSXlsRYbvlZx7VcT51HiIzFPLilAQ7SHllI/edit" TargetMode="External"/><Relationship Id="rId7" Type="http://schemas.openxmlformats.org/officeDocument/2006/relationships/hyperlink" Target="https://docs.google.com/spreadsheets/d/1_JafBl9AJur53QJvhtEM6fBoTBsAPs7yqq4clrhXxjo/edit" TargetMode="External"/><Relationship Id="rId8" Type="http://schemas.openxmlformats.org/officeDocument/2006/relationships/hyperlink" Target="https://docs.google.com/spreadsheets/d/1KV7cHDTvO4cPuWK-B99K9nYZXBPiqzDvI-n_IOc16s4/edi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29"/>
    <col customWidth="1" min="2" max="2" width="14.43"/>
    <col customWidth="1" min="3" max="4" width="3.71"/>
    <col customWidth="1" min="5" max="5" width="14.43"/>
    <col customWidth="1" min="6" max="6" width="7.29"/>
    <col customWidth="1" min="7" max="7" width="0.86"/>
    <col customWidth="1" min="8" max="8" width="5.14"/>
    <col customWidth="1" min="9" max="9" width="14.43"/>
    <col customWidth="1" min="10" max="19" width="4.43"/>
    <col customWidth="1" min="20" max="20" width="7.29"/>
    <col customWidth="1" min="21" max="21" width="5.14"/>
    <col customWidth="1" min="22" max="22" width="14.43"/>
    <col customWidth="1" min="23" max="32" width="4.43"/>
    <col customWidth="1" min="33" max="33" width="14.43"/>
    <col customWidth="1" min="34" max="34" width="5.14"/>
    <col customWidth="1" min="35" max="36" width="3.71"/>
    <col customWidth="1" min="37" max="37" width="5.14"/>
    <col customWidth="1" min="38" max="38" width="14.43"/>
    <col customWidth="1" min="39" max="39" width="0.86"/>
    <col customWidth="1" min="40" max="40" width="14.43"/>
    <col customWidth="1" min="41" max="41" width="5.14"/>
    <col customWidth="1" min="42" max="43" width="3.71"/>
    <col customWidth="1" min="44" max="44" width="5.14"/>
    <col customWidth="1" min="45" max="45" width="14.43"/>
    <col customWidth="1" min="46" max="46" width="0.86"/>
    <col customWidth="1" min="47" max="47" width="14.43"/>
    <col customWidth="1" min="48" max="48" width="5.14"/>
    <col customWidth="1" min="49" max="50" width="3.71"/>
    <col customWidth="1" min="51" max="51" width="5.14"/>
    <col customWidth="1" min="52" max="52" width="14.43"/>
    <col customWidth="1" min="53" max="53" width="0.86"/>
    <col customWidth="1" min="54" max="54" width="14.43"/>
    <col customWidth="1" min="55" max="55" width="5.14"/>
    <col customWidth="1" min="56" max="57" width="3.71"/>
    <col customWidth="1" min="58" max="58" width="5.14"/>
    <col customWidth="1" min="59" max="59" width="14.43"/>
  </cols>
  <sheetData>
    <row r="1" ht="15.0" customHeight="1">
      <c r="A1" s="1" t="s">
        <v>0</v>
      </c>
      <c r="B1" s="2"/>
      <c r="C1" s="2"/>
      <c r="D1" s="2"/>
      <c r="E1" s="2"/>
      <c r="F1" s="2"/>
      <c r="G1" s="2"/>
      <c r="H1" s="2"/>
      <c r="I1" s="2"/>
      <c r="J1" s="2"/>
      <c r="K1" s="2"/>
      <c r="L1" s="2"/>
      <c r="M1" s="2"/>
      <c r="N1" s="2"/>
      <c r="O1" s="2"/>
      <c r="P1" s="2"/>
      <c r="Q1" s="3"/>
      <c r="R1" s="4"/>
      <c r="S1" s="5"/>
      <c r="T1" s="6"/>
      <c r="U1" s="6"/>
      <c r="V1" s="6"/>
      <c r="W1" s="6"/>
      <c r="X1" s="6"/>
      <c r="Y1" s="6"/>
      <c r="Z1" s="6"/>
      <c r="AA1" s="6"/>
      <c r="AB1" s="6"/>
      <c r="AC1" s="6"/>
      <c r="AD1" s="6"/>
      <c r="AE1" s="7"/>
      <c r="AF1" s="8"/>
      <c r="AG1" s="9" t="s">
        <v>1</v>
      </c>
      <c r="AM1" s="6"/>
      <c r="AN1" s="9" t="s">
        <v>2</v>
      </c>
      <c r="AT1" s="10"/>
      <c r="AU1" s="9" t="s">
        <v>3</v>
      </c>
      <c r="BA1" s="10"/>
      <c r="BB1" s="11" t="s">
        <v>4</v>
      </c>
      <c r="BC1" s="12"/>
      <c r="BD1" s="12"/>
      <c r="BE1" s="12"/>
      <c r="BF1" s="12"/>
      <c r="BG1" s="13"/>
    </row>
    <row r="2" ht="15.0" customHeight="1">
      <c r="A2" s="14">
        <f>DATETIME(Support!$AJ$1, 6, 14, 20, 0)</f>
        <v>45457.83333</v>
      </c>
      <c r="B2" s="15" t="s">
        <v>5</v>
      </c>
      <c r="C2" s="16">
        <v>0.0</v>
      </c>
      <c r="D2" s="16">
        <v>1.0</v>
      </c>
      <c r="E2" s="17" t="s">
        <v>6</v>
      </c>
      <c r="F2" s="7"/>
      <c r="G2" s="17"/>
      <c r="H2" s="18" t="str">
        <f t="array" ref="H2:Q2">{"Team", "", "P", "W", "D", "L", "F", "A", "GD", "Pts"}</f>
        <v>Team</v>
      </c>
      <c r="I2" s="3"/>
      <c r="J2" s="19" t="s">
        <v>7</v>
      </c>
      <c r="K2" s="20" t="s">
        <v>8</v>
      </c>
      <c r="L2" s="20" t="s">
        <v>9</v>
      </c>
      <c r="M2" s="20" t="s">
        <v>10</v>
      </c>
      <c r="N2" s="19" t="s">
        <v>11</v>
      </c>
      <c r="O2" s="19" t="s">
        <v>12</v>
      </c>
      <c r="P2" s="19" t="s">
        <v>13</v>
      </c>
      <c r="Q2" s="19" t="s">
        <v>14</v>
      </c>
      <c r="R2" s="4"/>
      <c r="S2" s="5"/>
      <c r="AF2" s="8"/>
      <c r="AG2" s="21"/>
      <c r="AH2" s="6"/>
      <c r="AI2" s="6"/>
      <c r="AJ2" s="6"/>
      <c r="AK2" s="6"/>
      <c r="AL2" s="21"/>
      <c r="AM2" s="6"/>
      <c r="AN2" s="21"/>
      <c r="AO2" s="22"/>
      <c r="AP2" s="6"/>
      <c r="AQ2" s="6"/>
      <c r="AR2" s="22"/>
      <c r="AS2" s="21"/>
      <c r="AT2" s="6"/>
      <c r="AU2" s="21"/>
      <c r="AV2" s="22"/>
      <c r="AW2" s="6"/>
      <c r="AX2" s="6"/>
      <c r="AY2" s="22"/>
      <c r="AZ2" s="21"/>
      <c r="BA2" s="6"/>
      <c r="BB2" s="21"/>
      <c r="BC2" s="22"/>
      <c r="BD2" s="6"/>
      <c r="BE2" s="6"/>
      <c r="BF2" s="6"/>
      <c r="BG2" s="21"/>
    </row>
    <row r="3" ht="15.0" customHeight="1">
      <c r="A3" s="14">
        <f>DATETIME(Support!$AJ$1, 6, 15, 14, 0)</f>
        <v>45458.58333</v>
      </c>
      <c r="B3" s="15" t="s">
        <v>15</v>
      </c>
      <c r="C3" s="16">
        <v>0.0</v>
      </c>
      <c r="D3" s="16">
        <v>2.0</v>
      </c>
      <c r="E3" s="17" t="s">
        <v>16</v>
      </c>
      <c r="F3" s="7"/>
      <c r="G3" s="17"/>
      <c r="H3" s="23" t="str">
        <f>IFERROR(__xludf.DUMMYFUNCTION("filter(indirect(""Final""&amp;right(A1)), {1,1,1,1,1,1,1,1,1,1,0,0,0,0,0,0,0,0,0,0,0})"),"")</f>
        <v/>
      </c>
      <c r="I3" s="24" t="str">
        <f>IFERROR(__xludf.DUMMYFUNCTION("""COMPUTED_VALUE"""),"Scotland")</f>
        <v>Scotland</v>
      </c>
      <c r="J3" s="25">
        <f>IFERROR(__xludf.DUMMYFUNCTION("""COMPUTED_VALUE"""),3.0)</f>
        <v>3</v>
      </c>
      <c r="K3" s="26">
        <f>IFERROR(__xludf.DUMMYFUNCTION("""COMPUTED_VALUE"""),3.0)</f>
        <v>3</v>
      </c>
      <c r="L3" s="26">
        <f>IFERROR(__xludf.DUMMYFUNCTION("""COMPUTED_VALUE"""),0.0)</f>
        <v>0</v>
      </c>
      <c r="M3" s="26">
        <f>IFERROR(__xludf.DUMMYFUNCTION("""COMPUTED_VALUE"""),0.0)</f>
        <v>0</v>
      </c>
      <c r="N3" s="26">
        <f>IFERROR(__xludf.DUMMYFUNCTION("""COMPUTED_VALUE"""),5.0)</f>
        <v>5</v>
      </c>
      <c r="O3" s="26">
        <f>IFERROR(__xludf.DUMMYFUNCTION("""COMPUTED_VALUE"""),2.0)</f>
        <v>2</v>
      </c>
      <c r="P3" s="27">
        <f>IFERROR(__xludf.DUMMYFUNCTION("""COMPUTED_VALUE"""),3.0)</f>
        <v>3</v>
      </c>
      <c r="Q3" s="28">
        <f>IFERROR(__xludf.DUMMYFUNCTION("""COMPUTED_VALUE"""),9.0)</f>
        <v>9</v>
      </c>
      <c r="R3" s="7"/>
      <c r="AF3" s="8"/>
      <c r="AG3" s="29">
        <f>DATETIME(Support!$AJ$1, 6, 30, 20, 0)</f>
        <v>45473.83333</v>
      </c>
      <c r="AH3" s="30"/>
      <c r="AI3" s="30"/>
      <c r="AJ3" s="30"/>
      <c r="AK3" s="30"/>
      <c r="AL3" s="31"/>
      <c r="AM3" s="32">
        <v>0.0</v>
      </c>
      <c r="AN3" s="21"/>
      <c r="AO3" s="22"/>
      <c r="AP3" s="6"/>
      <c r="AQ3" s="6"/>
      <c r="AR3" s="22"/>
      <c r="AS3" s="33"/>
      <c r="AT3" s="6"/>
      <c r="AU3" s="6"/>
      <c r="AV3" s="22"/>
      <c r="AW3" s="6"/>
      <c r="AX3" s="6"/>
      <c r="AY3" s="22"/>
      <c r="AZ3" s="6"/>
      <c r="BA3" s="34"/>
      <c r="BB3" s="6"/>
      <c r="BC3" s="22"/>
      <c r="BD3" s="6"/>
      <c r="BE3" s="6"/>
      <c r="BF3" s="34"/>
      <c r="BG3" s="34"/>
    </row>
    <row r="4" ht="15.0" customHeight="1">
      <c r="A4" s="14">
        <f>DATETIME(Support!$AJ$1, 6, 19, 17, 0)</f>
        <v>45462.70833</v>
      </c>
      <c r="B4" s="15" t="s">
        <v>5</v>
      </c>
      <c r="C4" s="16">
        <v>0.0</v>
      </c>
      <c r="D4" s="16">
        <v>3.0</v>
      </c>
      <c r="E4" s="17" t="s">
        <v>15</v>
      </c>
      <c r="F4" s="7"/>
      <c r="G4" s="17"/>
      <c r="H4" s="23" t="str">
        <f>IFERROR(__xludf.DUMMYFUNCTION("""COMPUTED_VALUE"""),"")</f>
        <v/>
      </c>
      <c r="I4" s="24" t="str">
        <f>IFERROR(__xludf.DUMMYFUNCTION("""COMPUTED_VALUE"""),"Hungary")</f>
        <v>Hungary</v>
      </c>
      <c r="J4" s="35">
        <f>IFERROR(__xludf.DUMMYFUNCTION("""COMPUTED_VALUE"""),3.0)</f>
        <v>3</v>
      </c>
      <c r="K4" s="36">
        <f>IFERROR(__xludf.DUMMYFUNCTION("""COMPUTED_VALUE"""),1.0)</f>
        <v>1</v>
      </c>
      <c r="L4" s="36">
        <f>IFERROR(__xludf.DUMMYFUNCTION("""COMPUTED_VALUE"""),0.0)</f>
        <v>0</v>
      </c>
      <c r="M4" s="36">
        <f>IFERROR(__xludf.DUMMYFUNCTION("""COMPUTED_VALUE"""),2.0)</f>
        <v>2</v>
      </c>
      <c r="N4" s="36">
        <f>IFERROR(__xludf.DUMMYFUNCTION("""COMPUTED_VALUE"""),3.0)</f>
        <v>3</v>
      </c>
      <c r="O4" s="36">
        <f>IFERROR(__xludf.DUMMYFUNCTION("""COMPUTED_VALUE"""),3.0)</f>
        <v>3</v>
      </c>
      <c r="P4" s="27">
        <f>IFERROR(__xludf.DUMMYFUNCTION("""COMPUTED_VALUE"""),0.0)</f>
        <v>0</v>
      </c>
      <c r="Q4" s="37">
        <f>IFERROR(__xludf.DUMMYFUNCTION("""COMPUTED_VALUE"""),3.0)</f>
        <v>3</v>
      </c>
      <c r="R4" s="7"/>
      <c r="AF4" s="8"/>
      <c r="AG4" s="38" t="str">
        <f>GROUPQUAL(1, "B")</f>
        <v>Spain</v>
      </c>
      <c r="AH4" s="39" t="str">
        <f>FLAG(AH4)</f>
        <v/>
      </c>
      <c r="AI4" s="40">
        <v>1.0</v>
      </c>
      <c r="AJ4" s="40">
        <v>0.0</v>
      </c>
      <c r="AK4" s="41" t="str">
        <f>FLAG(AK4)</f>
        <v/>
      </c>
      <c r="AL4" s="42" t="str">
        <f>THIRD_PLACE(AG4)</f>
        <v>Romania</v>
      </c>
      <c r="AM4" s="43">
        <v>1.0</v>
      </c>
      <c r="AN4" s="44"/>
      <c r="AO4" s="45"/>
      <c r="AP4" s="6"/>
      <c r="AQ4" s="6"/>
      <c r="AR4" s="22"/>
      <c r="AS4" s="33"/>
      <c r="AT4" s="6"/>
      <c r="AU4" s="6"/>
      <c r="AV4" s="22"/>
      <c r="AW4" s="6"/>
      <c r="AX4" s="6"/>
      <c r="AY4" s="22"/>
      <c r="AZ4" s="6"/>
      <c r="BA4" s="6"/>
      <c r="BB4" s="6"/>
      <c r="BC4" s="22"/>
      <c r="BD4" s="6"/>
      <c r="BE4" s="6"/>
      <c r="BF4" s="34"/>
      <c r="BG4" s="34"/>
    </row>
    <row r="5" ht="15.0" customHeight="1">
      <c r="A5" s="14">
        <f>DATETIME(Support!$AJ$1, 6, 19, 20, 0)</f>
        <v>45462.83333</v>
      </c>
      <c r="B5" s="15" t="s">
        <v>6</v>
      </c>
      <c r="C5" s="16">
        <v>3.0</v>
      </c>
      <c r="D5" s="16">
        <v>2.0</v>
      </c>
      <c r="E5" s="17" t="s">
        <v>16</v>
      </c>
      <c r="F5" s="7"/>
      <c r="G5" s="17"/>
      <c r="H5" s="46" t="str">
        <f>IFERROR(__xludf.DUMMYFUNCTION("""COMPUTED_VALUE"""),"")</f>
        <v/>
      </c>
      <c r="I5" s="47" t="str">
        <f>IFERROR(__xludf.DUMMYFUNCTION("""COMPUTED_VALUE"""),"Switzerland")</f>
        <v>Switzerland</v>
      </c>
      <c r="J5" s="48">
        <f>IFERROR(__xludf.DUMMYFUNCTION("""COMPUTED_VALUE"""),3.0)</f>
        <v>3</v>
      </c>
      <c r="K5" s="49">
        <f>IFERROR(__xludf.DUMMYFUNCTION("""COMPUTED_VALUE"""),1.0)</f>
        <v>1</v>
      </c>
      <c r="L5" s="49">
        <f>IFERROR(__xludf.DUMMYFUNCTION("""COMPUTED_VALUE"""),0.0)</f>
        <v>0</v>
      </c>
      <c r="M5" s="49">
        <f>IFERROR(__xludf.DUMMYFUNCTION("""COMPUTED_VALUE"""),2.0)</f>
        <v>2</v>
      </c>
      <c r="N5" s="49">
        <f>IFERROR(__xludf.DUMMYFUNCTION("""COMPUTED_VALUE"""),4.0)</f>
        <v>4</v>
      </c>
      <c r="O5" s="49">
        <f>IFERROR(__xludf.DUMMYFUNCTION("""COMPUTED_VALUE"""),4.0)</f>
        <v>4</v>
      </c>
      <c r="P5" s="50">
        <f>IFERROR(__xludf.DUMMYFUNCTION("""COMPUTED_VALUE"""),0.0)</f>
        <v>0</v>
      </c>
      <c r="Q5" s="51">
        <f>IFERROR(__xludf.DUMMYFUNCTION("""COMPUTED_VALUE"""),3.0)</f>
        <v>3</v>
      </c>
      <c r="R5" s="7"/>
      <c r="AF5" s="8"/>
      <c r="AG5" s="52"/>
      <c r="AH5" s="22"/>
      <c r="AI5" s="53"/>
      <c r="AJ5" s="53"/>
      <c r="AK5" s="54" t="str">
        <f>IF(OR(AI4 = "", AJ4 = "", not(AI4 = AJ4)), "", "AET")</f>
        <v/>
      </c>
      <c r="AL5" s="6"/>
      <c r="AM5" s="55">
        <v>2.0</v>
      </c>
      <c r="AN5" s="6"/>
      <c r="AO5" s="6"/>
      <c r="AP5" s="6"/>
      <c r="AQ5" s="6"/>
      <c r="AR5" s="6"/>
      <c r="AS5" s="6"/>
      <c r="AT5" s="34"/>
      <c r="AU5" s="6"/>
      <c r="AV5" s="22"/>
      <c r="AW5" s="6"/>
      <c r="AX5" s="6"/>
      <c r="AY5" s="22"/>
      <c r="AZ5" s="6"/>
      <c r="BA5" s="34"/>
      <c r="BB5" s="6"/>
      <c r="BC5" s="22"/>
      <c r="BD5" s="6"/>
      <c r="BE5" s="6"/>
      <c r="BF5" s="34"/>
      <c r="BG5" s="34"/>
    </row>
    <row r="6" ht="15.0" customHeight="1">
      <c r="A6" s="14">
        <f>DATETIME(Support!$AJ$1, 6, 23, 20, 0)</f>
        <v>45466.83333</v>
      </c>
      <c r="B6" s="15" t="s">
        <v>16</v>
      </c>
      <c r="C6" s="16">
        <v>0.0</v>
      </c>
      <c r="D6" s="16">
        <v>1.0</v>
      </c>
      <c r="E6" s="17" t="s">
        <v>5</v>
      </c>
      <c r="F6" s="7" t="str">
        <f>DISPLAY_PENALTIES(1)</f>
        <v/>
      </c>
      <c r="G6" s="17"/>
      <c r="H6" s="46" t="str">
        <f>IFERROR(__xludf.DUMMYFUNCTION("""COMPUTED_VALUE"""),"")</f>
        <v/>
      </c>
      <c r="I6" s="47" t="str">
        <f>IFERROR(__xludf.DUMMYFUNCTION("""COMPUTED_VALUE"""),"Germany")</f>
        <v>Germany</v>
      </c>
      <c r="J6" s="48">
        <f>IFERROR(__xludf.DUMMYFUNCTION("""COMPUTED_VALUE"""),3.0)</f>
        <v>3</v>
      </c>
      <c r="K6" s="49">
        <f>IFERROR(__xludf.DUMMYFUNCTION("""COMPUTED_VALUE"""),1.0)</f>
        <v>1</v>
      </c>
      <c r="L6" s="49">
        <f>IFERROR(__xludf.DUMMYFUNCTION("""COMPUTED_VALUE"""),0.0)</f>
        <v>0</v>
      </c>
      <c r="M6" s="49">
        <f>IFERROR(__xludf.DUMMYFUNCTION("""COMPUTED_VALUE"""),2.0)</f>
        <v>2</v>
      </c>
      <c r="N6" s="49">
        <f>IFERROR(__xludf.DUMMYFUNCTION("""COMPUTED_VALUE"""),1.0)</f>
        <v>1</v>
      </c>
      <c r="O6" s="49">
        <f>IFERROR(__xludf.DUMMYFUNCTION("""COMPUTED_VALUE"""),4.0)</f>
        <v>4</v>
      </c>
      <c r="P6" s="50">
        <f>IFERROR(__xludf.DUMMYFUNCTION("""COMPUTED_VALUE"""),-3.0)</f>
        <v>-3</v>
      </c>
      <c r="Q6" s="51">
        <f>IFERROR(__xludf.DUMMYFUNCTION("""COMPUTED_VALUE"""),3.0)</f>
        <v>3</v>
      </c>
      <c r="R6" s="7"/>
      <c r="AF6" s="8"/>
      <c r="AG6" s="52"/>
      <c r="AH6" s="56"/>
      <c r="AI6" s="53"/>
      <c r="AJ6" s="53"/>
      <c r="AK6" s="57" t="str">
        <f>if(OR(AI5 = "", AJ5 = "", not(AI5 = AJ5)), "", "Penalties")</f>
        <v/>
      </c>
      <c r="AL6" s="6"/>
      <c r="AM6" s="43">
        <v>3.0</v>
      </c>
      <c r="AN6" s="58">
        <f>DATETIME(Support!$AJ$1, 7, 5, 17, 0)</f>
        <v>45478.70833</v>
      </c>
      <c r="AO6" s="59"/>
      <c r="AP6" s="59"/>
      <c r="AQ6" s="59"/>
      <c r="AR6" s="59"/>
      <c r="AS6" s="60"/>
      <c r="AT6" s="32">
        <v>0.0</v>
      </c>
      <c r="AU6" s="6"/>
      <c r="AV6" s="22"/>
      <c r="AW6" s="6"/>
      <c r="AX6" s="6"/>
      <c r="AY6" s="22"/>
      <c r="AZ6" s="6"/>
      <c r="BA6" s="34"/>
      <c r="BB6" s="6"/>
      <c r="BC6" s="22"/>
      <c r="BD6" s="6"/>
      <c r="BE6" s="6"/>
      <c r="BF6" s="34"/>
      <c r="BG6" s="34"/>
    </row>
    <row r="7" ht="15.0" customHeight="1">
      <c r="A7" s="14">
        <f>DATETIME(Support!$AJ$1, 6, 23, 20, 0)</f>
        <v>45466.83333</v>
      </c>
      <c r="B7" s="15" t="s">
        <v>6</v>
      </c>
      <c r="C7" s="16">
        <v>1.0</v>
      </c>
      <c r="D7" s="16">
        <v>0.0</v>
      </c>
      <c r="E7" s="17" t="s">
        <v>15</v>
      </c>
      <c r="F7" s="7" t="str">
        <f>DISPLAY_PENALTIES(2)</f>
        <v/>
      </c>
      <c r="G7" s="17"/>
      <c r="H7" s="61" t="str">
        <f>Support!AC16</f>
        <v/>
      </c>
      <c r="R7" s="4"/>
      <c r="AF7" s="8"/>
      <c r="AG7" s="6"/>
      <c r="AH7" s="22"/>
      <c r="AI7" s="22"/>
      <c r="AJ7" s="22"/>
      <c r="AK7" s="22"/>
      <c r="AL7" s="6"/>
      <c r="AM7" s="43">
        <v>4.0</v>
      </c>
      <c r="AN7" s="62" t="str">
        <f>KNOCKOUT(AO7, AN7)</f>
        <v>Spain</v>
      </c>
      <c r="AO7" s="63" t="str">
        <f>FLAG(AO7)</f>
        <v/>
      </c>
      <c r="AP7" s="40">
        <v>1.0</v>
      </c>
      <c r="AQ7" s="40">
        <v>0.0</v>
      </c>
      <c r="AR7" s="46" t="str">
        <f>FLAG(AR7)</f>
        <v/>
      </c>
      <c r="AS7" s="64" t="str">
        <f>KNOCKOUT(AT7, AS7)</f>
        <v>Scotland</v>
      </c>
      <c r="AT7" s="43">
        <v>1.0</v>
      </c>
      <c r="AU7" s="6"/>
      <c r="AV7" s="22"/>
      <c r="AW7" s="6"/>
      <c r="AX7" s="6"/>
      <c r="AY7" s="22"/>
      <c r="AZ7" s="6"/>
      <c r="BA7" s="34"/>
      <c r="BB7" s="6"/>
      <c r="BC7" s="22"/>
      <c r="BD7" s="6"/>
      <c r="BE7" s="6"/>
      <c r="BF7" s="34"/>
      <c r="BG7" s="34"/>
    </row>
    <row r="8" ht="15.0" customHeight="1">
      <c r="A8" s="65"/>
      <c r="B8" s="21"/>
      <c r="C8" s="66"/>
      <c r="D8" s="67"/>
      <c r="E8" s="68"/>
      <c r="F8" s="66"/>
      <c r="G8" s="66"/>
      <c r="R8" s="4"/>
      <c r="AF8" s="8"/>
      <c r="AG8" s="6"/>
      <c r="AH8" s="6"/>
      <c r="AI8" s="6"/>
      <c r="AJ8" s="6"/>
      <c r="AK8" s="6"/>
      <c r="AL8" s="6"/>
      <c r="AM8" s="43">
        <v>5.0</v>
      </c>
      <c r="AN8" s="69"/>
      <c r="AO8" s="22"/>
      <c r="AP8" s="7"/>
      <c r="AQ8" s="7"/>
      <c r="AR8" s="17" t="str">
        <f>IF(OR(AP7 = "", AQ7 = "", not(AP7 = AQ7)), "", "AET")</f>
        <v/>
      </c>
      <c r="AS8" s="33"/>
      <c r="AT8" s="43">
        <v>2.0</v>
      </c>
      <c r="AU8" s="6"/>
      <c r="AV8" s="22"/>
      <c r="AW8" s="6"/>
      <c r="AX8" s="6"/>
      <c r="AY8" s="22"/>
      <c r="AZ8" s="6"/>
      <c r="BA8" s="34"/>
      <c r="BB8" s="6"/>
      <c r="BC8" s="22"/>
      <c r="BD8" s="6"/>
      <c r="BE8" s="6"/>
      <c r="BF8" s="34"/>
      <c r="BG8" s="34"/>
    </row>
    <row r="9" ht="15.0" customHeight="1">
      <c r="A9" s="70"/>
      <c r="B9" s="70"/>
      <c r="C9" s="71"/>
      <c r="D9" s="71"/>
      <c r="E9" s="70"/>
      <c r="F9" s="70"/>
      <c r="G9" s="70"/>
      <c r="R9" s="4"/>
      <c r="AF9" s="8"/>
      <c r="AG9" s="29">
        <f>DATETIME(Support!$AJ$1, 6, 29, 20, 0)</f>
        <v>45472.83333</v>
      </c>
      <c r="AH9" s="30"/>
      <c r="AI9" s="30"/>
      <c r="AJ9" s="30"/>
      <c r="AK9" s="30"/>
      <c r="AL9" s="31"/>
      <c r="AM9" s="43">
        <v>6.0</v>
      </c>
      <c r="AN9" s="69"/>
      <c r="AO9" s="56"/>
      <c r="AP9" s="7"/>
      <c r="AQ9" s="7"/>
      <c r="AR9" s="17" t="str">
        <f>if(OR(AP8 = "", AQ8 = "", not(AP8 = AQ8)), "", "Penalties")</f>
        <v/>
      </c>
      <c r="AS9" s="33"/>
      <c r="AT9" s="43">
        <v>3.0</v>
      </c>
      <c r="AU9" s="6"/>
      <c r="AV9" s="22"/>
      <c r="AW9" s="6"/>
      <c r="AX9" s="6"/>
      <c r="AY9" s="22"/>
      <c r="AZ9" s="6"/>
      <c r="BA9" s="34"/>
      <c r="BB9" s="6"/>
      <c r="BC9" s="22"/>
      <c r="BD9" s="6"/>
      <c r="BE9" s="6"/>
      <c r="BF9" s="34"/>
      <c r="BG9" s="34"/>
    </row>
    <row r="10" ht="15.0" customHeight="1">
      <c r="A10" s="1" t="str">
        <f>"Group "&amp;char(code(right(A1)) + 1)</f>
        <v>Group B</v>
      </c>
      <c r="B10" s="2"/>
      <c r="C10" s="2"/>
      <c r="D10" s="2"/>
      <c r="E10" s="2"/>
      <c r="F10" s="2"/>
      <c r="G10" s="2"/>
      <c r="H10" s="2"/>
      <c r="I10" s="2"/>
      <c r="J10" s="2"/>
      <c r="K10" s="2"/>
      <c r="L10" s="2"/>
      <c r="M10" s="2"/>
      <c r="N10" s="2"/>
      <c r="O10" s="2"/>
      <c r="P10" s="2"/>
      <c r="Q10" s="3"/>
      <c r="R10" s="4"/>
      <c r="AF10" s="8"/>
      <c r="AG10" s="38" t="str">
        <f>GROUPQUAL(1, "A")</f>
        <v>Scotland</v>
      </c>
      <c r="AH10" s="39" t="str">
        <f>FLAG(AH10)</f>
        <v/>
      </c>
      <c r="AI10" s="40">
        <v>1.0</v>
      </c>
      <c r="AJ10" s="40">
        <v>0.0</v>
      </c>
      <c r="AK10" s="41" t="str">
        <f>FLAG(AK10)</f>
        <v/>
      </c>
      <c r="AL10" s="42" t="str">
        <f>GROUPQUAL(2, "C")</f>
        <v>Denmark</v>
      </c>
      <c r="AM10" s="72">
        <v>7.0</v>
      </c>
      <c r="AN10" s="21"/>
      <c r="AO10" s="22"/>
      <c r="AP10" s="6"/>
      <c r="AQ10" s="6"/>
      <c r="AR10" s="22"/>
      <c r="AS10" s="33"/>
      <c r="AT10" s="43">
        <v>4.0</v>
      </c>
      <c r="AU10" s="6"/>
      <c r="AV10" s="22"/>
      <c r="AW10" s="6"/>
      <c r="AX10" s="6"/>
      <c r="AY10" s="22"/>
      <c r="AZ10" s="6"/>
      <c r="BA10" s="34"/>
      <c r="BB10" s="6"/>
      <c r="BC10" s="22"/>
      <c r="BD10" s="6"/>
      <c r="BE10" s="6"/>
      <c r="BF10" s="34"/>
      <c r="BG10" s="34"/>
    </row>
    <row r="11" ht="15.0" customHeight="1">
      <c r="A11" s="14">
        <f>DATETIME(Support!$AJ$1, 6, 15, 17, 0)</f>
        <v>45458.70833</v>
      </c>
      <c r="B11" s="15" t="s">
        <v>17</v>
      </c>
      <c r="C11" s="16">
        <v>1.0</v>
      </c>
      <c r="D11" s="16">
        <v>0.0</v>
      </c>
      <c r="E11" s="17" t="s">
        <v>18</v>
      </c>
      <c r="F11" s="7"/>
      <c r="G11" s="17"/>
      <c r="H11" s="18" t="str">
        <f t="array" ref="H11:Q11">$H$2:$Q$2</f>
        <v>Team</v>
      </c>
      <c r="I11" s="3"/>
      <c r="J11" s="19" t="s">
        <v>7</v>
      </c>
      <c r="K11" s="20" t="s">
        <v>8</v>
      </c>
      <c r="L11" s="20" t="s">
        <v>9</v>
      </c>
      <c r="M11" s="20" t="s">
        <v>10</v>
      </c>
      <c r="N11" s="19" t="s">
        <v>11</v>
      </c>
      <c r="O11" s="19" t="s">
        <v>12</v>
      </c>
      <c r="P11" s="20" t="s">
        <v>13</v>
      </c>
      <c r="Q11" s="19" t="s">
        <v>14</v>
      </c>
      <c r="R11" s="4"/>
      <c r="AF11" s="8"/>
      <c r="AG11" s="52"/>
      <c r="AH11" s="22"/>
      <c r="AI11" s="7"/>
      <c r="AJ11" s="7"/>
      <c r="AK11" s="73" t="str">
        <f>IF(OR(AI10 = "", AJ10 = "", not(AI10 = AJ10)), "", "AET")</f>
        <v/>
      </c>
      <c r="AL11" s="6"/>
      <c r="AM11" s="6"/>
      <c r="AN11" s="21"/>
      <c r="AO11" s="22"/>
      <c r="AP11" s="6"/>
      <c r="AQ11" s="6"/>
      <c r="AR11" s="22"/>
      <c r="AS11" s="33"/>
      <c r="AT11" s="55">
        <v>5.0</v>
      </c>
      <c r="AU11" s="6"/>
      <c r="AV11" s="6"/>
      <c r="AW11" s="6"/>
      <c r="AX11" s="6"/>
      <c r="AY11" s="6"/>
      <c r="AZ11" s="6"/>
      <c r="BA11" s="34"/>
      <c r="BB11" s="73"/>
      <c r="BC11" s="67"/>
      <c r="BD11" s="6"/>
      <c r="BE11" s="6"/>
      <c r="BF11" s="34"/>
      <c r="BG11" s="73"/>
    </row>
    <row r="12" ht="15.0" customHeight="1">
      <c r="A12" s="14">
        <f>DATETIME(Support!$AJ$1, 6, 15, 20, 0)</f>
        <v>45458.83333</v>
      </c>
      <c r="B12" s="15" t="s">
        <v>19</v>
      </c>
      <c r="C12" s="16">
        <v>1.0</v>
      </c>
      <c r="D12" s="16">
        <v>0.0</v>
      </c>
      <c r="E12" s="17" t="s">
        <v>20</v>
      </c>
      <c r="F12" s="7"/>
      <c r="G12" s="17"/>
      <c r="H12" s="23" t="str">
        <f>IFERROR(__xludf.DUMMYFUNCTION("filter(indirect(""Final""&amp;right(A10)), {1,1,1,1,1,1,1,1,1,1,0,0,0,0,0,0,0,0,0,0,0})"),"")</f>
        <v/>
      </c>
      <c r="I12" s="24" t="str">
        <f>IFERROR(__xludf.DUMMYFUNCTION("""COMPUTED_VALUE"""),"Spain")</f>
        <v>Spain</v>
      </c>
      <c r="J12" s="35">
        <f>IFERROR(__xludf.DUMMYFUNCTION("""COMPUTED_VALUE"""),3.0)</f>
        <v>3</v>
      </c>
      <c r="K12" s="36">
        <f>IFERROR(__xludf.DUMMYFUNCTION("""COMPUTED_VALUE"""),2.0)</f>
        <v>2</v>
      </c>
      <c r="L12" s="36">
        <f>IFERROR(__xludf.DUMMYFUNCTION("""COMPUTED_VALUE"""),0.0)</f>
        <v>0</v>
      </c>
      <c r="M12" s="36">
        <f>IFERROR(__xludf.DUMMYFUNCTION("""COMPUTED_VALUE"""),1.0)</f>
        <v>1</v>
      </c>
      <c r="N12" s="36">
        <f>IFERROR(__xludf.DUMMYFUNCTION("""COMPUTED_VALUE"""),2.0)</f>
        <v>2</v>
      </c>
      <c r="O12" s="36">
        <f>IFERROR(__xludf.DUMMYFUNCTION("""COMPUTED_VALUE"""),1.0)</f>
        <v>1</v>
      </c>
      <c r="P12" s="74">
        <f>IFERROR(__xludf.DUMMYFUNCTION("""COMPUTED_VALUE"""),1.0)</f>
        <v>1</v>
      </c>
      <c r="Q12" s="37">
        <f>IFERROR(__xludf.DUMMYFUNCTION("""COMPUTED_VALUE"""),6.0)</f>
        <v>6</v>
      </c>
      <c r="R12" s="7"/>
      <c r="AF12" s="8"/>
      <c r="AG12" s="52"/>
      <c r="AH12" s="56"/>
      <c r="AI12" s="7"/>
      <c r="AJ12" s="7"/>
      <c r="AK12" s="73" t="str">
        <f>if(OR(AI11 = "", AJ11 = "", not(AI11 = AJ11)), "", "Penalties")</f>
        <v/>
      </c>
      <c r="AL12" s="6"/>
      <c r="AM12" s="6"/>
      <c r="AN12" s="21"/>
      <c r="AO12" s="22"/>
      <c r="AP12" s="6"/>
      <c r="AQ12" s="6"/>
      <c r="AR12" s="22"/>
      <c r="AS12" s="33"/>
      <c r="AT12" s="43">
        <v>6.0</v>
      </c>
      <c r="AU12" s="58">
        <f>DATETIME(Support!$AJ$1, 7, 9, 20, 0)</f>
        <v>45482.83333</v>
      </c>
      <c r="AV12" s="59"/>
      <c r="AW12" s="59"/>
      <c r="AX12" s="59"/>
      <c r="AY12" s="59"/>
      <c r="AZ12" s="60"/>
      <c r="BA12" s="32">
        <v>0.0</v>
      </c>
      <c r="BB12" s="6"/>
      <c r="BC12" s="22"/>
      <c r="BD12" s="6"/>
      <c r="BE12" s="6"/>
      <c r="BF12" s="34"/>
      <c r="BG12" s="34"/>
    </row>
    <row r="13" ht="15.0" customHeight="1">
      <c r="A13" s="14">
        <f>DATETIME(Support!$AJ$1, 6, 19, 14, 0)</f>
        <v>45462.58333</v>
      </c>
      <c r="B13" s="15" t="s">
        <v>18</v>
      </c>
      <c r="C13" s="16">
        <v>1.0</v>
      </c>
      <c r="D13" s="16">
        <v>0.0</v>
      </c>
      <c r="E13" s="17" t="s">
        <v>20</v>
      </c>
      <c r="F13" s="7"/>
      <c r="G13" s="17"/>
      <c r="H13" s="23" t="str">
        <f>IFERROR(__xludf.DUMMYFUNCTION("""COMPUTED_VALUE"""),"")</f>
        <v/>
      </c>
      <c r="I13" s="24" t="str">
        <f>IFERROR(__xludf.DUMMYFUNCTION("""COMPUTED_VALUE"""),"Croatia")</f>
        <v>Croatia</v>
      </c>
      <c r="J13" s="35">
        <f>IFERROR(__xludf.DUMMYFUNCTION("""COMPUTED_VALUE"""),3.0)</f>
        <v>3</v>
      </c>
      <c r="K13" s="36">
        <f>IFERROR(__xludf.DUMMYFUNCTION("""COMPUTED_VALUE"""),2.0)</f>
        <v>2</v>
      </c>
      <c r="L13" s="36">
        <f>IFERROR(__xludf.DUMMYFUNCTION("""COMPUTED_VALUE"""),0.0)</f>
        <v>0</v>
      </c>
      <c r="M13" s="36">
        <f>IFERROR(__xludf.DUMMYFUNCTION("""COMPUTED_VALUE"""),1.0)</f>
        <v>1</v>
      </c>
      <c r="N13" s="36">
        <f>IFERROR(__xludf.DUMMYFUNCTION("""COMPUTED_VALUE"""),2.0)</f>
        <v>2</v>
      </c>
      <c r="O13" s="36">
        <f>IFERROR(__xludf.DUMMYFUNCTION("""COMPUTED_VALUE"""),1.0)</f>
        <v>1</v>
      </c>
      <c r="P13" s="74">
        <f>IFERROR(__xludf.DUMMYFUNCTION("""COMPUTED_VALUE"""),1.0)</f>
        <v>1</v>
      </c>
      <c r="Q13" s="37">
        <f>IFERROR(__xludf.DUMMYFUNCTION("""COMPUTED_VALUE"""),6.0)</f>
        <v>6</v>
      </c>
      <c r="R13" s="7"/>
      <c r="S13" s="5"/>
      <c r="T13" s="6"/>
      <c r="U13" s="6"/>
      <c r="V13" s="21"/>
      <c r="W13" s="6"/>
      <c r="X13" s="6"/>
      <c r="Y13" s="6"/>
      <c r="Z13" s="6"/>
      <c r="AA13" s="6"/>
      <c r="AB13" s="6"/>
      <c r="AC13" s="6"/>
      <c r="AD13" s="6"/>
      <c r="AE13" s="22"/>
      <c r="AF13" s="8"/>
      <c r="AG13" s="6"/>
      <c r="AH13" s="22"/>
      <c r="AI13" s="22"/>
      <c r="AJ13" s="22"/>
      <c r="AK13" s="22"/>
      <c r="AL13" s="6"/>
      <c r="AM13" s="6"/>
      <c r="AN13" s="21"/>
      <c r="AO13" s="22"/>
      <c r="AP13" s="6"/>
      <c r="AQ13" s="6"/>
      <c r="AR13" s="22"/>
      <c r="AS13" s="33"/>
      <c r="AT13" s="43">
        <v>7.0</v>
      </c>
      <c r="AU13" s="62" t="str">
        <f>KNOCKOUT(AV13, AU13)</f>
        <v>Spain</v>
      </c>
      <c r="AV13" s="63" t="str">
        <f>FLAG(AV13)</f>
        <v/>
      </c>
      <c r="AW13" s="40">
        <v>1.0</v>
      </c>
      <c r="AX13" s="40">
        <v>0.0</v>
      </c>
      <c r="AY13" s="46" t="str">
        <f>FLAG(AY13)</f>
        <v/>
      </c>
      <c r="AZ13" s="75" t="str">
        <f>KNOCKOUT(BA13, AZ13)</f>
        <v>Türkiye</v>
      </c>
      <c r="BA13" s="43">
        <v>1.0</v>
      </c>
      <c r="BB13" s="6"/>
      <c r="BC13" s="22"/>
      <c r="BD13" s="6"/>
      <c r="BE13" s="6"/>
      <c r="BF13" s="6"/>
      <c r="BG13" s="6"/>
    </row>
    <row r="14" ht="15.0" customHeight="1">
      <c r="A14" s="14">
        <f>DATETIME(Support!$AJ$1, 6, 20, 20, 0)</f>
        <v>45463.83333</v>
      </c>
      <c r="B14" s="15" t="s">
        <v>17</v>
      </c>
      <c r="C14" s="16">
        <v>1.0</v>
      </c>
      <c r="D14" s="16">
        <v>0.0</v>
      </c>
      <c r="E14" s="17" t="s">
        <v>19</v>
      </c>
      <c r="F14" s="7"/>
      <c r="G14" s="17"/>
      <c r="H14" s="46" t="str">
        <f>IFERROR(__xludf.DUMMYFUNCTION("""COMPUTED_VALUE"""),"")</f>
        <v/>
      </c>
      <c r="I14" s="47" t="str">
        <f>IFERROR(__xludf.DUMMYFUNCTION("""COMPUTED_VALUE"""),"Italy")</f>
        <v>Italy</v>
      </c>
      <c r="J14" s="48">
        <f>IFERROR(__xludf.DUMMYFUNCTION("""COMPUTED_VALUE"""),3.0)</f>
        <v>3</v>
      </c>
      <c r="K14" s="49">
        <f>IFERROR(__xludf.DUMMYFUNCTION("""COMPUTED_VALUE"""),1.0)</f>
        <v>1</v>
      </c>
      <c r="L14" s="49">
        <f>IFERROR(__xludf.DUMMYFUNCTION("""COMPUTED_VALUE"""),0.0)</f>
        <v>0</v>
      </c>
      <c r="M14" s="49">
        <f>IFERROR(__xludf.DUMMYFUNCTION("""COMPUTED_VALUE"""),2.0)</f>
        <v>2</v>
      </c>
      <c r="N14" s="49">
        <f>IFERROR(__xludf.DUMMYFUNCTION("""COMPUTED_VALUE"""),1.0)</f>
        <v>1</v>
      </c>
      <c r="O14" s="49">
        <f>IFERROR(__xludf.DUMMYFUNCTION("""COMPUTED_VALUE"""),2.0)</f>
        <v>2</v>
      </c>
      <c r="P14" s="50">
        <f>IFERROR(__xludf.DUMMYFUNCTION("""COMPUTED_VALUE"""),-1.0)</f>
        <v>-1</v>
      </c>
      <c r="Q14" s="51">
        <f>IFERROR(__xludf.DUMMYFUNCTION("""COMPUTED_VALUE"""),3.0)</f>
        <v>3</v>
      </c>
      <c r="R14" s="7"/>
      <c r="S14" s="5"/>
      <c r="T14" s="76"/>
      <c r="U14" s="76"/>
      <c r="V14" s="76"/>
      <c r="W14" s="76"/>
      <c r="X14" s="76"/>
      <c r="Y14" s="76"/>
      <c r="Z14" s="76"/>
      <c r="AA14" s="76"/>
      <c r="AB14" s="76"/>
      <c r="AC14" s="76"/>
      <c r="AD14" s="76"/>
      <c r="AE14" s="6"/>
      <c r="AF14" s="8"/>
      <c r="AG14" s="6"/>
      <c r="AH14" s="6"/>
      <c r="AI14" s="6"/>
      <c r="AJ14" s="6"/>
      <c r="AK14" s="6"/>
      <c r="AL14" s="6"/>
      <c r="AM14" s="6"/>
      <c r="AN14" s="21"/>
      <c r="AO14" s="22"/>
      <c r="AP14" s="6"/>
      <c r="AQ14" s="6"/>
      <c r="AR14" s="22"/>
      <c r="AS14" s="33"/>
      <c r="AT14" s="43">
        <v>8.0</v>
      </c>
      <c r="AU14" s="52"/>
      <c r="AV14" s="22"/>
      <c r="AW14" s="7"/>
      <c r="AX14" s="7"/>
      <c r="AY14" s="73" t="str">
        <f>IF(OR(AW13 = "", AX13 = "", not(AW13 = AX13)), "", "AET")</f>
        <v/>
      </c>
      <c r="AZ14" s="6"/>
      <c r="BA14" s="43">
        <v>2.0</v>
      </c>
      <c r="BB14" s="6"/>
      <c r="BC14" s="22"/>
      <c r="BD14" s="22"/>
      <c r="BE14" s="22"/>
      <c r="BF14" s="22"/>
      <c r="BG14" s="6"/>
    </row>
    <row r="15" ht="15.0" customHeight="1">
      <c r="A15" s="14">
        <f>DATETIME(Support!$AJ$1, 6, 24, 20, 0)</f>
        <v>45467.83333</v>
      </c>
      <c r="B15" s="15" t="s">
        <v>20</v>
      </c>
      <c r="C15" s="16">
        <v>1.0</v>
      </c>
      <c r="D15" s="16">
        <v>0.0</v>
      </c>
      <c r="E15" s="17" t="s">
        <v>17</v>
      </c>
      <c r="F15" s="7" t="str">
        <f>DISPLAY_PENALTIES(1)</f>
        <v/>
      </c>
      <c r="G15" s="17"/>
      <c r="H15" s="46" t="str">
        <f>IFERROR(__xludf.DUMMYFUNCTION("""COMPUTED_VALUE"""),"")</f>
        <v/>
      </c>
      <c r="I15" s="47" t="str">
        <f>IFERROR(__xludf.DUMMYFUNCTION("""COMPUTED_VALUE"""),"Albania")</f>
        <v>Albania</v>
      </c>
      <c r="J15" s="48">
        <f>IFERROR(__xludf.DUMMYFUNCTION("""COMPUTED_VALUE"""),3.0)</f>
        <v>3</v>
      </c>
      <c r="K15" s="49">
        <f>IFERROR(__xludf.DUMMYFUNCTION("""COMPUTED_VALUE"""),1.0)</f>
        <v>1</v>
      </c>
      <c r="L15" s="49">
        <f>IFERROR(__xludf.DUMMYFUNCTION("""COMPUTED_VALUE"""),0.0)</f>
        <v>0</v>
      </c>
      <c r="M15" s="49">
        <f>IFERROR(__xludf.DUMMYFUNCTION("""COMPUTED_VALUE"""),2.0)</f>
        <v>2</v>
      </c>
      <c r="N15" s="49">
        <f>IFERROR(__xludf.DUMMYFUNCTION("""COMPUTED_VALUE"""),1.0)</f>
        <v>1</v>
      </c>
      <c r="O15" s="49">
        <f>IFERROR(__xludf.DUMMYFUNCTION("""COMPUTED_VALUE"""),2.0)</f>
        <v>2</v>
      </c>
      <c r="P15" s="50">
        <f>IFERROR(__xludf.DUMMYFUNCTION("""COMPUTED_VALUE"""),-1.0)</f>
        <v>-1</v>
      </c>
      <c r="Q15" s="51">
        <f>IFERROR(__xludf.DUMMYFUNCTION("""COMPUTED_VALUE"""),3.0)</f>
        <v>3</v>
      </c>
      <c r="R15" s="7"/>
      <c r="S15" s="5"/>
      <c r="T15" s="76"/>
      <c r="U15" s="76"/>
      <c r="V15" s="76"/>
      <c r="W15" s="76"/>
      <c r="X15" s="76"/>
      <c r="Y15" s="76"/>
      <c r="Z15" s="76"/>
      <c r="AA15" s="76"/>
      <c r="AB15" s="76"/>
      <c r="AC15" s="76"/>
      <c r="AD15" s="76"/>
      <c r="AE15" s="66"/>
      <c r="AF15" s="8"/>
      <c r="AG15" s="77">
        <f>DATETIME(Support!$AJ$1, 7, 1, 20, 0)</f>
        <v>45474.83333</v>
      </c>
      <c r="AH15" s="59"/>
      <c r="AI15" s="59"/>
      <c r="AJ15" s="59"/>
      <c r="AK15" s="59"/>
      <c r="AL15" s="60"/>
      <c r="AM15" s="32">
        <v>0.0</v>
      </c>
      <c r="AN15" s="21"/>
      <c r="AO15" s="22"/>
      <c r="AP15" s="6"/>
      <c r="AQ15" s="6"/>
      <c r="AR15" s="22"/>
      <c r="AS15" s="33"/>
      <c r="AT15" s="43">
        <v>9.0</v>
      </c>
      <c r="AU15" s="52"/>
      <c r="AV15" s="56"/>
      <c r="AW15" s="7"/>
      <c r="AX15" s="7"/>
      <c r="AY15" s="73" t="str">
        <f>if(OR(AW14 = "", AX14 = "", not(AW14 = AX14)), "", "Penalties")</f>
        <v/>
      </c>
      <c r="AZ15" s="6"/>
      <c r="BA15" s="43">
        <v>3.0</v>
      </c>
      <c r="BB15" s="6"/>
      <c r="BC15" s="22"/>
      <c r="BD15" s="22"/>
      <c r="BE15" s="22"/>
      <c r="BF15" s="22"/>
      <c r="BG15" s="6"/>
    </row>
    <row r="16" ht="15.0" customHeight="1">
      <c r="A16" s="14">
        <f>DATETIME(Support!$AJ$1, 6, 24, 20, 0)</f>
        <v>45467.83333</v>
      </c>
      <c r="B16" s="15" t="s">
        <v>18</v>
      </c>
      <c r="C16" s="16">
        <v>1.0</v>
      </c>
      <c r="D16" s="16">
        <v>0.0</v>
      </c>
      <c r="E16" s="17" t="s">
        <v>19</v>
      </c>
      <c r="F16" s="7" t="str">
        <f>DISPLAY_PENALTIES(2)</f>
        <v/>
      </c>
      <c r="G16" s="17"/>
      <c r="H16" s="61" t="str">
        <f>Support!AC41</f>
        <v/>
      </c>
      <c r="R16" s="4"/>
      <c r="S16" s="5"/>
      <c r="T16" s="76"/>
      <c r="U16" s="76"/>
      <c r="V16" s="76"/>
      <c r="W16" s="76"/>
      <c r="X16" s="76"/>
      <c r="Y16" s="76"/>
      <c r="Z16" s="76"/>
      <c r="AA16" s="76"/>
      <c r="AB16" s="76"/>
      <c r="AC16" s="76"/>
      <c r="AD16" s="76"/>
      <c r="AE16" s="22"/>
      <c r="AF16" s="8"/>
      <c r="AG16" s="78" t="str">
        <f>GROUPQUAL(1, "F")</f>
        <v>Türkiye</v>
      </c>
      <c r="AH16" s="63" t="str">
        <f>FLAG(AH16)</f>
        <v/>
      </c>
      <c r="AI16" s="40">
        <v>1.0</v>
      </c>
      <c r="AJ16" s="40">
        <v>0.0</v>
      </c>
      <c r="AK16" s="46" t="str">
        <f>FLAG(AK16)</f>
        <v/>
      </c>
      <c r="AL16" s="75" t="str">
        <f>THIRD_PLACE(AG16)</f>
        <v>Switzerland</v>
      </c>
      <c r="AM16" s="43">
        <v>1.0</v>
      </c>
      <c r="AN16" s="21"/>
      <c r="AO16" s="22"/>
      <c r="AP16" s="6"/>
      <c r="AQ16" s="6"/>
      <c r="AR16" s="22"/>
      <c r="AS16" s="33"/>
      <c r="AT16" s="43">
        <v>10.0</v>
      </c>
      <c r="AU16" s="6"/>
      <c r="AV16" s="22"/>
      <c r="AW16" s="6"/>
      <c r="AX16" s="6"/>
      <c r="AY16" s="22"/>
      <c r="AZ16" s="6"/>
      <c r="BA16" s="43">
        <v>4.0</v>
      </c>
      <c r="BB16" s="6"/>
      <c r="BC16" s="22"/>
      <c r="BG16" s="6"/>
    </row>
    <row r="17" ht="15.0" customHeight="1">
      <c r="A17" s="65"/>
      <c r="B17" s="79"/>
      <c r="C17" s="66"/>
      <c r="D17" s="67"/>
      <c r="E17" s="68"/>
      <c r="F17" s="66"/>
      <c r="G17" s="66"/>
      <c r="R17" s="4"/>
      <c r="S17" s="5"/>
      <c r="T17" s="76"/>
      <c r="U17" s="76"/>
      <c r="V17" s="76"/>
      <c r="W17" s="76"/>
      <c r="X17" s="76"/>
      <c r="Y17" s="76"/>
      <c r="Z17" s="76"/>
      <c r="AA17" s="76"/>
      <c r="AB17" s="76"/>
      <c r="AC17" s="76"/>
      <c r="AD17" s="76"/>
      <c r="AE17" s="22"/>
      <c r="AF17" s="8"/>
      <c r="AG17" s="21"/>
      <c r="AH17" s="22"/>
      <c r="AI17" s="7"/>
      <c r="AJ17" s="7"/>
      <c r="AK17" s="73" t="str">
        <f>IF(OR(AI16 = "", AJ16 = "", not(AI16 = AJ16)), "", "AET")</f>
        <v/>
      </c>
      <c r="AL17" s="6"/>
      <c r="AM17" s="55">
        <v>2.0</v>
      </c>
      <c r="AN17" s="6"/>
      <c r="AO17" s="6"/>
      <c r="AP17" s="6"/>
      <c r="AQ17" s="6"/>
      <c r="AR17" s="6"/>
      <c r="AS17" s="6"/>
      <c r="AT17" s="43">
        <v>11.0</v>
      </c>
      <c r="AU17" s="6"/>
      <c r="AV17" s="22"/>
      <c r="AW17" s="6"/>
      <c r="AX17" s="6"/>
      <c r="AY17" s="22"/>
      <c r="AZ17" s="6"/>
      <c r="BA17" s="43">
        <v>5.0</v>
      </c>
      <c r="BB17" s="6"/>
      <c r="BG17" s="6"/>
    </row>
    <row r="18" ht="15.0" customHeight="1">
      <c r="A18" s="70"/>
      <c r="B18" s="70"/>
      <c r="C18" s="71"/>
      <c r="D18" s="71"/>
      <c r="E18" s="70"/>
      <c r="F18" s="70"/>
      <c r="G18" s="70"/>
      <c r="R18" s="4"/>
      <c r="S18" s="5"/>
      <c r="T18" s="76"/>
      <c r="U18" s="76"/>
      <c r="V18" s="76"/>
      <c r="W18" s="76"/>
      <c r="X18" s="76"/>
      <c r="Y18" s="76"/>
      <c r="Z18" s="76"/>
      <c r="AA18" s="76"/>
      <c r="AB18" s="76"/>
      <c r="AC18" s="76"/>
      <c r="AD18" s="76"/>
      <c r="AE18" s="22"/>
      <c r="AF18" s="8"/>
      <c r="AG18" s="52"/>
      <c r="AH18" s="56"/>
      <c r="AI18" s="7"/>
      <c r="AJ18" s="7"/>
      <c r="AK18" s="73" t="str">
        <f>if(OR(AI17 = "", AJ17 = "", not(AI17 = AJ17)), "", "Penalties")</f>
        <v/>
      </c>
      <c r="AL18" s="6"/>
      <c r="AM18" s="43">
        <v>3.0</v>
      </c>
      <c r="AN18" s="58">
        <f>DATETIME(Support!$AJ$1, 7, 5, 20, 0)</f>
        <v>45478.83333</v>
      </c>
      <c r="AO18" s="59"/>
      <c r="AP18" s="59"/>
      <c r="AQ18" s="59"/>
      <c r="AR18" s="59"/>
      <c r="AS18" s="60"/>
      <c r="AT18" s="43">
        <v>12.0</v>
      </c>
      <c r="AU18" s="6"/>
      <c r="AV18" s="22"/>
      <c r="AW18" s="6"/>
      <c r="AX18" s="6"/>
      <c r="AY18" s="22"/>
      <c r="AZ18" s="6"/>
      <c r="BA18" s="43">
        <v>6.0</v>
      </c>
      <c r="BB18" s="6"/>
      <c r="BG18" s="6"/>
    </row>
    <row r="19" ht="15.0" customHeight="1">
      <c r="A19" s="1" t="str">
        <f>"Group "&amp;char(code(right(A10)) + 1)</f>
        <v>Group C</v>
      </c>
      <c r="B19" s="2"/>
      <c r="C19" s="2"/>
      <c r="D19" s="2"/>
      <c r="E19" s="2"/>
      <c r="F19" s="2"/>
      <c r="G19" s="2"/>
      <c r="H19" s="2"/>
      <c r="I19" s="2"/>
      <c r="J19" s="2"/>
      <c r="K19" s="2"/>
      <c r="L19" s="2"/>
      <c r="M19" s="2"/>
      <c r="N19" s="2"/>
      <c r="O19" s="2"/>
      <c r="P19" s="2"/>
      <c r="Q19" s="3"/>
      <c r="R19" s="4"/>
      <c r="S19" s="5"/>
      <c r="T19" s="76"/>
      <c r="U19" s="76"/>
      <c r="V19" s="76"/>
      <c r="W19" s="76"/>
      <c r="X19" s="76"/>
      <c r="Y19" s="76"/>
      <c r="Z19" s="76"/>
      <c r="AA19" s="76"/>
      <c r="AB19" s="76"/>
      <c r="AC19" s="76"/>
      <c r="AD19" s="76"/>
      <c r="AE19" s="22"/>
      <c r="AF19" s="8"/>
      <c r="AG19" s="6"/>
      <c r="AH19" s="22"/>
      <c r="AI19" s="22"/>
      <c r="AJ19" s="22"/>
      <c r="AK19" s="22"/>
      <c r="AL19" s="6"/>
      <c r="AM19" s="43">
        <v>4.0</v>
      </c>
      <c r="AN19" s="62" t="str">
        <f>KNOCKOUT(AO19, AN19)</f>
        <v>Türkiye</v>
      </c>
      <c r="AO19" s="63" t="str">
        <f>FLAG(AO19)</f>
        <v/>
      </c>
      <c r="AP19" s="40">
        <v>1.0</v>
      </c>
      <c r="AQ19" s="40">
        <v>0.0</v>
      </c>
      <c r="AR19" s="46" t="str">
        <f>FLAG(AR19)</f>
        <v/>
      </c>
      <c r="AS19" s="64" t="str">
        <f>KNOCKOUT(AT19, AS19)</f>
        <v>Netherlands</v>
      </c>
      <c r="AT19" s="72">
        <v>13.0</v>
      </c>
      <c r="AU19" s="6"/>
      <c r="AV19" s="22"/>
      <c r="AW19" s="6"/>
      <c r="AX19" s="6"/>
      <c r="AY19" s="22"/>
      <c r="AZ19" s="6"/>
      <c r="BA19" s="43">
        <v>7.0</v>
      </c>
      <c r="BB19" s="6"/>
      <c r="BG19" s="6"/>
    </row>
    <row r="20" ht="15.0" customHeight="1">
      <c r="A20" s="14">
        <f>DATETIME(Support!$AJ$1, 6, 16, 17, 0)</f>
        <v>45459.70833</v>
      </c>
      <c r="B20" s="15" t="s">
        <v>21</v>
      </c>
      <c r="C20" s="16">
        <v>1.0</v>
      </c>
      <c r="D20" s="16">
        <v>0.0</v>
      </c>
      <c r="E20" s="17" t="s">
        <v>22</v>
      </c>
      <c r="F20" s="7"/>
      <c r="G20" s="17"/>
      <c r="H20" s="18" t="str">
        <f t="array" ref="H20:Q20">$H$2:$Q$2</f>
        <v>Team</v>
      </c>
      <c r="I20" s="3"/>
      <c r="J20" s="19" t="s">
        <v>7</v>
      </c>
      <c r="K20" s="20" t="s">
        <v>8</v>
      </c>
      <c r="L20" s="20" t="s">
        <v>9</v>
      </c>
      <c r="M20" s="20" t="s">
        <v>10</v>
      </c>
      <c r="N20" s="19" t="s">
        <v>11</v>
      </c>
      <c r="O20" s="19" t="s">
        <v>12</v>
      </c>
      <c r="P20" s="20" t="s">
        <v>13</v>
      </c>
      <c r="Q20" s="19" t="s">
        <v>14</v>
      </c>
      <c r="R20" s="4"/>
      <c r="S20" s="5"/>
      <c r="T20" s="76"/>
      <c r="U20" s="76"/>
      <c r="V20" s="76"/>
      <c r="W20" s="76"/>
      <c r="X20" s="76"/>
      <c r="Y20" s="76"/>
      <c r="Z20" s="76"/>
      <c r="AA20" s="76"/>
      <c r="AB20" s="76"/>
      <c r="AC20" s="76"/>
      <c r="AD20" s="76"/>
      <c r="AE20" s="22"/>
      <c r="AF20" s="8"/>
      <c r="AG20" s="6"/>
      <c r="AH20" s="6"/>
      <c r="AI20" s="6"/>
      <c r="AJ20" s="6"/>
      <c r="AK20" s="6"/>
      <c r="AL20" s="6"/>
      <c r="AM20" s="43">
        <v>5.0</v>
      </c>
      <c r="AN20" s="69"/>
      <c r="AO20" s="22"/>
      <c r="AP20" s="7"/>
      <c r="AQ20" s="7"/>
      <c r="AR20" s="17" t="str">
        <f>IF(OR(AP19 = "", AQ19 = "", not(AP19 = AQ19)), "", "AET")</f>
        <v/>
      </c>
      <c r="AS20" s="33"/>
      <c r="AT20" s="6"/>
      <c r="AU20" s="6"/>
      <c r="AV20" s="22"/>
      <c r="AW20" s="6"/>
      <c r="AX20" s="6"/>
      <c r="AY20" s="22"/>
      <c r="AZ20" s="6"/>
      <c r="BA20" s="43">
        <v>8.0</v>
      </c>
      <c r="BB20" s="6"/>
      <c r="BG20" s="6"/>
    </row>
    <row r="21" ht="15.0" customHeight="1">
      <c r="A21" s="14">
        <f>DATETIME(Support!$AJ$1, 6, 16, 20, 0)</f>
        <v>45459.83333</v>
      </c>
      <c r="B21" s="15" t="s">
        <v>23</v>
      </c>
      <c r="C21" s="16">
        <v>1.0</v>
      </c>
      <c r="D21" s="16">
        <v>0.0</v>
      </c>
      <c r="E21" s="17" t="s">
        <v>24</v>
      </c>
      <c r="F21" s="7"/>
      <c r="G21" s="17"/>
      <c r="H21" s="23" t="str">
        <f>IFERROR(__xludf.DUMMYFUNCTION("filter(indirect(""Final""&amp;right(A19)), {1,1,1,1,1,1,1,1,1,1,0,0,0,0,0,0,0,0,0,0,0})"),"")</f>
        <v/>
      </c>
      <c r="I21" s="24" t="str">
        <f>IFERROR(__xludf.DUMMYFUNCTION("""COMPUTED_VALUE"""),"Slovenia")</f>
        <v>Slovenia</v>
      </c>
      <c r="J21" s="35">
        <f>IFERROR(__xludf.DUMMYFUNCTION("""COMPUTED_VALUE"""),3.0)</f>
        <v>3</v>
      </c>
      <c r="K21" s="36">
        <f>IFERROR(__xludf.DUMMYFUNCTION("""COMPUTED_VALUE"""),2.0)</f>
        <v>2</v>
      </c>
      <c r="L21" s="36">
        <f>IFERROR(__xludf.DUMMYFUNCTION("""COMPUTED_VALUE"""),0.0)</f>
        <v>0</v>
      </c>
      <c r="M21" s="36">
        <f>IFERROR(__xludf.DUMMYFUNCTION("""COMPUTED_VALUE"""),1.0)</f>
        <v>1</v>
      </c>
      <c r="N21" s="36">
        <f>IFERROR(__xludf.DUMMYFUNCTION("""COMPUTED_VALUE"""),2.0)</f>
        <v>2</v>
      </c>
      <c r="O21" s="36">
        <f>IFERROR(__xludf.DUMMYFUNCTION("""COMPUTED_VALUE"""),1.0)</f>
        <v>1</v>
      </c>
      <c r="P21" s="74">
        <f>IFERROR(__xludf.DUMMYFUNCTION("""COMPUTED_VALUE"""),1.0)</f>
        <v>1</v>
      </c>
      <c r="Q21" s="37">
        <f>IFERROR(__xludf.DUMMYFUNCTION("""COMPUTED_VALUE"""),6.0)</f>
        <v>6</v>
      </c>
      <c r="R21" s="7"/>
      <c r="S21" s="5"/>
      <c r="T21" s="76"/>
      <c r="U21" s="76"/>
      <c r="V21" s="76"/>
      <c r="W21" s="76"/>
      <c r="X21" s="76"/>
      <c r="Y21" s="76"/>
      <c r="Z21" s="76"/>
      <c r="AA21" s="76"/>
      <c r="AB21" s="76"/>
      <c r="AC21" s="76"/>
      <c r="AD21" s="76"/>
      <c r="AE21" s="6"/>
      <c r="AF21" s="8"/>
      <c r="AG21" s="77">
        <f>DATETIME(Support!$AJ$1, 7, 1, 17, 0)</f>
        <v>45474.70833</v>
      </c>
      <c r="AH21" s="59"/>
      <c r="AI21" s="59"/>
      <c r="AJ21" s="59"/>
      <c r="AK21" s="59"/>
      <c r="AL21" s="60"/>
      <c r="AM21" s="43">
        <v>6.0</v>
      </c>
      <c r="AN21" s="69"/>
      <c r="AO21" s="56"/>
      <c r="AP21" s="7"/>
      <c r="AQ21" s="7"/>
      <c r="AR21" s="17" t="str">
        <f>if(OR(AP20 = "", AQ20 = "", not(AP20 = AQ20)), "", "Penalties")</f>
        <v/>
      </c>
      <c r="AS21" s="33"/>
      <c r="AT21" s="6"/>
      <c r="AU21" s="6"/>
      <c r="AV21" s="22"/>
      <c r="AW21" s="6"/>
      <c r="AX21" s="6"/>
      <c r="AY21" s="22"/>
      <c r="AZ21" s="6"/>
      <c r="BA21" s="43">
        <v>9.0</v>
      </c>
      <c r="BB21" s="6"/>
      <c r="BG21" s="6"/>
    </row>
    <row r="22" ht="15.0" customHeight="1">
      <c r="A22" s="14">
        <f>DATETIME(Support!$AJ$1, 6, 20, 14, 0)</f>
        <v>45463.58333</v>
      </c>
      <c r="B22" s="15" t="s">
        <v>21</v>
      </c>
      <c r="C22" s="16">
        <v>1.0</v>
      </c>
      <c r="D22" s="16">
        <v>0.0</v>
      </c>
      <c r="E22" s="17" t="s">
        <v>23</v>
      </c>
      <c r="F22" s="7"/>
      <c r="G22" s="17"/>
      <c r="H22" s="23" t="str">
        <f>IFERROR(__xludf.DUMMYFUNCTION("""COMPUTED_VALUE"""),"")</f>
        <v/>
      </c>
      <c r="I22" s="24" t="str">
        <f>IFERROR(__xludf.DUMMYFUNCTION("""COMPUTED_VALUE"""),"Denmark")</f>
        <v>Denmark</v>
      </c>
      <c r="J22" s="35">
        <f>IFERROR(__xludf.DUMMYFUNCTION("""COMPUTED_VALUE"""),3.0)</f>
        <v>3</v>
      </c>
      <c r="K22" s="36">
        <f>IFERROR(__xludf.DUMMYFUNCTION("""COMPUTED_VALUE"""),2.0)</f>
        <v>2</v>
      </c>
      <c r="L22" s="36">
        <f>IFERROR(__xludf.DUMMYFUNCTION("""COMPUTED_VALUE"""),0.0)</f>
        <v>0</v>
      </c>
      <c r="M22" s="36">
        <f>IFERROR(__xludf.DUMMYFUNCTION("""COMPUTED_VALUE"""),1.0)</f>
        <v>1</v>
      </c>
      <c r="N22" s="36">
        <f>IFERROR(__xludf.DUMMYFUNCTION("""COMPUTED_VALUE"""),2.0)</f>
        <v>2</v>
      </c>
      <c r="O22" s="36">
        <f>IFERROR(__xludf.DUMMYFUNCTION("""COMPUTED_VALUE"""),1.0)</f>
        <v>1</v>
      </c>
      <c r="P22" s="74">
        <f>IFERROR(__xludf.DUMMYFUNCTION("""COMPUTED_VALUE"""),1.0)</f>
        <v>1</v>
      </c>
      <c r="Q22" s="37">
        <f>IFERROR(__xludf.DUMMYFUNCTION("""COMPUTED_VALUE"""),6.0)</f>
        <v>6</v>
      </c>
      <c r="R22" s="7"/>
      <c r="S22" s="5"/>
      <c r="T22" s="76"/>
      <c r="U22" s="76"/>
      <c r="V22" s="76"/>
      <c r="W22" s="76"/>
      <c r="X22" s="76"/>
      <c r="Y22" s="76"/>
      <c r="Z22" s="76"/>
      <c r="AA22" s="76"/>
      <c r="AB22" s="76"/>
      <c r="AC22" s="76"/>
      <c r="AD22" s="76"/>
      <c r="AE22" s="6"/>
      <c r="AF22" s="8"/>
      <c r="AG22" s="78" t="str">
        <f>GROUPQUAL(2, "D")</f>
        <v>Netherlands</v>
      </c>
      <c r="AH22" s="63" t="str">
        <f>FLAG(AH22)</f>
        <v/>
      </c>
      <c r="AI22" s="40">
        <v>1.0</v>
      </c>
      <c r="AJ22" s="40">
        <v>0.0</v>
      </c>
      <c r="AK22" s="46" t="str">
        <f>FLAG(AK22)</f>
        <v/>
      </c>
      <c r="AL22" s="75" t="str">
        <f>GROUPQUAL(2, "E")</f>
        <v>Slovakia</v>
      </c>
      <c r="AM22" s="72">
        <v>7.0</v>
      </c>
      <c r="AN22" s="21"/>
      <c r="AO22" s="22"/>
      <c r="AP22" s="6"/>
      <c r="AQ22" s="6"/>
      <c r="AR22" s="22"/>
      <c r="AS22" s="33"/>
      <c r="AT22" s="6"/>
      <c r="AU22" s="6"/>
      <c r="AV22" s="22"/>
      <c r="AW22" s="6"/>
      <c r="AX22" s="6"/>
      <c r="AY22" s="22"/>
      <c r="AZ22" s="6"/>
      <c r="BA22" s="43">
        <v>10.0</v>
      </c>
      <c r="BB22" s="6"/>
      <c r="BG22" s="6"/>
    </row>
    <row r="23" ht="15.0" customHeight="1">
      <c r="A23" s="14">
        <f>DATETIME(Support!$AJ$1, 6, 20, 17, 0)</f>
        <v>45463.70833</v>
      </c>
      <c r="B23" s="15" t="s">
        <v>22</v>
      </c>
      <c r="C23" s="16">
        <v>1.0</v>
      </c>
      <c r="D23" s="16">
        <v>0.0</v>
      </c>
      <c r="E23" s="17" t="s">
        <v>24</v>
      </c>
      <c r="F23" s="7"/>
      <c r="G23" s="17"/>
      <c r="H23" s="46" t="str">
        <f>IFERROR(__xludf.DUMMYFUNCTION("""COMPUTED_VALUE"""),"")</f>
        <v/>
      </c>
      <c r="I23" s="47" t="str">
        <f>IFERROR(__xludf.DUMMYFUNCTION("""COMPUTED_VALUE"""),"Serbia")</f>
        <v>Serbia</v>
      </c>
      <c r="J23" s="48">
        <f>IFERROR(__xludf.DUMMYFUNCTION("""COMPUTED_VALUE"""),3.0)</f>
        <v>3</v>
      </c>
      <c r="K23" s="49">
        <f>IFERROR(__xludf.DUMMYFUNCTION("""COMPUTED_VALUE"""),1.0)</f>
        <v>1</v>
      </c>
      <c r="L23" s="49">
        <f>IFERROR(__xludf.DUMMYFUNCTION("""COMPUTED_VALUE"""),0.0)</f>
        <v>0</v>
      </c>
      <c r="M23" s="49">
        <f>IFERROR(__xludf.DUMMYFUNCTION("""COMPUTED_VALUE"""),2.0)</f>
        <v>2</v>
      </c>
      <c r="N23" s="49">
        <f>IFERROR(__xludf.DUMMYFUNCTION("""COMPUTED_VALUE"""),1.0)</f>
        <v>1</v>
      </c>
      <c r="O23" s="49">
        <f>IFERROR(__xludf.DUMMYFUNCTION("""COMPUTED_VALUE"""),2.0)</f>
        <v>2</v>
      </c>
      <c r="P23" s="50">
        <f>IFERROR(__xludf.DUMMYFUNCTION("""COMPUTED_VALUE"""),-1.0)</f>
        <v>-1</v>
      </c>
      <c r="Q23" s="51">
        <f>IFERROR(__xludf.DUMMYFUNCTION("""COMPUTED_VALUE"""),3.0)</f>
        <v>3</v>
      </c>
      <c r="R23" s="7"/>
      <c r="S23" s="5"/>
      <c r="T23" s="76"/>
      <c r="U23" s="76"/>
      <c r="V23" s="76"/>
      <c r="W23" s="76"/>
      <c r="X23" s="76"/>
      <c r="Y23" s="76"/>
      <c r="Z23" s="76"/>
      <c r="AA23" s="76"/>
      <c r="AB23" s="76"/>
      <c r="AC23" s="76"/>
      <c r="AD23" s="76"/>
      <c r="AE23" s="6"/>
      <c r="AF23" s="8"/>
      <c r="AG23" s="52"/>
      <c r="AH23" s="22"/>
      <c r="AI23" s="7"/>
      <c r="AJ23" s="7"/>
      <c r="AK23" s="73" t="str">
        <f>IF(OR(AI22 = "", AJ22 = "", not(AI22 = AJ22)), "", "AET")</f>
        <v/>
      </c>
      <c r="AL23" s="6"/>
      <c r="AM23" s="6"/>
      <c r="AN23" s="21"/>
      <c r="AO23" s="22"/>
      <c r="AP23" s="6"/>
      <c r="AQ23" s="6"/>
      <c r="AR23" s="22"/>
      <c r="AS23" s="33"/>
      <c r="AT23" s="6"/>
      <c r="AU23" s="6"/>
      <c r="AV23" s="22"/>
      <c r="AW23" s="6"/>
      <c r="AX23" s="6"/>
      <c r="AY23" s="22"/>
      <c r="AZ23" s="6"/>
      <c r="BA23" s="43">
        <v>11.0</v>
      </c>
      <c r="BB23" s="6"/>
      <c r="BC23" s="6"/>
      <c r="BD23" s="6"/>
      <c r="BE23" s="6"/>
      <c r="BF23" s="6"/>
      <c r="BG23" s="6"/>
    </row>
    <row r="24" ht="15.0" customHeight="1">
      <c r="A24" s="14">
        <f>DATETIME(Support!$AJ$1, 6, 25, 20, 0)</f>
        <v>45468.83333</v>
      </c>
      <c r="B24" s="15" t="s">
        <v>24</v>
      </c>
      <c r="C24" s="16">
        <v>1.0</v>
      </c>
      <c r="D24" s="16">
        <v>0.0</v>
      </c>
      <c r="E24" s="17" t="s">
        <v>21</v>
      </c>
      <c r="F24" s="7" t="str">
        <f>DISPLAY_PENALTIES(1)</f>
        <v/>
      </c>
      <c r="G24" s="17"/>
      <c r="H24" s="46" t="str">
        <f>IFERROR(__xludf.DUMMYFUNCTION("""COMPUTED_VALUE"""),"")</f>
        <v/>
      </c>
      <c r="I24" s="47" t="str">
        <f>IFERROR(__xludf.DUMMYFUNCTION("""COMPUTED_VALUE"""),"England")</f>
        <v>England</v>
      </c>
      <c r="J24" s="48">
        <f>IFERROR(__xludf.DUMMYFUNCTION("""COMPUTED_VALUE"""),3.0)</f>
        <v>3</v>
      </c>
      <c r="K24" s="49">
        <f>IFERROR(__xludf.DUMMYFUNCTION("""COMPUTED_VALUE"""),1.0)</f>
        <v>1</v>
      </c>
      <c r="L24" s="49">
        <f>IFERROR(__xludf.DUMMYFUNCTION("""COMPUTED_VALUE"""),0.0)</f>
        <v>0</v>
      </c>
      <c r="M24" s="49">
        <f>IFERROR(__xludf.DUMMYFUNCTION("""COMPUTED_VALUE"""),2.0)</f>
        <v>2</v>
      </c>
      <c r="N24" s="49">
        <f>IFERROR(__xludf.DUMMYFUNCTION("""COMPUTED_VALUE"""),1.0)</f>
        <v>1</v>
      </c>
      <c r="O24" s="49">
        <f>IFERROR(__xludf.DUMMYFUNCTION("""COMPUTED_VALUE"""),2.0)</f>
        <v>2</v>
      </c>
      <c r="P24" s="50">
        <f>IFERROR(__xludf.DUMMYFUNCTION("""COMPUTED_VALUE"""),-1.0)</f>
        <v>-1</v>
      </c>
      <c r="Q24" s="51">
        <f>IFERROR(__xludf.DUMMYFUNCTION("""COMPUTED_VALUE"""),3.0)</f>
        <v>3</v>
      </c>
      <c r="R24" s="7"/>
      <c r="S24" s="5"/>
      <c r="T24" s="76"/>
      <c r="U24" s="76"/>
      <c r="V24" s="76"/>
      <c r="W24" s="76"/>
      <c r="X24" s="76"/>
      <c r="Y24" s="76"/>
      <c r="Z24" s="76"/>
      <c r="AA24" s="76"/>
      <c r="AB24" s="76"/>
      <c r="AC24" s="76"/>
      <c r="AD24" s="76"/>
      <c r="AE24" s="6"/>
      <c r="AF24" s="8"/>
      <c r="AG24" s="52"/>
      <c r="AH24" s="56"/>
      <c r="AI24" s="7"/>
      <c r="AJ24" s="7"/>
      <c r="AK24" s="73" t="str">
        <f>if(OR(AI23 = "", AJ23 = "", not(AI23 = AJ23)), "", "Penalties")</f>
        <v/>
      </c>
      <c r="AL24" s="6"/>
      <c r="AM24" s="6"/>
      <c r="AN24" s="21"/>
      <c r="AO24" s="22"/>
      <c r="AP24" s="6"/>
      <c r="AQ24" s="6"/>
      <c r="AR24" s="22"/>
      <c r="AS24" s="33"/>
      <c r="AT24" s="6"/>
      <c r="AU24" s="6"/>
      <c r="AV24" s="22"/>
      <c r="AW24" s="6"/>
      <c r="AX24" s="6"/>
      <c r="AY24" s="22"/>
      <c r="AZ24" s="6"/>
      <c r="BA24" s="43">
        <v>12.0</v>
      </c>
      <c r="BB24" s="58">
        <f>DATETIME(Support!$AJ$1, 7, 14, 20, 0)</f>
        <v>45487.83333</v>
      </c>
      <c r="BC24" s="59"/>
      <c r="BD24" s="59"/>
      <c r="BE24" s="59"/>
      <c r="BF24" s="59"/>
      <c r="BG24" s="60"/>
    </row>
    <row r="25" ht="15.0" customHeight="1">
      <c r="A25" s="14">
        <f>DATETIME(Support!$AJ$1, 6, 25, 20, 0)</f>
        <v>45468.83333</v>
      </c>
      <c r="B25" s="15" t="s">
        <v>22</v>
      </c>
      <c r="C25" s="16">
        <v>1.0</v>
      </c>
      <c r="D25" s="16">
        <v>0.0</v>
      </c>
      <c r="E25" s="17" t="s">
        <v>23</v>
      </c>
      <c r="F25" s="7" t="str">
        <f>DISPLAY_PENALTIES(2)</f>
        <v/>
      </c>
      <c r="G25" s="17"/>
      <c r="H25" s="61" t="str">
        <f>Support!AC66</f>
        <v/>
      </c>
      <c r="R25" s="4"/>
      <c r="S25" s="5"/>
      <c r="T25" s="76"/>
      <c r="U25" s="76"/>
      <c r="V25" s="76"/>
      <c r="W25" s="76"/>
      <c r="X25" s="76"/>
      <c r="Y25" s="76"/>
      <c r="Z25" s="76"/>
      <c r="AA25" s="76"/>
      <c r="AB25" s="76"/>
      <c r="AC25" s="76"/>
      <c r="AD25" s="76"/>
      <c r="AE25" s="6"/>
      <c r="AF25" s="8"/>
      <c r="AG25" s="6"/>
      <c r="AH25" s="22"/>
      <c r="AI25" s="22"/>
      <c r="AJ25" s="22"/>
      <c r="AK25" s="22"/>
      <c r="AL25" s="6"/>
      <c r="AM25" s="6"/>
      <c r="AN25" s="21"/>
      <c r="AO25" s="22"/>
      <c r="AP25" s="6"/>
      <c r="AQ25" s="6"/>
      <c r="AR25" s="22"/>
      <c r="AS25" s="33"/>
      <c r="AT25" s="6"/>
      <c r="AU25" s="6"/>
      <c r="AV25" s="22"/>
      <c r="AW25" s="6"/>
      <c r="AX25" s="6"/>
      <c r="AY25" s="22"/>
      <c r="AZ25" s="6"/>
      <c r="BA25" s="43">
        <v>13.0</v>
      </c>
      <c r="BB25" s="62" t="str">
        <f>KNOCKOUT(BC25, BB25)</f>
        <v>Spain</v>
      </c>
      <c r="BC25" s="63" t="str">
        <f>FLAG(BC25)</f>
        <v/>
      </c>
      <c r="BD25" s="40">
        <v>1.0</v>
      </c>
      <c r="BE25" s="40">
        <v>0.0</v>
      </c>
      <c r="BF25" s="46" t="str">
        <f>FLAG(BF25)</f>
        <v/>
      </c>
      <c r="BG25" s="47" t="str">
        <f>KNOCKOUT(BH25, BG25)</f>
        <v>Belgium</v>
      </c>
    </row>
    <row r="26" ht="15.0" customHeight="1">
      <c r="A26" s="65"/>
      <c r="B26" s="79"/>
      <c r="C26" s="66"/>
      <c r="D26" s="67"/>
      <c r="E26" s="68"/>
      <c r="F26" s="66"/>
      <c r="G26" s="66"/>
      <c r="R26" s="4"/>
      <c r="S26" s="5"/>
      <c r="T26" s="1" t="s">
        <v>25</v>
      </c>
      <c r="U26" s="2"/>
      <c r="V26" s="2"/>
      <c r="W26" s="2"/>
      <c r="X26" s="2"/>
      <c r="Y26" s="2"/>
      <c r="Z26" s="2"/>
      <c r="AA26" s="2"/>
      <c r="AB26" s="2"/>
      <c r="AC26" s="2"/>
      <c r="AD26" s="3"/>
      <c r="AE26" s="6"/>
      <c r="AF26" s="8"/>
      <c r="AG26" s="6"/>
      <c r="AH26" s="6"/>
      <c r="AI26" s="6"/>
      <c r="AJ26" s="6"/>
      <c r="AK26" s="6"/>
      <c r="AL26" s="6"/>
      <c r="AM26" s="6"/>
      <c r="AN26" s="21"/>
      <c r="AO26" s="22"/>
      <c r="AP26" s="6"/>
      <c r="AQ26" s="6"/>
      <c r="AR26" s="22"/>
      <c r="AS26" s="33"/>
      <c r="AT26" s="6"/>
      <c r="AU26" s="6"/>
      <c r="AV26" s="22"/>
      <c r="AW26" s="6"/>
      <c r="AX26" s="6"/>
      <c r="AY26" s="22"/>
      <c r="AZ26" s="6"/>
      <c r="BA26" s="43">
        <v>14.0</v>
      </c>
      <c r="BB26" s="52"/>
      <c r="BC26" s="22"/>
      <c r="BD26" s="7"/>
      <c r="BE26" s="7"/>
      <c r="BF26" s="73" t="str">
        <f>IF(OR(BD25 = "", BE25 = "", not(BD25 = BE25)), "", "AET")</f>
        <v/>
      </c>
      <c r="BG26" s="6"/>
    </row>
    <row r="27" ht="15.0" customHeight="1">
      <c r="A27" s="70"/>
      <c r="B27" s="70"/>
      <c r="C27" s="71"/>
      <c r="D27" s="71"/>
      <c r="E27" s="70"/>
      <c r="F27" s="70"/>
      <c r="G27" s="70"/>
      <c r="R27" s="4"/>
      <c r="S27" s="73"/>
      <c r="T27" s="19" t="str">
        <f t="array" ref="T27:AD27">{"Group", $H$2:$Q$2}</f>
        <v>Group</v>
      </c>
      <c r="U27" s="18" t="s">
        <v>26</v>
      </c>
      <c r="V27" s="3"/>
      <c r="W27" s="19" t="s">
        <v>7</v>
      </c>
      <c r="X27" s="19" t="s">
        <v>8</v>
      </c>
      <c r="Y27" s="19" t="s">
        <v>9</v>
      </c>
      <c r="Z27" s="19" t="s">
        <v>10</v>
      </c>
      <c r="AA27" s="19" t="s">
        <v>11</v>
      </c>
      <c r="AB27" s="19" t="s">
        <v>12</v>
      </c>
      <c r="AC27" s="19" t="s">
        <v>13</v>
      </c>
      <c r="AD27" s="19" t="s">
        <v>14</v>
      </c>
      <c r="AE27" s="76"/>
      <c r="AF27" s="8"/>
      <c r="AG27" s="77">
        <f>DATETIME(Support!$AJ$1, 7, 2, 17, 0)</f>
        <v>45475.70833</v>
      </c>
      <c r="AH27" s="59"/>
      <c r="AI27" s="59"/>
      <c r="AJ27" s="59"/>
      <c r="AK27" s="59"/>
      <c r="AL27" s="60"/>
      <c r="AM27" s="32">
        <v>0.0</v>
      </c>
      <c r="AN27" s="21"/>
      <c r="AO27" s="22"/>
      <c r="AP27" s="6"/>
      <c r="AQ27" s="6"/>
      <c r="AR27" s="22"/>
      <c r="AS27" s="33"/>
      <c r="AT27" s="6"/>
      <c r="AU27" s="6"/>
      <c r="AV27" s="22"/>
      <c r="AW27" s="6"/>
      <c r="AX27" s="6"/>
      <c r="AY27" s="22"/>
      <c r="AZ27" s="6"/>
      <c r="BA27" s="43">
        <v>15.0</v>
      </c>
      <c r="BB27" s="73"/>
      <c r="BC27" s="73"/>
      <c r="BD27" s="7"/>
      <c r="BE27" s="7"/>
      <c r="BF27" s="73" t="str">
        <f>if(OR(BD26 = "", BE26 = "", not(BD26 = BE26)), "", "Penalties")</f>
        <v/>
      </c>
      <c r="BG27" s="73"/>
    </row>
    <row r="28" ht="15.0" customHeight="1">
      <c r="A28" s="1" t="str">
        <f>"Group "&amp;char(code(right(A19)) + 1)</f>
        <v>Group D</v>
      </c>
      <c r="B28" s="2"/>
      <c r="C28" s="2"/>
      <c r="D28" s="2"/>
      <c r="E28" s="2"/>
      <c r="F28" s="2"/>
      <c r="G28" s="2"/>
      <c r="H28" s="2"/>
      <c r="I28" s="2"/>
      <c r="J28" s="2"/>
      <c r="K28" s="2"/>
      <c r="L28" s="2"/>
      <c r="M28" s="2"/>
      <c r="N28" s="2"/>
      <c r="O28" s="2"/>
      <c r="P28" s="2"/>
      <c r="Q28" s="3"/>
      <c r="R28" s="4"/>
      <c r="S28" s="5"/>
      <c r="T28" s="36" t="str">
        <f t="array" ref="T28:AD33">third_placed</f>
        <v>A</v>
      </c>
      <c r="U28" s="23"/>
      <c r="V28" s="80" t="s">
        <v>16</v>
      </c>
      <c r="W28" s="35">
        <v>3.0</v>
      </c>
      <c r="X28" s="36">
        <v>1.0</v>
      </c>
      <c r="Y28" s="36">
        <v>0.0</v>
      </c>
      <c r="Z28" s="36">
        <v>2.0</v>
      </c>
      <c r="AA28" s="36">
        <v>4.0</v>
      </c>
      <c r="AB28" s="36">
        <v>4.0</v>
      </c>
      <c r="AC28" s="74">
        <v>0.0</v>
      </c>
      <c r="AD28" s="37">
        <v>3.0</v>
      </c>
      <c r="AE28" s="6"/>
      <c r="AF28" s="8"/>
      <c r="AG28" s="78" t="str">
        <f>GROUPQUAL(1, "E")</f>
        <v>Belgium</v>
      </c>
      <c r="AH28" s="63" t="str">
        <f>FLAG(AH28)</f>
        <v/>
      </c>
      <c r="AI28" s="40">
        <v>1.0</v>
      </c>
      <c r="AJ28" s="40">
        <v>0.0</v>
      </c>
      <c r="AK28" s="46" t="str">
        <f>FLAG(AK28)</f>
        <v/>
      </c>
      <c r="AL28" s="75" t="str">
        <f>THIRD_PLACE(AG28)</f>
        <v>Austria</v>
      </c>
      <c r="AM28" s="43">
        <v>1.0</v>
      </c>
      <c r="AN28" s="21"/>
      <c r="AO28" s="22"/>
      <c r="AP28" s="6"/>
      <c r="AQ28" s="6"/>
      <c r="AR28" s="22"/>
      <c r="AS28" s="33"/>
      <c r="AT28" s="6"/>
      <c r="AU28" s="6"/>
      <c r="AV28" s="22"/>
      <c r="AW28" s="6"/>
      <c r="AX28" s="6"/>
      <c r="AY28" s="22"/>
      <c r="AZ28" s="6"/>
      <c r="BA28" s="43">
        <v>16.0</v>
      </c>
      <c r="BB28" s="6"/>
      <c r="BC28" s="6"/>
      <c r="BD28" s="6"/>
      <c r="BE28" s="6"/>
      <c r="BF28" s="6"/>
      <c r="BG28" s="6"/>
    </row>
    <row r="29" ht="15.0" customHeight="1">
      <c r="A29" s="14">
        <f>DATETIME(Support!$AJ$1, 6, 16, 14, 0)</f>
        <v>45459.58333</v>
      </c>
      <c r="B29" s="15" t="s">
        <v>27</v>
      </c>
      <c r="C29" s="16">
        <v>1.0</v>
      </c>
      <c r="D29" s="16">
        <v>0.0</v>
      </c>
      <c r="E29" s="17" t="s">
        <v>28</v>
      </c>
      <c r="F29" s="7"/>
      <c r="G29" s="17"/>
      <c r="H29" s="18" t="str">
        <f t="array" ref="H29:Q29">$H$2:$Q$2</f>
        <v>Team</v>
      </c>
      <c r="I29" s="3"/>
      <c r="J29" s="19" t="s">
        <v>7</v>
      </c>
      <c r="K29" s="20" t="s">
        <v>8</v>
      </c>
      <c r="L29" s="20" t="s">
        <v>9</v>
      </c>
      <c r="M29" s="20" t="s">
        <v>10</v>
      </c>
      <c r="N29" s="19" t="s">
        <v>11</v>
      </c>
      <c r="O29" s="19" t="s">
        <v>12</v>
      </c>
      <c r="P29" s="20" t="s">
        <v>13</v>
      </c>
      <c r="Q29" s="19" t="s">
        <v>14</v>
      </c>
      <c r="R29" s="4"/>
      <c r="S29" s="5"/>
      <c r="T29" s="36" t="s">
        <v>11</v>
      </c>
      <c r="U29" s="23"/>
      <c r="V29" s="80" t="s">
        <v>29</v>
      </c>
      <c r="W29" s="35">
        <v>3.0</v>
      </c>
      <c r="X29" s="36">
        <v>1.0</v>
      </c>
      <c r="Y29" s="36">
        <v>0.0</v>
      </c>
      <c r="Z29" s="36">
        <v>2.0</v>
      </c>
      <c r="AA29" s="36">
        <v>1.0</v>
      </c>
      <c r="AB29" s="36">
        <v>2.0</v>
      </c>
      <c r="AC29" s="74">
        <v>-1.0</v>
      </c>
      <c r="AD29" s="37">
        <v>3.0</v>
      </c>
      <c r="AE29" s="6"/>
      <c r="AF29" s="8"/>
      <c r="AG29" s="52"/>
      <c r="AH29" s="22"/>
      <c r="AI29" s="81"/>
      <c r="AJ29" s="81"/>
      <c r="AK29" s="73" t="str">
        <f>IF(OR(AI28 = "", AJ28 = "", not(AI28 = AJ28)), "", "AET")</f>
        <v/>
      </c>
      <c r="AL29" s="6"/>
      <c r="AM29" s="55">
        <v>2.0</v>
      </c>
      <c r="AN29" s="6"/>
      <c r="AO29" s="6"/>
      <c r="AP29" s="6"/>
      <c r="AQ29" s="6"/>
      <c r="AR29" s="6"/>
      <c r="AS29" s="6"/>
      <c r="AT29" s="6"/>
      <c r="AU29" s="6"/>
      <c r="AV29" s="22"/>
      <c r="AW29" s="6"/>
      <c r="AX29" s="6"/>
      <c r="AY29" s="22"/>
      <c r="AZ29" s="6"/>
      <c r="BA29" s="43">
        <v>17.0</v>
      </c>
      <c r="BB29" s="6"/>
      <c r="BC29" s="6"/>
      <c r="BD29" s="6"/>
      <c r="BE29" s="6"/>
      <c r="BF29" s="6"/>
      <c r="BG29" s="6"/>
    </row>
    <row r="30" ht="15.0" customHeight="1">
      <c r="A30" s="14">
        <f>DATETIME(Support!$AJ$1, 6, 17, 20, 0)</f>
        <v>45460.83333</v>
      </c>
      <c r="B30" s="15" t="s">
        <v>30</v>
      </c>
      <c r="C30" s="16">
        <v>1.0</v>
      </c>
      <c r="D30" s="16">
        <v>0.0</v>
      </c>
      <c r="E30" s="17" t="s">
        <v>31</v>
      </c>
      <c r="F30" s="7"/>
      <c r="G30" s="17"/>
      <c r="H30" s="23" t="str">
        <f>IFERROR(__xludf.DUMMYFUNCTION("filter(indirect(""Final""&amp;right(A28)), {1,1,1,1,1,1,1,1,1,1,0,0,0,0,0,0,0,0,0,0,0})"),"")</f>
        <v/>
      </c>
      <c r="I30" s="24" t="str">
        <f>IFERROR(__xludf.DUMMYFUNCTION("""COMPUTED_VALUE"""),"Poland")</f>
        <v>Poland</v>
      </c>
      <c r="J30" s="35">
        <f>IFERROR(__xludf.DUMMYFUNCTION("""COMPUTED_VALUE"""),3.0)</f>
        <v>3</v>
      </c>
      <c r="K30" s="36">
        <f>IFERROR(__xludf.DUMMYFUNCTION("""COMPUTED_VALUE"""),2.0)</f>
        <v>2</v>
      </c>
      <c r="L30" s="36">
        <f>IFERROR(__xludf.DUMMYFUNCTION("""COMPUTED_VALUE"""),0.0)</f>
        <v>0</v>
      </c>
      <c r="M30" s="36">
        <f>IFERROR(__xludf.DUMMYFUNCTION("""COMPUTED_VALUE"""),1.0)</f>
        <v>1</v>
      </c>
      <c r="N30" s="36">
        <f>IFERROR(__xludf.DUMMYFUNCTION("""COMPUTED_VALUE"""),2.0)</f>
        <v>2</v>
      </c>
      <c r="O30" s="36">
        <f>IFERROR(__xludf.DUMMYFUNCTION("""COMPUTED_VALUE"""),1.0)</f>
        <v>1</v>
      </c>
      <c r="P30" s="74">
        <f>IFERROR(__xludf.DUMMYFUNCTION("""COMPUTED_VALUE"""),1.0)</f>
        <v>1</v>
      </c>
      <c r="Q30" s="37">
        <f>IFERROR(__xludf.DUMMYFUNCTION("""COMPUTED_VALUE"""),6.0)</f>
        <v>6</v>
      </c>
      <c r="R30" s="7"/>
      <c r="S30" s="5"/>
      <c r="T30" s="36" t="s">
        <v>32</v>
      </c>
      <c r="U30" s="23"/>
      <c r="V30" s="82" t="s">
        <v>33</v>
      </c>
      <c r="W30" s="83">
        <v>3.0</v>
      </c>
      <c r="X30" s="84">
        <v>1.0</v>
      </c>
      <c r="Y30" s="84">
        <v>0.0</v>
      </c>
      <c r="Z30" s="84">
        <v>2.0</v>
      </c>
      <c r="AA30" s="84">
        <v>1.0</v>
      </c>
      <c r="AB30" s="84">
        <v>2.0</v>
      </c>
      <c r="AC30" s="85">
        <v>-1.0</v>
      </c>
      <c r="AD30" s="86">
        <v>3.0</v>
      </c>
      <c r="AE30" s="6"/>
      <c r="AF30" s="8"/>
      <c r="AG30" s="52"/>
      <c r="AH30" s="56"/>
      <c r="AI30" s="81"/>
      <c r="AJ30" s="81"/>
      <c r="AK30" s="73" t="str">
        <f>if(OR(AI29 = "", AJ29 = "", not(AI29 = AJ29)), "", "Penalties")</f>
        <v/>
      </c>
      <c r="AL30" s="6"/>
      <c r="AM30" s="43">
        <v>3.0</v>
      </c>
      <c r="AN30" s="58">
        <f>DATETIME(Support!$AJ$1, 7, 6, 20, 0)</f>
        <v>45479.83333</v>
      </c>
      <c r="AO30" s="59"/>
      <c r="AP30" s="59"/>
      <c r="AQ30" s="59"/>
      <c r="AR30" s="59"/>
      <c r="AS30" s="60"/>
      <c r="AT30" s="32">
        <v>0.0</v>
      </c>
      <c r="AU30" s="6"/>
      <c r="AV30" s="22"/>
      <c r="AW30" s="6"/>
      <c r="AX30" s="6"/>
      <c r="AY30" s="22"/>
      <c r="AZ30" s="6"/>
      <c r="BA30" s="43">
        <v>18.0</v>
      </c>
      <c r="BB30" s="66" t="str">
        <f>if(BB32="","",Support!$AJ$1&amp;" Winner")</f>
        <v>UEFA Men's Euro 2024 Winner</v>
      </c>
    </row>
    <row r="31" ht="15.0" customHeight="1">
      <c r="A31" s="14">
        <f>DATETIME(Support!$AJ$1, 6, 21, 17, 0)</f>
        <v>45464.70833</v>
      </c>
      <c r="B31" s="15" t="s">
        <v>27</v>
      </c>
      <c r="C31" s="16">
        <v>1.0</v>
      </c>
      <c r="D31" s="16">
        <v>0.0</v>
      </c>
      <c r="E31" s="17" t="s">
        <v>30</v>
      </c>
      <c r="F31" s="7"/>
      <c r="G31" s="17"/>
      <c r="H31" s="23" t="str">
        <f>IFERROR(__xludf.DUMMYFUNCTION("""COMPUTED_VALUE"""),"")</f>
        <v/>
      </c>
      <c r="I31" s="24" t="str">
        <f>IFERROR(__xludf.DUMMYFUNCTION("""COMPUTED_VALUE"""),"Netherlands")</f>
        <v>Netherlands</v>
      </c>
      <c r="J31" s="35">
        <f>IFERROR(__xludf.DUMMYFUNCTION("""COMPUTED_VALUE"""),3.0)</f>
        <v>3</v>
      </c>
      <c r="K31" s="36">
        <f>IFERROR(__xludf.DUMMYFUNCTION("""COMPUTED_VALUE"""),2.0)</f>
        <v>2</v>
      </c>
      <c r="L31" s="36">
        <f>IFERROR(__xludf.DUMMYFUNCTION("""COMPUTED_VALUE"""),0.0)</f>
        <v>0</v>
      </c>
      <c r="M31" s="36">
        <f>IFERROR(__xludf.DUMMYFUNCTION("""COMPUTED_VALUE"""),1.0)</f>
        <v>1</v>
      </c>
      <c r="N31" s="36">
        <f>IFERROR(__xludf.DUMMYFUNCTION("""COMPUTED_VALUE"""),2.0)</f>
        <v>2</v>
      </c>
      <c r="O31" s="36">
        <f>IFERROR(__xludf.DUMMYFUNCTION("""COMPUTED_VALUE"""),1.0)</f>
        <v>1</v>
      </c>
      <c r="P31" s="74">
        <f>IFERROR(__xludf.DUMMYFUNCTION("""COMPUTED_VALUE"""),1.0)</f>
        <v>1</v>
      </c>
      <c r="Q31" s="37">
        <f>IFERROR(__xludf.DUMMYFUNCTION("""COMPUTED_VALUE"""),6.0)</f>
        <v>6</v>
      </c>
      <c r="R31" s="7"/>
      <c r="S31" s="5"/>
      <c r="T31" s="36" t="s">
        <v>9</v>
      </c>
      <c r="U31" s="23"/>
      <c r="V31" s="80" t="s">
        <v>30</v>
      </c>
      <c r="W31" s="35">
        <v>3.0</v>
      </c>
      <c r="X31" s="36">
        <v>1.0</v>
      </c>
      <c r="Y31" s="36">
        <v>0.0</v>
      </c>
      <c r="Z31" s="36">
        <v>2.0</v>
      </c>
      <c r="AA31" s="36">
        <v>1.0</v>
      </c>
      <c r="AB31" s="36">
        <v>2.0</v>
      </c>
      <c r="AC31" s="74">
        <v>-1.0</v>
      </c>
      <c r="AD31" s="37">
        <v>3.0</v>
      </c>
      <c r="AE31" s="6"/>
      <c r="AF31" s="8"/>
      <c r="AG31" s="6"/>
      <c r="AH31" s="22"/>
      <c r="AI31" s="22"/>
      <c r="AJ31" s="22"/>
      <c r="AK31" s="22"/>
      <c r="AL31" s="6"/>
      <c r="AM31" s="43">
        <v>4.0</v>
      </c>
      <c r="AN31" s="62" t="str">
        <f>KNOCKOUT(AO31, AN31)</f>
        <v>Belgium</v>
      </c>
      <c r="AO31" s="63" t="str">
        <f>FLAG(AO31)</f>
        <v/>
      </c>
      <c r="AP31" s="40">
        <v>1.0</v>
      </c>
      <c r="AQ31" s="40">
        <v>0.0</v>
      </c>
      <c r="AR31" s="46" t="str">
        <f>FLAG(AR31)</f>
        <v/>
      </c>
      <c r="AS31" s="64" t="str">
        <f>KNOCKOUT(AT31, AS31)</f>
        <v>Poland</v>
      </c>
      <c r="AT31" s="43">
        <v>1.0</v>
      </c>
      <c r="AU31" s="6"/>
      <c r="AV31" s="22"/>
      <c r="AW31" s="6"/>
      <c r="AX31" s="6"/>
      <c r="AY31" s="22"/>
      <c r="AZ31" s="6"/>
      <c r="BA31" s="43">
        <v>19.0</v>
      </c>
      <c r="BB31" s="7" t="str">
        <f t="array" ref="BB31">xlookup(BB32,index(teamInfo,,1), index(teamInfo,,9),"")</f>
        <v/>
      </c>
    </row>
    <row r="32" ht="15.0" customHeight="1">
      <c r="A32" s="14">
        <f>DATETIME(Support!$AJ$1, 6, 21, 20, 0)</f>
        <v>45464.83333</v>
      </c>
      <c r="B32" s="15" t="s">
        <v>28</v>
      </c>
      <c r="C32" s="16">
        <v>1.0</v>
      </c>
      <c r="D32" s="16">
        <v>0.0</v>
      </c>
      <c r="E32" s="17" t="s">
        <v>31</v>
      </c>
      <c r="F32" s="7"/>
      <c r="G32" s="17"/>
      <c r="H32" s="46" t="str">
        <f>IFERROR(__xludf.DUMMYFUNCTION("""COMPUTED_VALUE"""),"")</f>
        <v/>
      </c>
      <c r="I32" s="47" t="str">
        <f>IFERROR(__xludf.DUMMYFUNCTION("""COMPUTED_VALUE"""),"Austria")</f>
        <v>Austria</v>
      </c>
      <c r="J32" s="48">
        <f>IFERROR(__xludf.DUMMYFUNCTION("""COMPUTED_VALUE"""),3.0)</f>
        <v>3</v>
      </c>
      <c r="K32" s="49">
        <f>IFERROR(__xludf.DUMMYFUNCTION("""COMPUTED_VALUE"""),1.0)</f>
        <v>1</v>
      </c>
      <c r="L32" s="49">
        <f>IFERROR(__xludf.DUMMYFUNCTION("""COMPUTED_VALUE"""),0.0)</f>
        <v>0</v>
      </c>
      <c r="M32" s="49">
        <f>IFERROR(__xludf.DUMMYFUNCTION("""COMPUTED_VALUE"""),2.0)</f>
        <v>2</v>
      </c>
      <c r="N32" s="49">
        <f>IFERROR(__xludf.DUMMYFUNCTION("""COMPUTED_VALUE"""),1.0)</f>
        <v>1</v>
      </c>
      <c r="O32" s="49">
        <f>IFERROR(__xludf.DUMMYFUNCTION("""COMPUTED_VALUE"""),2.0)</f>
        <v>2</v>
      </c>
      <c r="P32" s="50">
        <f>IFERROR(__xludf.DUMMYFUNCTION("""COMPUTED_VALUE"""),-1.0)</f>
        <v>-1</v>
      </c>
      <c r="Q32" s="51">
        <f>IFERROR(__xludf.DUMMYFUNCTION("""COMPUTED_VALUE"""),3.0)</f>
        <v>3</v>
      </c>
      <c r="R32" s="7"/>
      <c r="S32" s="5"/>
      <c r="T32" s="49" t="s">
        <v>34</v>
      </c>
      <c r="U32" s="46"/>
      <c r="V32" s="87" t="s">
        <v>19</v>
      </c>
      <c r="W32" s="48">
        <v>3.0</v>
      </c>
      <c r="X32" s="49">
        <v>1.0</v>
      </c>
      <c r="Y32" s="49">
        <v>0.0</v>
      </c>
      <c r="Z32" s="49">
        <v>2.0</v>
      </c>
      <c r="AA32" s="49">
        <v>1.0</v>
      </c>
      <c r="AB32" s="49">
        <v>2.0</v>
      </c>
      <c r="AC32" s="50">
        <v>-1.0</v>
      </c>
      <c r="AD32" s="51">
        <v>3.0</v>
      </c>
      <c r="AE32" s="6"/>
      <c r="AF32" s="8"/>
      <c r="AG32" s="6"/>
      <c r="AH32" s="6"/>
      <c r="AI32" s="6"/>
      <c r="AJ32" s="6"/>
      <c r="AK32" s="6"/>
      <c r="AL32" s="6"/>
      <c r="AM32" s="43">
        <v>5.0</v>
      </c>
      <c r="AN32" s="69"/>
      <c r="AO32" s="22"/>
      <c r="AP32" s="81"/>
      <c r="AQ32" s="81"/>
      <c r="AR32" s="17" t="str">
        <f>IF(OR(AP31 = "", AQ31 = "", not(AP31 = AQ31)), "", "AET")</f>
        <v/>
      </c>
      <c r="AS32" s="33"/>
      <c r="AT32" s="43">
        <v>2.0</v>
      </c>
      <c r="AU32" s="22"/>
      <c r="AV32" s="22"/>
      <c r="AW32" s="22"/>
      <c r="AX32" s="22"/>
      <c r="AY32" s="22"/>
      <c r="AZ32" s="22"/>
      <c r="BA32" s="43">
        <v>20.0</v>
      </c>
      <c r="BB32" s="7" t="str">
        <f>ifs(sum(BD25:BD27) = sum(BE25:BE27), "", sum(BD25:BD27) &gt; sum(BE25:BE27), BB25, TRUE, BG25)</f>
        <v>Spain</v>
      </c>
    </row>
    <row r="33" ht="15.0" customHeight="1">
      <c r="A33" s="14">
        <f>DATETIME(Support!$AJ$1, 6, 25, 17, 0)</f>
        <v>45468.70833</v>
      </c>
      <c r="B33" s="15" t="s">
        <v>28</v>
      </c>
      <c r="C33" s="16">
        <v>1.0</v>
      </c>
      <c r="D33" s="16">
        <v>0.0</v>
      </c>
      <c r="E33" s="17" t="s">
        <v>30</v>
      </c>
      <c r="F33" s="7" t="str">
        <f>DISPLAY_PENALTIES(1)</f>
        <v/>
      </c>
      <c r="G33" s="17"/>
      <c r="H33" s="46" t="str">
        <f>IFERROR(__xludf.DUMMYFUNCTION("""COMPUTED_VALUE"""),"")</f>
        <v/>
      </c>
      <c r="I33" s="47" t="str">
        <f>IFERROR(__xludf.DUMMYFUNCTION("""COMPUTED_VALUE"""),"France")</f>
        <v>France</v>
      </c>
      <c r="J33" s="48">
        <f>IFERROR(__xludf.DUMMYFUNCTION("""COMPUTED_VALUE"""),3.0)</f>
        <v>3</v>
      </c>
      <c r="K33" s="49">
        <f>IFERROR(__xludf.DUMMYFUNCTION("""COMPUTED_VALUE"""),1.0)</f>
        <v>1</v>
      </c>
      <c r="L33" s="49">
        <f>IFERROR(__xludf.DUMMYFUNCTION("""COMPUTED_VALUE"""),0.0)</f>
        <v>0</v>
      </c>
      <c r="M33" s="49">
        <f>IFERROR(__xludf.DUMMYFUNCTION("""COMPUTED_VALUE"""),2.0)</f>
        <v>2</v>
      </c>
      <c r="N33" s="49">
        <f>IFERROR(__xludf.DUMMYFUNCTION("""COMPUTED_VALUE"""),1.0)</f>
        <v>1</v>
      </c>
      <c r="O33" s="49">
        <f>IFERROR(__xludf.DUMMYFUNCTION("""COMPUTED_VALUE"""),2.0)</f>
        <v>2</v>
      </c>
      <c r="P33" s="50">
        <f>IFERROR(__xludf.DUMMYFUNCTION("""COMPUTED_VALUE"""),-1.0)</f>
        <v>-1</v>
      </c>
      <c r="Q33" s="51">
        <f>IFERROR(__xludf.DUMMYFUNCTION("""COMPUTED_VALUE"""),3.0)</f>
        <v>3</v>
      </c>
      <c r="R33" s="7"/>
      <c r="S33" s="5"/>
      <c r="T33" s="49" t="s">
        <v>35</v>
      </c>
      <c r="U33" s="46"/>
      <c r="V33" s="88" t="s">
        <v>23</v>
      </c>
      <c r="W33" s="89">
        <v>3.0</v>
      </c>
      <c r="X33" s="90">
        <v>1.0</v>
      </c>
      <c r="Y33" s="90">
        <v>0.0</v>
      </c>
      <c r="Z33" s="90">
        <v>2.0</v>
      </c>
      <c r="AA33" s="90">
        <v>1.0</v>
      </c>
      <c r="AB33" s="90">
        <v>2.0</v>
      </c>
      <c r="AC33" s="91">
        <v>-1.0</v>
      </c>
      <c r="AD33" s="92">
        <v>3.0</v>
      </c>
      <c r="AE33" s="6"/>
      <c r="AF33" s="8"/>
      <c r="AG33" s="77">
        <f>DATETIME(Support!$AJ$1, 7, 2, 20, 0)</f>
        <v>45475.83333</v>
      </c>
      <c r="AH33" s="59"/>
      <c r="AI33" s="59"/>
      <c r="AJ33" s="59"/>
      <c r="AK33" s="59"/>
      <c r="AL33" s="60"/>
      <c r="AM33" s="43">
        <v>6.0</v>
      </c>
      <c r="AN33" s="69"/>
      <c r="AO33" s="56"/>
      <c r="AP33" s="81"/>
      <c r="AQ33" s="81"/>
      <c r="AR33" s="17" t="str">
        <f>if(OR(AP32 = "", AQ32 = "", not(AP32 = AQ32)), "", "Penalties")</f>
        <v/>
      </c>
      <c r="AS33" s="33"/>
      <c r="AT33" s="43">
        <v>3.0</v>
      </c>
      <c r="AU33" s="6"/>
      <c r="AV33" s="22"/>
      <c r="AW33" s="6"/>
      <c r="AX33" s="6"/>
      <c r="AY33" s="22"/>
      <c r="AZ33" s="6"/>
      <c r="BA33" s="43">
        <v>21.0</v>
      </c>
      <c r="BB33" s="6"/>
      <c r="BC33" s="22"/>
      <c r="BD33" s="6"/>
      <c r="BE33" s="6"/>
      <c r="BF33" s="6"/>
      <c r="BG33" s="6"/>
    </row>
    <row r="34" ht="15.0" customHeight="1">
      <c r="A34" s="14">
        <f>DATETIME(Support!$AJ$1, 6, 25, 17, 0)</f>
        <v>45468.70833</v>
      </c>
      <c r="B34" s="15" t="s">
        <v>31</v>
      </c>
      <c r="C34" s="16">
        <v>1.0</v>
      </c>
      <c r="D34" s="16">
        <v>0.0</v>
      </c>
      <c r="E34" s="17" t="s">
        <v>27</v>
      </c>
      <c r="F34" s="7" t="str">
        <f>DISPLAY_PENALTIES(2)</f>
        <v/>
      </c>
      <c r="G34" s="17"/>
      <c r="H34" s="61" t="str">
        <f>Support!AC91</f>
        <v/>
      </c>
      <c r="R34" s="4"/>
      <c r="S34" s="5"/>
      <c r="T34" s="93"/>
      <c r="AE34" s="6"/>
      <c r="AF34" s="8"/>
      <c r="AG34" s="78" t="str">
        <f>GROUPQUAL(1, "D")</f>
        <v>Poland</v>
      </c>
      <c r="AH34" s="63" t="str">
        <f>FLAG(AH34)</f>
        <v/>
      </c>
      <c r="AI34" s="40">
        <v>1.0</v>
      </c>
      <c r="AJ34" s="40">
        <v>0.0</v>
      </c>
      <c r="AK34" s="46" t="str">
        <f>FLAG(AK34)</f>
        <v/>
      </c>
      <c r="AL34" s="75" t="str">
        <f>GROUPQUAL(2, "F")</f>
        <v>Georgia</v>
      </c>
      <c r="AM34" s="72">
        <v>7.0</v>
      </c>
      <c r="AN34" s="21"/>
      <c r="AO34" s="22"/>
      <c r="AP34" s="6"/>
      <c r="AQ34" s="6"/>
      <c r="AR34" s="22"/>
      <c r="AS34" s="33"/>
      <c r="AT34" s="43">
        <v>4.0</v>
      </c>
      <c r="AU34" s="6"/>
      <c r="AV34" s="22"/>
      <c r="AW34" s="6"/>
      <c r="AX34" s="6"/>
      <c r="AY34" s="22"/>
      <c r="AZ34" s="6"/>
      <c r="BA34" s="43">
        <v>22.0</v>
      </c>
      <c r="BB34" s="6"/>
      <c r="BC34" s="22"/>
      <c r="BD34" s="6"/>
      <c r="BE34" s="6"/>
      <c r="BF34" s="6"/>
      <c r="BG34" s="6"/>
    </row>
    <row r="35" ht="15.0" customHeight="1">
      <c r="A35" s="94"/>
      <c r="B35" s="79"/>
      <c r="C35" s="66"/>
      <c r="D35" s="67"/>
      <c r="E35" s="68"/>
      <c r="F35" s="66"/>
      <c r="G35" s="66"/>
      <c r="R35" s="4"/>
      <c r="S35" s="5"/>
      <c r="AE35" s="6"/>
      <c r="AF35" s="8"/>
      <c r="AG35" s="52"/>
      <c r="AH35" s="22"/>
      <c r="AI35" s="81"/>
      <c r="AJ35" s="81"/>
      <c r="AK35" s="73" t="str">
        <f>IF(OR(AI34 = "", AJ34 = "", not(AI34 = AJ34)), "", "AET")</f>
        <v/>
      </c>
      <c r="AL35" s="6"/>
      <c r="AM35" s="6"/>
      <c r="AN35" s="21"/>
      <c r="AO35" s="22"/>
      <c r="AP35" s="6"/>
      <c r="AQ35" s="6"/>
      <c r="AR35" s="22"/>
      <c r="AS35" s="33"/>
      <c r="AT35" s="55">
        <v>5.0</v>
      </c>
      <c r="AU35" s="6"/>
      <c r="AV35" s="6"/>
      <c r="AW35" s="6"/>
      <c r="AX35" s="6"/>
      <c r="AY35" s="6"/>
      <c r="AZ35" s="6"/>
      <c r="BA35" s="43">
        <v>23.0</v>
      </c>
      <c r="BB35" s="6"/>
      <c r="BC35" s="22"/>
      <c r="BD35" s="6"/>
      <c r="BE35" s="6"/>
      <c r="BF35" s="6"/>
      <c r="BG35" s="6"/>
    </row>
    <row r="36" ht="15.0" customHeight="1">
      <c r="A36" s="70"/>
      <c r="B36" s="70"/>
      <c r="C36" s="71"/>
      <c r="D36" s="71"/>
      <c r="E36" s="70"/>
      <c r="F36" s="70"/>
      <c r="G36" s="70"/>
      <c r="R36" s="4"/>
      <c r="S36" s="5"/>
      <c r="T36" s="6"/>
      <c r="U36" s="6"/>
      <c r="V36" s="76"/>
      <c r="W36" s="76"/>
      <c r="X36" s="76"/>
      <c r="Y36" s="76"/>
      <c r="Z36" s="76"/>
      <c r="AA36" s="6"/>
      <c r="AB36" s="76"/>
      <c r="AC36" s="76"/>
      <c r="AD36" s="76"/>
      <c r="AE36" s="6"/>
      <c r="AF36" s="8"/>
      <c r="AG36" s="52"/>
      <c r="AH36" s="56"/>
      <c r="AI36" s="81"/>
      <c r="AJ36" s="81"/>
      <c r="AK36" s="73" t="str">
        <f>if(OR(AI35 = "", AJ35 = "", not(AI35 = AJ35)), "", "Penalties")</f>
        <v/>
      </c>
      <c r="AL36" s="6"/>
      <c r="AM36" s="6"/>
      <c r="AN36" s="21"/>
      <c r="AO36" s="22"/>
      <c r="AP36" s="6"/>
      <c r="AQ36" s="6"/>
      <c r="AR36" s="22"/>
      <c r="AS36" s="33"/>
      <c r="AT36" s="43">
        <v>6.0</v>
      </c>
      <c r="AU36" s="58">
        <f>DATETIME(Support!$AJ$1, 7, 10, 20, 0)</f>
        <v>45483.83333</v>
      </c>
      <c r="AV36" s="59"/>
      <c r="AW36" s="59"/>
      <c r="AX36" s="59"/>
      <c r="AY36" s="59"/>
      <c r="AZ36" s="60"/>
      <c r="BA36" s="43">
        <v>24.0</v>
      </c>
      <c r="BB36" s="6"/>
      <c r="BC36" s="22"/>
      <c r="BD36" s="6"/>
      <c r="BE36" s="6"/>
      <c r="BF36" s="6"/>
      <c r="BG36" s="6"/>
    </row>
    <row r="37" ht="15.0" customHeight="1">
      <c r="A37" s="1" t="str">
        <f>"Group "&amp;char(code(right(A28)) + 1)</f>
        <v>Group E</v>
      </c>
      <c r="B37" s="2"/>
      <c r="C37" s="2"/>
      <c r="D37" s="2"/>
      <c r="E37" s="2"/>
      <c r="F37" s="2"/>
      <c r="G37" s="2"/>
      <c r="H37" s="2"/>
      <c r="I37" s="2"/>
      <c r="J37" s="2"/>
      <c r="K37" s="2"/>
      <c r="L37" s="2"/>
      <c r="M37" s="2"/>
      <c r="N37" s="2"/>
      <c r="O37" s="2"/>
      <c r="P37" s="2"/>
      <c r="Q37" s="3"/>
      <c r="R37" s="4"/>
      <c r="S37" s="5"/>
      <c r="T37" s="6"/>
      <c r="U37" s="6"/>
      <c r="V37" s="95" t="s">
        <v>36</v>
      </c>
      <c r="W37" s="95" t="str">
        <f>IFERROR(__xludf.DUMMYFUNCTION("arrayformula(regexreplace({Support!$P$168:$S$168}, ""\nvs"", """")) "),"1B")</f>
        <v>1B</v>
      </c>
      <c r="X37" s="95" t="str">
        <f>IFERROR(__xludf.DUMMYFUNCTION("""COMPUTED_VALUE"""),"1C")</f>
        <v>1C</v>
      </c>
      <c r="Y37" s="95" t="str">
        <f>IFERROR(__xludf.DUMMYFUNCTION("""COMPUTED_VALUE"""),"1E")</f>
        <v>1E</v>
      </c>
      <c r="Z37" s="95" t="str">
        <f>IFERROR(__xludf.DUMMYFUNCTION("""COMPUTED_VALUE"""),"1F")</f>
        <v>1F</v>
      </c>
      <c r="AA37" s="6"/>
      <c r="AB37" s="76"/>
      <c r="AC37" s="96"/>
      <c r="AD37" s="76"/>
      <c r="AE37" s="6"/>
      <c r="AF37" s="8"/>
      <c r="AG37" s="6"/>
      <c r="AH37" s="22"/>
      <c r="AI37" s="22"/>
      <c r="AJ37" s="22"/>
      <c r="AK37" s="22"/>
      <c r="AL37" s="6"/>
      <c r="AM37" s="6"/>
      <c r="AN37" s="21"/>
      <c r="AO37" s="22"/>
      <c r="AP37" s="6"/>
      <c r="AQ37" s="6"/>
      <c r="AR37" s="22"/>
      <c r="AS37" s="33"/>
      <c r="AT37" s="43">
        <v>7.0</v>
      </c>
      <c r="AU37" s="62" t="str">
        <f>KNOCKOUT(AV37, AU37)</f>
        <v>Belgium</v>
      </c>
      <c r="AV37" s="63" t="str">
        <f>FLAG(AV37)</f>
        <v/>
      </c>
      <c r="AW37" s="40">
        <v>1.0</v>
      </c>
      <c r="AX37" s="40">
        <v>0.0</v>
      </c>
      <c r="AY37" s="46" t="str">
        <f>FLAG(AY37)</f>
        <v/>
      </c>
      <c r="AZ37" s="75" t="str">
        <f>KNOCKOUT(BA37, AZ37)</f>
        <v/>
      </c>
      <c r="BA37" s="72">
        <v>25.0</v>
      </c>
      <c r="BB37" s="6"/>
      <c r="BC37" s="22"/>
      <c r="BD37" s="6"/>
      <c r="BE37" s="6"/>
      <c r="BF37" s="6"/>
      <c r="BG37" s="6"/>
    </row>
    <row r="38" ht="15.0" customHeight="1">
      <c r="A38" s="14">
        <f>DATETIME(Support!$AJ$1, 6, 17, 14, 0)</f>
        <v>45460.58333</v>
      </c>
      <c r="B38" s="15" t="s">
        <v>33</v>
      </c>
      <c r="C38" s="16">
        <v>1.0</v>
      </c>
      <c r="D38" s="16">
        <v>0.0</v>
      </c>
      <c r="E38" s="17" t="s">
        <v>37</v>
      </c>
      <c r="F38" s="7"/>
      <c r="G38" s="17"/>
      <c r="H38" s="18" t="str">
        <f t="array" ref="H38:Q38">$H$2:$Q$2</f>
        <v>Team</v>
      </c>
      <c r="I38" s="3"/>
      <c r="J38" s="19" t="s">
        <v>7</v>
      </c>
      <c r="K38" s="20" t="s">
        <v>8</v>
      </c>
      <c r="L38" s="20" t="s">
        <v>9</v>
      </c>
      <c r="M38" s="20" t="s">
        <v>10</v>
      </c>
      <c r="N38" s="19" t="s">
        <v>11</v>
      </c>
      <c r="O38" s="19" t="s">
        <v>12</v>
      </c>
      <c r="P38" s="20" t="s">
        <v>13</v>
      </c>
      <c r="Q38" s="19" t="s">
        <v>14</v>
      </c>
      <c r="R38" s="4"/>
      <c r="S38" s="5"/>
      <c r="T38" s="6"/>
      <c r="U38" s="6"/>
      <c r="V38" s="97" t="str">
        <f t="array" ref="V38:V52">Support!$H$169:$H$183</f>
        <v>ABCD</v>
      </c>
      <c r="W38" s="97" t="str">
        <f>IFERROR(__xludf.DUMMYFUNCTION("arrayformula(regexreplace({Support!$P$169:$S$183}, ""3"", """")) "),"A")</f>
        <v>A</v>
      </c>
      <c r="X38" s="97" t="str">
        <f>IFERROR(__xludf.DUMMYFUNCTION("""COMPUTED_VALUE"""),"D")</f>
        <v>D</v>
      </c>
      <c r="Y38" s="97" t="str">
        <f>IFERROR(__xludf.DUMMYFUNCTION("""COMPUTED_VALUE"""),"B")</f>
        <v>B</v>
      </c>
      <c r="Z38" s="97" t="str">
        <f>IFERROR(__xludf.DUMMYFUNCTION("""COMPUTED_VALUE"""),"C")</f>
        <v>C</v>
      </c>
      <c r="AA38" s="6"/>
      <c r="AB38" s="76"/>
      <c r="AC38" s="76"/>
      <c r="AD38" s="76"/>
      <c r="AE38" s="6"/>
      <c r="AF38" s="8"/>
      <c r="AG38" s="6"/>
      <c r="AH38" s="6"/>
      <c r="AI38" s="6"/>
      <c r="AJ38" s="6"/>
      <c r="AK38" s="6"/>
      <c r="AL38" s="6"/>
      <c r="AM38" s="6"/>
      <c r="AN38" s="21"/>
      <c r="AO38" s="22"/>
      <c r="AP38" s="6"/>
      <c r="AQ38" s="6"/>
      <c r="AR38" s="22"/>
      <c r="AS38" s="33"/>
      <c r="AT38" s="43">
        <v>8.0</v>
      </c>
      <c r="AU38" s="52"/>
      <c r="AV38" s="22"/>
      <c r="AW38" s="7"/>
      <c r="AX38" s="7"/>
      <c r="AY38" s="73" t="str">
        <f>IF(OR(AW37 = "", AX37 = "", not(AW37 = AX37)), "", "AET")</f>
        <v/>
      </c>
      <c r="AZ38" s="6"/>
      <c r="BA38" s="6"/>
      <c r="BB38" s="6"/>
      <c r="BC38" s="22"/>
      <c r="BD38" s="6"/>
      <c r="BE38" s="6"/>
      <c r="BF38" s="6"/>
      <c r="BG38" s="6"/>
    </row>
    <row r="39" ht="15.0" customHeight="1">
      <c r="A39" s="14">
        <f>DATETIME(Support!$AJ$1, 6, 17, 17, 0)</f>
        <v>45460.70833</v>
      </c>
      <c r="B39" s="15" t="s">
        <v>38</v>
      </c>
      <c r="C39" s="16">
        <v>1.0</v>
      </c>
      <c r="D39" s="16">
        <v>0.0</v>
      </c>
      <c r="E39" s="17" t="s">
        <v>39</v>
      </c>
      <c r="F39" s="7"/>
      <c r="G39" s="17"/>
      <c r="H39" s="23" t="str">
        <f>IFERROR(__xludf.DUMMYFUNCTION("filter(indirect(""Final""&amp;right(A37)), {1,1,1,1,1,1,1,1,1,1,0,0,0,0,0,0,0,0,0,0,0})"),"")</f>
        <v/>
      </c>
      <c r="I39" s="24" t="str">
        <f>IFERROR(__xludf.DUMMYFUNCTION("""COMPUTED_VALUE"""),"Belgium")</f>
        <v>Belgium</v>
      </c>
      <c r="J39" s="35">
        <f>IFERROR(__xludf.DUMMYFUNCTION("""COMPUTED_VALUE"""),3.0)</f>
        <v>3</v>
      </c>
      <c r="K39" s="36">
        <f>IFERROR(__xludf.DUMMYFUNCTION("""COMPUTED_VALUE"""),2.0)</f>
        <v>2</v>
      </c>
      <c r="L39" s="36">
        <f>IFERROR(__xludf.DUMMYFUNCTION("""COMPUTED_VALUE"""),0.0)</f>
        <v>0</v>
      </c>
      <c r="M39" s="36">
        <f>IFERROR(__xludf.DUMMYFUNCTION("""COMPUTED_VALUE"""),1.0)</f>
        <v>1</v>
      </c>
      <c r="N39" s="36">
        <f>IFERROR(__xludf.DUMMYFUNCTION("""COMPUTED_VALUE"""),2.0)</f>
        <v>2</v>
      </c>
      <c r="O39" s="36">
        <f>IFERROR(__xludf.DUMMYFUNCTION("""COMPUTED_VALUE"""),1.0)</f>
        <v>1</v>
      </c>
      <c r="P39" s="74">
        <f>IFERROR(__xludf.DUMMYFUNCTION("""COMPUTED_VALUE"""),1.0)</f>
        <v>1</v>
      </c>
      <c r="Q39" s="37">
        <f>IFERROR(__xludf.DUMMYFUNCTION("""COMPUTED_VALUE"""),6.0)</f>
        <v>6</v>
      </c>
      <c r="R39" s="7"/>
      <c r="S39" s="5"/>
      <c r="T39" s="6"/>
      <c r="U39" s="6"/>
      <c r="V39" s="97" t="s">
        <v>40</v>
      </c>
      <c r="W39" s="97" t="str">
        <f>IFERROR(__xludf.DUMMYFUNCTION("""COMPUTED_VALUE"""),"A")</f>
        <v>A</v>
      </c>
      <c r="X39" s="97" t="str">
        <f>IFERROR(__xludf.DUMMYFUNCTION("""COMPUTED_VALUE"""),"E")</f>
        <v>E</v>
      </c>
      <c r="Y39" s="97" t="str">
        <f>IFERROR(__xludf.DUMMYFUNCTION("""COMPUTED_VALUE"""),"B")</f>
        <v>B</v>
      </c>
      <c r="Z39" s="97" t="str">
        <f>IFERROR(__xludf.DUMMYFUNCTION("""COMPUTED_VALUE"""),"C")</f>
        <v>C</v>
      </c>
      <c r="AA39" s="6"/>
      <c r="AB39" s="76"/>
      <c r="AC39" s="76"/>
      <c r="AD39" s="76"/>
      <c r="AE39" s="6"/>
      <c r="AF39" s="8"/>
      <c r="AG39" s="77">
        <f>DATETIME(Support!$AJ$1, 6, 30, 17, 0)</f>
        <v>45473.70833</v>
      </c>
      <c r="AH39" s="59"/>
      <c r="AI39" s="59"/>
      <c r="AJ39" s="59"/>
      <c r="AK39" s="59"/>
      <c r="AL39" s="60"/>
      <c r="AM39" s="32">
        <v>0.0</v>
      </c>
      <c r="AN39" s="21"/>
      <c r="AO39" s="22"/>
      <c r="AP39" s="6"/>
      <c r="AQ39" s="6"/>
      <c r="AR39" s="22"/>
      <c r="AS39" s="33"/>
      <c r="AT39" s="43">
        <v>9.0</v>
      </c>
      <c r="AU39" s="52"/>
      <c r="AV39" s="56"/>
      <c r="AW39" s="7"/>
      <c r="AX39" s="7"/>
      <c r="AY39" s="73" t="str">
        <f>if(OR(AW38 = "", AX38 = "", not(AW38 = AX38)), "", "Penalties")</f>
        <v/>
      </c>
      <c r="AZ39" s="6"/>
      <c r="BA39" s="6"/>
      <c r="BB39" s="6"/>
      <c r="BC39" s="22"/>
      <c r="BD39" s="6"/>
      <c r="BE39" s="6"/>
      <c r="BF39" s="6"/>
      <c r="BG39" s="6"/>
    </row>
    <row r="40" ht="15.0" customHeight="1">
      <c r="A40" s="14">
        <f>DATETIME(Support!$AJ$1, 6, 21, 14, 0)</f>
        <v>45464.58333</v>
      </c>
      <c r="B40" s="15" t="s">
        <v>39</v>
      </c>
      <c r="C40" s="16">
        <v>1.0</v>
      </c>
      <c r="D40" s="16">
        <v>0.0</v>
      </c>
      <c r="E40" s="17" t="s">
        <v>37</v>
      </c>
      <c r="F40" s="7"/>
      <c r="G40" s="17"/>
      <c r="H40" s="23" t="str">
        <f>IFERROR(__xludf.DUMMYFUNCTION("""COMPUTED_VALUE"""),"")</f>
        <v/>
      </c>
      <c r="I40" s="24" t="str">
        <f>IFERROR(__xludf.DUMMYFUNCTION("""COMPUTED_VALUE"""),"Slovakia")</f>
        <v>Slovakia</v>
      </c>
      <c r="J40" s="35">
        <f>IFERROR(__xludf.DUMMYFUNCTION("""COMPUTED_VALUE"""),3.0)</f>
        <v>3</v>
      </c>
      <c r="K40" s="36">
        <f>IFERROR(__xludf.DUMMYFUNCTION("""COMPUTED_VALUE"""),2.0)</f>
        <v>2</v>
      </c>
      <c r="L40" s="36">
        <f>IFERROR(__xludf.DUMMYFUNCTION("""COMPUTED_VALUE"""),0.0)</f>
        <v>0</v>
      </c>
      <c r="M40" s="36">
        <f>IFERROR(__xludf.DUMMYFUNCTION("""COMPUTED_VALUE"""),1.0)</f>
        <v>1</v>
      </c>
      <c r="N40" s="36">
        <f>IFERROR(__xludf.DUMMYFUNCTION("""COMPUTED_VALUE"""),2.0)</f>
        <v>2</v>
      </c>
      <c r="O40" s="36">
        <f>IFERROR(__xludf.DUMMYFUNCTION("""COMPUTED_VALUE"""),1.0)</f>
        <v>1</v>
      </c>
      <c r="P40" s="74">
        <f>IFERROR(__xludf.DUMMYFUNCTION("""COMPUTED_VALUE"""),1.0)</f>
        <v>1</v>
      </c>
      <c r="Q40" s="37">
        <f>IFERROR(__xludf.DUMMYFUNCTION("""COMPUTED_VALUE"""),6.0)</f>
        <v>6</v>
      </c>
      <c r="R40" s="7"/>
      <c r="S40" s="5"/>
      <c r="T40" s="6"/>
      <c r="U40" s="6"/>
      <c r="V40" s="97" t="s">
        <v>41</v>
      </c>
      <c r="W40" s="97" t="str">
        <f>IFERROR(__xludf.DUMMYFUNCTION("""COMPUTED_VALUE"""),"A")</f>
        <v>A</v>
      </c>
      <c r="X40" s="97" t="str">
        <f>IFERROR(__xludf.DUMMYFUNCTION("""COMPUTED_VALUE"""),"F")</f>
        <v>F</v>
      </c>
      <c r="Y40" s="97" t="str">
        <f>IFERROR(__xludf.DUMMYFUNCTION("""COMPUTED_VALUE"""),"B")</f>
        <v>B</v>
      </c>
      <c r="Z40" s="97" t="str">
        <f>IFERROR(__xludf.DUMMYFUNCTION("""COMPUTED_VALUE"""),"C")</f>
        <v>C</v>
      </c>
      <c r="AA40" s="6"/>
      <c r="AB40" s="76"/>
      <c r="AC40" s="76"/>
      <c r="AD40" s="76"/>
      <c r="AE40" s="6"/>
      <c r="AF40" s="8"/>
      <c r="AG40" s="78" t="str">
        <f>GROUPQUAL(1, "C")</f>
        <v>Slovenia</v>
      </c>
      <c r="AH40" s="63" t="str">
        <f>FLAG(AH40)</f>
        <v/>
      </c>
      <c r="AI40" s="40">
        <v>1.0</v>
      </c>
      <c r="AJ40" s="40">
        <v>0.0</v>
      </c>
      <c r="AK40" s="46" t="str">
        <f>FLAG(AK40)</f>
        <v/>
      </c>
      <c r="AL40" s="75" t="str">
        <f>THIRD_PLACE(AG40)</f>
        <v>Portugal</v>
      </c>
      <c r="AM40" s="43">
        <v>1.0</v>
      </c>
      <c r="AN40" s="21"/>
      <c r="AO40" s="22"/>
      <c r="AP40" s="6"/>
      <c r="AQ40" s="6"/>
      <c r="AR40" s="22"/>
      <c r="AS40" s="33"/>
      <c r="AT40" s="43">
        <v>10.0</v>
      </c>
      <c r="AU40" s="6"/>
      <c r="AV40" s="22"/>
      <c r="AW40" s="6"/>
      <c r="AX40" s="6"/>
      <c r="AY40" s="22"/>
      <c r="AZ40" s="6"/>
      <c r="BA40" s="6"/>
      <c r="BB40" s="6"/>
      <c r="BC40" s="22"/>
      <c r="BD40" s="6"/>
      <c r="BE40" s="6"/>
      <c r="BF40" s="6"/>
      <c r="BG40" s="6"/>
    </row>
    <row r="41" ht="15.0" customHeight="1">
      <c r="A41" s="14">
        <f>DATETIME(Support!$AJ$1, 6, 22, 20, 0)</f>
        <v>45465.83333</v>
      </c>
      <c r="B41" s="15" t="s">
        <v>38</v>
      </c>
      <c r="C41" s="16">
        <v>1.0</v>
      </c>
      <c r="D41" s="16">
        <v>0.0</v>
      </c>
      <c r="E41" s="17" t="s">
        <v>33</v>
      </c>
      <c r="F41" s="7"/>
      <c r="G41" s="17"/>
      <c r="H41" s="46" t="str">
        <f>IFERROR(__xludf.DUMMYFUNCTION("""COMPUTED_VALUE"""),"")</f>
        <v/>
      </c>
      <c r="I41" s="47" t="str">
        <f>IFERROR(__xludf.DUMMYFUNCTION("""COMPUTED_VALUE"""),"Romania")</f>
        <v>Romania</v>
      </c>
      <c r="J41" s="48">
        <f>IFERROR(__xludf.DUMMYFUNCTION("""COMPUTED_VALUE"""),3.0)</f>
        <v>3</v>
      </c>
      <c r="K41" s="49">
        <f>IFERROR(__xludf.DUMMYFUNCTION("""COMPUTED_VALUE"""),1.0)</f>
        <v>1</v>
      </c>
      <c r="L41" s="49">
        <f>IFERROR(__xludf.DUMMYFUNCTION("""COMPUTED_VALUE"""),0.0)</f>
        <v>0</v>
      </c>
      <c r="M41" s="49">
        <f>IFERROR(__xludf.DUMMYFUNCTION("""COMPUTED_VALUE"""),2.0)</f>
        <v>2</v>
      </c>
      <c r="N41" s="49">
        <f>IFERROR(__xludf.DUMMYFUNCTION("""COMPUTED_VALUE"""),1.0)</f>
        <v>1</v>
      </c>
      <c r="O41" s="49">
        <f>IFERROR(__xludf.DUMMYFUNCTION("""COMPUTED_VALUE"""),2.0)</f>
        <v>2</v>
      </c>
      <c r="P41" s="50">
        <f>IFERROR(__xludf.DUMMYFUNCTION("""COMPUTED_VALUE"""),-1.0)</f>
        <v>-1</v>
      </c>
      <c r="Q41" s="51">
        <f>IFERROR(__xludf.DUMMYFUNCTION("""COMPUTED_VALUE"""),3.0)</f>
        <v>3</v>
      </c>
      <c r="R41" s="7"/>
      <c r="S41" s="5"/>
      <c r="T41" s="6"/>
      <c r="U41" s="6"/>
      <c r="V41" s="97" t="s">
        <v>42</v>
      </c>
      <c r="W41" s="97" t="str">
        <f>IFERROR(__xludf.DUMMYFUNCTION("""COMPUTED_VALUE"""),"D")</f>
        <v>D</v>
      </c>
      <c r="X41" s="97" t="str">
        <f>IFERROR(__xludf.DUMMYFUNCTION("""COMPUTED_VALUE"""),"E")</f>
        <v>E</v>
      </c>
      <c r="Y41" s="97" t="str">
        <f>IFERROR(__xludf.DUMMYFUNCTION("""COMPUTED_VALUE"""),"A")</f>
        <v>A</v>
      </c>
      <c r="Z41" s="97" t="str">
        <f>IFERROR(__xludf.DUMMYFUNCTION("""COMPUTED_VALUE"""),"B")</f>
        <v>B</v>
      </c>
      <c r="AA41" s="6"/>
      <c r="AB41" s="76"/>
      <c r="AC41" s="76"/>
      <c r="AD41" s="76"/>
      <c r="AE41" s="6"/>
      <c r="AF41" s="8"/>
      <c r="AG41" s="52"/>
      <c r="AH41" s="22"/>
      <c r="AI41" s="81"/>
      <c r="AJ41" s="81"/>
      <c r="AK41" s="73" t="str">
        <f>IF(OR(AI40 = "", AJ40 = "", not(AI40 = AJ40)), "", "AET")</f>
        <v/>
      </c>
      <c r="AL41" s="6"/>
      <c r="AM41" s="55">
        <v>2.0</v>
      </c>
      <c r="AN41" s="6"/>
      <c r="AO41" s="6"/>
      <c r="AP41" s="6"/>
      <c r="AQ41" s="6"/>
      <c r="AR41" s="6"/>
      <c r="AS41" s="6"/>
      <c r="AT41" s="43">
        <v>11.0</v>
      </c>
      <c r="AU41" s="6"/>
      <c r="AV41" s="22"/>
      <c r="AW41" s="6"/>
      <c r="AX41" s="6"/>
      <c r="AY41" s="22"/>
      <c r="AZ41" s="6"/>
      <c r="BA41" s="6"/>
      <c r="BB41" s="6"/>
      <c r="BC41" s="22"/>
      <c r="BD41" s="6"/>
      <c r="BE41" s="6"/>
      <c r="BF41" s="6"/>
      <c r="BG41" s="6"/>
    </row>
    <row r="42" ht="15.0" customHeight="1">
      <c r="A42" s="14">
        <f>DATETIME(Support!$AJ$1, 6, 26, 17, 0)</f>
        <v>45469.70833</v>
      </c>
      <c r="B42" s="15" t="s">
        <v>39</v>
      </c>
      <c r="C42" s="16">
        <v>1.0</v>
      </c>
      <c r="D42" s="16">
        <v>0.0</v>
      </c>
      <c r="E42" s="17" t="s">
        <v>33</v>
      </c>
      <c r="F42" s="7" t="str">
        <f>DISPLAY_PENALTIES(1)</f>
        <v/>
      </c>
      <c r="G42" s="17"/>
      <c r="H42" s="46" t="str">
        <f>IFERROR(__xludf.DUMMYFUNCTION("""COMPUTED_VALUE"""),"")</f>
        <v/>
      </c>
      <c r="I42" s="47" t="str">
        <f>IFERROR(__xludf.DUMMYFUNCTION("""COMPUTED_VALUE"""),"Ukraine")</f>
        <v>Ukraine</v>
      </c>
      <c r="J42" s="48">
        <f>IFERROR(__xludf.DUMMYFUNCTION("""COMPUTED_VALUE"""),3.0)</f>
        <v>3</v>
      </c>
      <c r="K42" s="49">
        <f>IFERROR(__xludf.DUMMYFUNCTION("""COMPUTED_VALUE"""),1.0)</f>
        <v>1</v>
      </c>
      <c r="L42" s="49">
        <f>IFERROR(__xludf.DUMMYFUNCTION("""COMPUTED_VALUE"""),0.0)</f>
        <v>0</v>
      </c>
      <c r="M42" s="49">
        <f>IFERROR(__xludf.DUMMYFUNCTION("""COMPUTED_VALUE"""),2.0)</f>
        <v>2</v>
      </c>
      <c r="N42" s="49">
        <f>IFERROR(__xludf.DUMMYFUNCTION("""COMPUTED_VALUE"""),1.0)</f>
        <v>1</v>
      </c>
      <c r="O42" s="49">
        <f>IFERROR(__xludf.DUMMYFUNCTION("""COMPUTED_VALUE"""),2.0)</f>
        <v>2</v>
      </c>
      <c r="P42" s="50">
        <f>IFERROR(__xludf.DUMMYFUNCTION("""COMPUTED_VALUE"""),-1.0)</f>
        <v>-1</v>
      </c>
      <c r="Q42" s="51">
        <f>IFERROR(__xludf.DUMMYFUNCTION("""COMPUTED_VALUE"""),3.0)</f>
        <v>3</v>
      </c>
      <c r="R42" s="7"/>
      <c r="S42" s="6"/>
      <c r="T42" s="76"/>
      <c r="U42" s="76"/>
      <c r="V42" s="97" t="s">
        <v>43</v>
      </c>
      <c r="W42" s="97" t="str">
        <f>IFERROR(__xludf.DUMMYFUNCTION("""COMPUTED_VALUE"""),"D")</f>
        <v>D</v>
      </c>
      <c r="X42" s="97" t="str">
        <f>IFERROR(__xludf.DUMMYFUNCTION("""COMPUTED_VALUE"""),"F")</f>
        <v>F</v>
      </c>
      <c r="Y42" s="97" t="str">
        <f>IFERROR(__xludf.DUMMYFUNCTION("""COMPUTED_VALUE"""),"A")</f>
        <v>A</v>
      </c>
      <c r="Z42" s="97" t="str">
        <f>IFERROR(__xludf.DUMMYFUNCTION("""COMPUTED_VALUE"""),"B")</f>
        <v>B</v>
      </c>
      <c r="AA42" s="6"/>
      <c r="AB42" s="76"/>
      <c r="AC42" s="76"/>
      <c r="AD42" s="76"/>
      <c r="AE42" s="6"/>
      <c r="AF42" s="98"/>
      <c r="AG42" s="52"/>
      <c r="AH42" s="56"/>
      <c r="AI42" s="81"/>
      <c r="AJ42" s="81"/>
      <c r="AK42" s="73" t="str">
        <f>if(OR(AI41 = "", AJ41 = "", not(AI41 = AJ41)), "", "Penalties")</f>
        <v/>
      </c>
      <c r="AL42" s="6"/>
      <c r="AM42" s="43">
        <v>3.0</v>
      </c>
      <c r="AN42" s="58">
        <f>DATETIME(Support!$AJ$1, 7, 6, 17, 0)</f>
        <v>45479.70833</v>
      </c>
      <c r="AO42" s="59"/>
      <c r="AP42" s="59"/>
      <c r="AQ42" s="59"/>
      <c r="AR42" s="59"/>
      <c r="AS42" s="60"/>
      <c r="AT42" s="43">
        <v>12.0</v>
      </c>
      <c r="AU42" s="6"/>
      <c r="AV42" s="22"/>
      <c r="AW42" s="6"/>
      <c r="AX42" s="6"/>
      <c r="AY42" s="22"/>
      <c r="AZ42" s="6"/>
      <c r="BA42" s="6"/>
      <c r="BB42" s="6"/>
      <c r="BC42" s="22"/>
      <c r="BD42" s="6"/>
      <c r="BE42" s="6"/>
      <c r="BF42" s="6"/>
      <c r="BG42" s="6"/>
    </row>
    <row r="43" ht="15.0" customHeight="1">
      <c r="A43" s="14">
        <f>DATETIME(Support!$AJ$1, 6, 26, 17, 0)</f>
        <v>45469.70833</v>
      </c>
      <c r="B43" s="15" t="s">
        <v>37</v>
      </c>
      <c r="C43" s="16">
        <v>1.0</v>
      </c>
      <c r="D43" s="16">
        <v>0.0</v>
      </c>
      <c r="E43" s="17" t="s">
        <v>38</v>
      </c>
      <c r="F43" s="7" t="str">
        <f>DISPLAY_PENALTIES(2)</f>
        <v/>
      </c>
      <c r="G43" s="17"/>
      <c r="H43" s="61" t="str">
        <f>Support!AC116</f>
        <v/>
      </c>
      <c r="R43" s="22"/>
      <c r="S43" s="6"/>
      <c r="T43" s="76"/>
      <c r="U43" s="76"/>
      <c r="V43" s="97" t="s">
        <v>44</v>
      </c>
      <c r="W43" s="97" t="str">
        <f>IFERROR(__xludf.DUMMYFUNCTION("""COMPUTED_VALUE"""),"E")</f>
        <v>E</v>
      </c>
      <c r="X43" s="97" t="str">
        <f>IFERROR(__xludf.DUMMYFUNCTION("""COMPUTED_VALUE"""),"F")</f>
        <v>F</v>
      </c>
      <c r="Y43" s="97" t="str">
        <f>IFERROR(__xludf.DUMMYFUNCTION("""COMPUTED_VALUE"""),"B")</f>
        <v>B</v>
      </c>
      <c r="Z43" s="97" t="str">
        <f>IFERROR(__xludf.DUMMYFUNCTION("""COMPUTED_VALUE"""),"A")</f>
        <v>A</v>
      </c>
      <c r="AA43" s="6"/>
      <c r="AB43" s="76"/>
      <c r="AC43" s="76"/>
      <c r="AD43" s="76"/>
      <c r="AE43" s="6"/>
      <c r="AF43" s="98"/>
      <c r="AG43" s="6"/>
      <c r="AH43" s="22"/>
      <c r="AI43" s="22"/>
      <c r="AJ43" s="22"/>
      <c r="AK43" s="22"/>
      <c r="AL43" s="6"/>
      <c r="AM43" s="43">
        <v>4.0</v>
      </c>
      <c r="AN43" s="62" t="str">
        <f>KNOCKOUT(AO43, AN43)</f>
        <v>Slovenia</v>
      </c>
      <c r="AO43" s="63" t="str">
        <f>FLAG(AO43)</f>
        <v/>
      </c>
      <c r="AP43" s="16"/>
      <c r="AQ43" s="16"/>
      <c r="AR43" s="46" t="str">
        <f>FLAG(AR43)</f>
        <v/>
      </c>
      <c r="AS43" s="64" t="str">
        <f>KNOCKOUT(AT43, AS43)</f>
        <v/>
      </c>
      <c r="AT43" s="72">
        <v>13.0</v>
      </c>
      <c r="AU43" s="6"/>
      <c r="AV43" s="22"/>
      <c r="AW43" s="6"/>
      <c r="AX43" s="6"/>
      <c r="AY43" s="22"/>
      <c r="AZ43" s="6"/>
      <c r="BA43" s="6"/>
      <c r="BB43" s="6"/>
      <c r="BC43" s="22"/>
      <c r="BD43" s="6"/>
      <c r="BE43" s="6"/>
      <c r="BF43" s="6"/>
      <c r="BG43" s="6"/>
    </row>
    <row r="44" ht="15.0" customHeight="1">
      <c r="A44" s="94"/>
      <c r="B44" s="79"/>
      <c r="C44" s="66"/>
      <c r="D44" s="67"/>
      <c r="E44" s="68"/>
      <c r="F44" s="66"/>
      <c r="G44" s="66"/>
      <c r="R44" s="22"/>
      <c r="S44" s="6"/>
      <c r="T44" s="76"/>
      <c r="U44" s="76"/>
      <c r="V44" s="97" t="s">
        <v>45</v>
      </c>
      <c r="W44" s="97" t="str">
        <f>IFERROR(__xludf.DUMMYFUNCTION("""COMPUTED_VALUE"""),"E")</f>
        <v>E</v>
      </c>
      <c r="X44" s="97" t="str">
        <f>IFERROR(__xludf.DUMMYFUNCTION("""COMPUTED_VALUE"""),"D")</f>
        <v>D</v>
      </c>
      <c r="Y44" s="97" t="str">
        <f>IFERROR(__xludf.DUMMYFUNCTION("""COMPUTED_VALUE"""),"C")</f>
        <v>C</v>
      </c>
      <c r="Z44" s="97" t="str">
        <f>IFERROR(__xludf.DUMMYFUNCTION("""COMPUTED_VALUE"""),"A")</f>
        <v>A</v>
      </c>
      <c r="AA44" s="6"/>
      <c r="AB44" s="76"/>
      <c r="AC44" s="76"/>
      <c r="AD44" s="76"/>
      <c r="AE44" s="6"/>
      <c r="AF44" s="98"/>
      <c r="AG44" s="6"/>
      <c r="AH44" s="6"/>
      <c r="AI44" s="6"/>
      <c r="AJ44" s="6"/>
      <c r="AK44" s="6"/>
      <c r="AL44" s="6"/>
      <c r="AM44" s="43">
        <v>5.0</v>
      </c>
      <c r="AN44" s="69"/>
      <c r="AO44" s="22"/>
      <c r="AP44" s="81"/>
      <c r="AQ44" s="81"/>
      <c r="AR44" s="17" t="str">
        <f>IF(OR(AP43 = "", AQ43 = "", not(AP43 = AQ43)), "", "AET")</f>
        <v/>
      </c>
      <c r="AS44" s="33"/>
      <c r="AT44" s="6"/>
      <c r="AU44" s="6"/>
      <c r="AV44" s="22"/>
      <c r="AW44" s="6"/>
      <c r="AX44" s="6"/>
      <c r="AY44" s="22"/>
      <c r="AZ44" s="6"/>
      <c r="BA44" s="6"/>
      <c r="BB44" s="6"/>
      <c r="BC44" s="22"/>
      <c r="BD44" s="6"/>
      <c r="BE44" s="6"/>
      <c r="BF44" s="6"/>
      <c r="BG44" s="6"/>
    </row>
    <row r="45" ht="15.0" customHeight="1">
      <c r="A45" s="70"/>
      <c r="B45" s="70"/>
      <c r="C45" s="71"/>
      <c r="D45" s="71"/>
      <c r="E45" s="70"/>
      <c r="F45" s="70"/>
      <c r="G45" s="70"/>
      <c r="R45" s="22"/>
      <c r="S45" s="6"/>
      <c r="T45" s="6"/>
      <c r="U45" s="6"/>
      <c r="V45" s="97" t="s">
        <v>46</v>
      </c>
      <c r="W45" s="97" t="str">
        <f>IFERROR(__xludf.DUMMYFUNCTION("""COMPUTED_VALUE"""),"F")</f>
        <v>F</v>
      </c>
      <c r="X45" s="97" t="str">
        <f>IFERROR(__xludf.DUMMYFUNCTION("""COMPUTED_VALUE"""),"D")</f>
        <v>D</v>
      </c>
      <c r="Y45" s="97" t="str">
        <f>IFERROR(__xludf.DUMMYFUNCTION("""COMPUTED_VALUE"""),"C")</f>
        <v>C</v>
      </c>
      <c r="Z45" s="97" t="str">
        <f>IFERROR(__xludf.DUMMYFUNCTION("""COMPUTED_VALUE"""),"A")</f>
        <v>A</v>
      </c>
      <c r="AA45" s="6"/>
      <c r="AB45" s="76"/>
      <c r="AC45" s="76"/>
      <c r="AD45" s="76"/>
      <c r="AE45" s="6"/>
      <c r="AF45" s="98"/>
      <c r="AG45" s="77">
        <f>DATETIME(Support!$AJ$1, 6, 29, 17, 0)</f>
        <v>45472.70833</v>
      </c>
      <c r="AH45" s="59"/>
      <c r="AI45" s="59"/>
      <c r="AJ45" s="59"/>
      <c r="AK45" s="59"/>
      <c r="AL45" s="60"/>
      <c r="AM45" s="43">
        <v>6.0</v>
      </c>
      <c r="AN45" s="69"/>
      <c r="AO45" s="56"/>
      <c r="AP45" s="81"/>
      <c r="AQ45" s="81"/>
      <c r="AR45" s="17" t="str">
        <f>if(OR(AP44 = "", AQ44 = "", not(AP44 = AQ44)), "", "Penalties")</f>
        <v/>
      </c>
      <c r="AS45" s="33"/>
      <c r="AT45" s="6"/>
      <c r="AU45" s="6"/>
      <c r="AV45" s="22"/>
      <c r="AW45" s="6"/>
      <c r="AX45" s="6"/>
      <c r="AY45" s="22"/>
      <c r="AZ45" s="6"/>
      <c r="BA45" s="22"/>
      <c r="BB45" s="6"/>
      <c r="BC45" s="22"/>
      <c r="BD45" s="6"/>
      <c r="BE45" s="6"/>
      <c r="BF45" s="6"/>
      <c r="BG45" s="6"/>
    </row>
    <row r="46" ht="15.0" customHeight="1">
      <c r="A46" s="1" t="str">
        <f>"Group "&amp;char(code(right(A37)) + 1)</f>
        <v>Group F</v>
      </c>
      <c r="B46" s="2"/>
      <c r="C46" s="2"/>
      <c r="D46" s="2"/>
      <c r="E46" s="2"/>
      <c r="F46" s="2"/>
      <c r="G46" s="2"/>
      <c r="H46" s="2"/>
      <c r="I46" s="2"/>
      <c r="J46" s="2"/>
      <c r="K46" s="2"/>
      <c r="L46" s="2"/>
      <c r="M46" s="2"/>
      <c r="N46" s="2"/>
      <c r="O46" s="2"/>
      <c r="P46" s="2"/>
      <c r="Q46" s="3"/>
      <c r="R46" s="22"/>
      <c r="S46" s="6"/>
      <c r="T46" s="73"/>
      <c r="U46" s="73"/>
      <c r="V46" s="97" t="s">
        <v>47</v>
      </c>
      <c r="W46" s="97" t="str">
        <f>IFERROR(__xludf.DUMMYFUNCTION("""COMPUTED_VALUE"""),"E")</f>
        <v>E</v>
      </c>
      <c r="X46" s="97" t="str">
        <f>IFERROR(__xludf.DUMMYFUNCTION("""COMPUTED_VALUE"""),"F")</f>
        <v>F</v>
      </c>
      <c r="Y46" s="97" t="str">
        <f>IFERROR(__xludf.DUMMYFUNCTION("""COMPUTED_VALUE"""),"C")</f>
        <v>C</v>
      </c>
      <c r="Z46" s="97" t="str">
        <f>IFERROR(__xludf.DUMMYFUNCTION("""COMPUTED_VALUE"""),"A")</f>
        <v>A</v>
      </c>
      <c r="AA46" s="6"/>
      <c r="AB46" s="76"/>
      <c r="AC46" s="76"/>
      <c r="AD46" s="76"/>
      <c r="AE46" s="6"/>
      <c r="AF46" s="98"/>
      <c r="AG46" s="78" t="str">
        <f>GROUPQUAL(2, "A")</f>
        <v>Hungary</v>
      </c>
      <c r="AH46" s="63" t="str">
        <f>FLAG(AH46)</f>
        <v/>
      </c>
      <c r="AI46" s="16"/>
      <c r="AJ46" s="16"/>
      <c r="AK46" s="46" t="str">
        <f>FLAG(AK46)</f>
        <v/>
      </c>
      <c r="AL46" s="75" t="str">
        <f>GROUPQUAL(2, "B")</f>
        <v>Croatia</v>
      </c>
      <c r="AM46" s="72">
        <v>7.0</v>
      </c>
      <c r="AN46" s="21"/>
      <c r="AO46" s="22"/>
      <c r="AP46" s="6"/>
      <c r="AQ46" s="6"/>
      <c r="AR46" s="22"/>
      <c r="AS46" s="33"/>
      <c r="AT46" s="6"/>
      <c r="AU46" s="6"/>
      <c r="AV46" s="22"/>
      <c r="AW46" s="6"/>
      <c r="AX46" s="6"/>
      <c r="AY46" s="22"/>
      <c r="AZ46" s="6"/>
      <c r="BA46" s="22"/>
      <c r="BB46" s="6"/>
      <c r="BC46" s="22"/>
      <c r="BD46" s="6"/>
      <c r="BE46" s="6"/>
      <c r="BF46" s="6"/>
      <c r="BG46" s="6"/>
    </row>
    <row r="47" ht="15.0" customHeight="1">
      <c r="A47" s="14">
        <f>DATETIME(Support!$AJ$1, 6, 18, 17, 0)</f>
        <v>45461.70833</v>
      </c>
      <c r="B47" s="15" t="s">
        <v>48</v>
      </c>
      <c r="C47" s="16">
        <v>1.0</v>
      </c>
      <c r="D47" s="16">
        <v>0.0</v>
      </c>
      <c r="E47" s="17" t="s">
        <v>49</v>
      </c>
      <c r="F47" s="7"/>
      <c r="G47" s="17"/>
      <c r="H47" s="18" t="str">
        <f t="array" ref="H47:Q47">$H$2:$Q$2</f>
        <v>Team</v>
      </c>
      <c r="I47" s="3"/>
      <c r="J47" s="19" t="s">
        <v>7</v>
      </c>
      <c r="K47" s="20" t="s">
        <v>8</v>
      </c>
      <c r="L47" s="20" t="s">
        <v>9</v>
      </c>
      <c r="M47" s="20" t="s">
        <v>10</v>
      </c>
      <c r="N47" s="19" t="s">
        <v>11</v>
      </c>
      <c r="O47" s="19" t="s">
        <v>12</v>
      </c>
      <c r="P47" s="20" t="s">
        <v>13</v>
      </c>
      <c r="Q47" s="19" t="s">
        <v>14</v>
      </c>
      <c r="R47" s="22"/>
      <c r="S47" s="6"/>
      <c r="T47" s="6"/>
      <c r="U47" s="6"/>
      <c r="V47" s="97" t="s">
        <v>50</v>
      </c>
      <c r="W47" s="97" t="str">
        <f>IFERROR(__xludf.DUMMYFUNCTION("""COMPUTED_VALUE"""),"E")</f>
        <v>E</v>
      </c>
      <c r="X47" s="97" t="str">
        <f>IFERROR(__xludf.DUMMYFUNCTION("""COMPUTED_VALUE"""),"F")</f>
        <v>F</v>
      </c>
      <c r="Y47" s="97" t="str">
        <f>IFERROR(__xludf.DUMMYFUNCTION("""COMPUTED_VALUE"""),"D")</f>
        <v>D</v>
      </c>
      <c r="Z47" s="97" t="str">
        <f>IFERROR(__xludf.DUMMYFUNCTION("""COMPUTED_VALUE"""),"A")</f>
        <v>A</v>
      </c>
      <c r="AA47" s="6"/>
      <c r="AB47" s="76"/>
      <c r="AC47" s="76"/>
      <c r="AD47" s="76"/>
      <c r="AE47" s="6"/>
      <c r="AF47" s="98"/>
      <c r="AG47" s="52"/>
      <c r="AH47" s="22"/>
      <c r="AI47" s="81"/>
      <c r="AJ47" s="81"/>
      <c r="AK47" s="73" t="str">
        <f>IF(OR(AI46 = "", AJ46 = "", not(AI46 = AJ46)), "", "AET")</f>
        <v/>
      </c>
      <c r="AL47" s="6"/>
      <c r="AM47" s="6"/>
      <c r="AN47" s="21"/>
      <c r="AO47" s="22"/>
      <c r="AP47" s="6"/>
      <c r="AQ47" s="6"/>
      <c r="AR47" s="22"/>
      <c r="AS47" s="33"/>
      <c r="AT47" s="6"/>
      <c r="AU47" s="6"/>
      <c r="AV47" s="22"/>
      <c r="AW47" s="6"/>
      <c r="AX47" s="6"/>
      <c r="AY47" s="22"/>
      <c r="AZ47" s="6"/>
      <c r="BA47" s="6"/>
      <c r="BB47" s="6"/>
      <c r="BC47" s="22"/>
      <c r="BD47" s="6"/>
      <c r="BE47" s="6"/>
      <c r="BF47" s="6"/>
      <c r="BG47" s="6"/>
    </row>
    <row r="48" ht="15.0" customHeight="1">
      <c r="A48" s="14">
        <f>DATETIME(Support!$AJ$1, 6, 18, 20, 0)</f>
        <v>45461.83333</v>
      </c>
      <c r="B48" s="15" t="s">
        <v>29</v>
      </c>
      <c r="C48" s="16">
        <v>1.0</v>
      </c>
      <c r="D48" s="16">
        <v>0.0</v>
      </c>
      <c r="E48" s="17" t="s">
        <v>51</v>
      </c>
      <c r="F48" s="7"/>
      <c r="G48" s="17"/>
      <c r="H48" s="23" t="str">
        <f>IFERROR(__xludf.DUMMYFUNCTION("filter(indirect(""Final""&amp;right(A46)), {1,1,1,1,1,1,1,1,1,1,0,0,0,0,0,0,0,0,0,0,0})"),"")</f>
        <v/>
      </c>
      <c r="I48" s="24" t="str">
        <f>IFERROR(__xludf.DUMMYFUNCTION("""COMPUTED_VALUE"""),"Türkiye")</f>
        <v>Türkiye</v>
      </c>
      <c r="J48" s="35">
        <f>IFERROR(__xludf.DUMMYFUNCTION("""COMPUTED_VALUE"""),3.0)</f>
        <v>3</v>
      </c>
      <c r="K48" s="36">
        <f>IFERROR(__xludf.DUMMYFUNCTION("""COMPUTED_VALUE"""),2.0)</f>
        <v>2</v>
      </c>
      <c r="L48" s="36">
        <f>IFERROR(__xludf.DUMMYFUNCTION("""COMPUTED_VALUE"""),0.0)</f>
        <v>0</v>
      </c>
      <c r="M48" s="36">
        <f>IFERROR(__xludf.DUMMYFUNCTION("""COMPUTED_VALUE"""),1.0)</f>
        <v>1</v>
      </c>
      <c r="N48" s="36">
        <f>IFERROR(__xludf.DUMMYFUNCTION("""COMPUTED_VALUE"""),2.0)</f>
        <v>2</v>
      </c>
      <c r="O48" s="36">
        <f>IFERROR(__xludf.DUMMYFUNCTION("""COMPUTED_VALUE"""),1.0)</f>
        <v>1</v>
      </c>
      <c r="P48" s="74">
        <f>IFERROR(__xludf.DUMMYFUNCTION("""COMPUTED_VALUE"""),1.0)</f>
        <v>1</v>
      </c>
      <c r="Q48" s="37">
        <f>IFERROR(__xludf.DUMMYFUNCTION("""COMPUTED_VALUE"""),6.0)</f>
        <v>6</v>
      </c>
      <c r="R48" s="7"/>
      <c r="S48" s="6"/>
      <c r="T48" s="6"/>
      <c r="U48" s="6"/>
      <c r="V48" s="97" t="s">
        <v>52</v>
      </c>
      <c r="W48" s="97" t="str">
        <f>IFERROR(__xludf.DUMMYFUNCTION("""COMPUTED_VALUE"""),"E")</f>
        <v>E</v>
      </c>
      <c r="X48" s="97" t="str">
        <f>IFERROR(__xludf.DUMMYFUNCTION("""COMPUTED_VALUE"""),"D")</f>
        <v>D</v>
      </c>
      <c r="Y48" s="97" t="str">
        <f>IFERROR(__xludf.DUMMYFUNCTION("""COMPUTED_VALUE"""),"B")</f>
        <v>B</v>
      </c>
      <c r="Z48" s="97" t="str">
        <f>IFERROR(__xludf.DUMMYFUNCTION("""COMPUTED_VALUE"""),"C")</f>
        <v>C</v>
      </c>
      <c r="AA48" s="6"/>
      <c r="AB48" s="76"/>
      <c r="AC48" s="76"/>
      <c r="AD48" s="76"/>
      <c r="AE48" s="6"/>
      <c r="AF48" s="98"/>
      <c r="AG48" s="6"/>
      <c r="AH48" s="22"/>
      <c r="AI48" s="7"/>
      <c r="AJ48" s="7"/>
      <c r="AK48" s="73" t="str">
        <f>if(OR(AI47 = "", AJ47 = "", not(AI47 = AJ47)), "", "Penalties")</f>
        <v/>
      </c>
      <c r="AL48" s="6"/>
      <c r="AM48" s="6"/>
      <c r="AN48" s="21"/>
      <c r="AO48" s="22"/>
      <c r="AP48" s="6"/>
      <c r="AQ48" s="6"/>
      <c r="AR48" s="22"/>
      <c r="AS48" s="33"/>
      <c r="AT48" s="6"/>
      <c r="AU48" s="6"/>
      <c r="AV48" s="56"/>
      <c r="AW48" s="6"/>
      <c r="AX48" s="6"/>
      <c r="AY48" s="22"/>
      <c r="AZ48" s="6"/>
      <c r="BA48" s="6"/>
      <c r="BB48" s="6"/>
      <c r="BC48" s="22"/>
      <c r="BD48" s="6"/>
      <c r="BE48" s="6"/>
      <c r="BF48" s="6"/>
      <c r="BG48" s="6"/>
    </row>
    <row r="49" ht="15.0" customHeight="1">
      <c r="A49" s="14">
        <f>DATETIME(Support!$AJ$1, 6, 22, 14, 0)</f>
        <v>45465.58333</v>
      </c>
      <c r="B49" s="15" t="s">
        <v>49</v>
      </c>
      <c r="C49" s="16">
        <v>1.0</v>
      </c>
      <c r="D49" s="16">
        <v>0.0</v>
      </c>
      <c r="E49" s="17" t="s">
        <v>51</v>
      </c>
      <c r="F49" s="7"/>
      <c r="G49" s="17"/>
      <c r="H49" s="23" t="str">
        <f>IFERROR(__xludf.DUMMYFUNCTION("""COMPUTED_VALUE"""),"")</f>
        <v/>
      </c>
      <c r="I49" s="24" t="str">
        <f>IFERROR(__xludf.DUMMYFUNCTION("""COMPUTED_VALUE"""),"Georgia")</f>
        <v>Georgia</v>
      </c>
      <c r="J49" s="35">
        <f>IFERROR(__xludf.DUMMYFUNCTION("""COMPUTED_VALUE"""),3.0)</f>
        <v>3</v>
      </c>
      <c r="K49" s="36">
        <f>IFERROR(__xludf.DUMMYFUNCTION("""COMPUTED_VALUE"""),2.0)</f>
        <v>2</v>
      </c>
      <c r="L49" s="36">
        <f>IFERROR(__xludf.DUMMYFUNCTION("""COMPUTED_VALUE"""),0.0)</f>
        <v>0</v>
      </c>
      <c r="M49" s="36">
        <f>IFERROR(__xludf.DUMMYFUNCTION("""COMPUTED_VALUE"""),1.0)</f>
        <v>1</v>
      </c>
      <c r="N49" s="36">
        <f>IFERROR(__xludf.DUMMYFUNCTION("""COMPUTED_VALUE"""),2.0)</f>
        <v>2</v>
      </c>
      <c r="O49" s="36">
        <f>IFERROR(__xludf.DUMMYFUNCTION("""COMPUTED_VALUE"""),1.0)</f>
        <v>1</v>
      </c>
      <c r="P49" s="74">
        <f>IFERROR(__xludf.DUMMYFUNCTION("""COMPUTED_VALUE"""),1.0)</f>
        <v>1</v>
      </c>
      <c r="Q49" s="37">
        <f>IFERROR(__xludf.DUMMYFUNCTION("""COMPUTED_VALUE"""),6.0)</f>
        <v>6</v>
      </c>
      <c r="R49" s="7"/>
      <c r="S49" s="6"/>
      <c r="T49" s="6"/>
      <c r="U49" s="6"/>
      <c r="V49" s="97" t="s">
        <v>53</v>
      </c>
      <c r="W49" s="97" t="str">
        <f>IFERROR(__xludf.DUMMYFUNCTION("""COMPUTED_VALUE"""),"F")</f>
        <v>F</v>
      </c>
      <c r="X49" s="97" t="str">
        <f>IFERROR(__xludf.DUMMYFUNCTION("""COMPUTED_VALUE"""),"D")</f>
        <v>D</v>
      </c>
      <c r="Y49" s="97" t="str">
        <f>IFERROR(__xludf.DUMMYFUNCTION("""COMPUTED_VALUE"""),"C")</f>
        <v>C</v>
      </c>
      <c r="Z49" s="97" t="str">
        <f>IFERROR(__xludf.DUMMYFUNCTION("""COMPUTED_VALUE"""),"B")</f>
        <v>B</v>
      </c>
      <c r="AA49" s="6"/>
      <c r="AB49" s="76"/>
      <c r="AC49" s="76"/>
      <c r="AD49" s="76"/>
      <c r="AE49" s="6"/>
      <c r="AF49" s="98"/>
      <c r="AG49" s="6"/>
      <c r="AH49" s="56"/>
      <c r="AI49" s="22"/>
      <c r="AJ49" s="22"/>
      <c r="AK49" s="56"/>
      <c r="AL49" s="6"/>
      <c r="AM49" s="6"/>
      <c r="AN49" s="21"/>
      <c r="AO49" s="56"/>
      <c r="AP49" s="6"/>
      <c r="AQ49" s="6"/>
      <c r="AR49" s="22"/>
      <c r="AS49" s="33"/>
      <c r="AT49" s="6"/>
      <c r="AU49" s="6"/>
      <c r="AV49" s="56"/>
      <c r="AW49" s="6"/>
      <c r="AX49" s="6"/>
      <c r="AY49" s="22"/>
      <c r="AZ49" s="6"/>
      <c r="BA49" s="6"/>
      <c r="BB49" s="6"/>
      <c r="BC49" s="22"/>
      <c r="BD49" s="6"/>
      <c r="BE49" s="6"/>
      <c r="BF49" s="6"/>
      <c r="BG49" s="52"/>
    </row>
    <row r="50" ht="15.0" customHeight="1">
      <c r="A50" s="14">
        <f>DATETIME(Support!$AJ$1, 6, 22, 17, 0)</f>
        <v>45465.70833</v>
      </c>
      <c r="B50" s="15" t="s">
        <v>48</v>
      </c>
      <c r="C50" s="16">
        <v>1.0</v>
      </c>
      <c r="D50" s="16">
        <v>0.0</v>
      </c>
      <c r="E50" s="17" t="s">
        <v>29</v>
      </c>
      <c r="F50" s="7"/>
      <c r="G50" s="17"/>
      <c r="H50" s="46" t="str">
        <f>IFERROR(__xludf.DUMMYFUNCTION("""COMPUTED_VALUE"""),"")</f>
        <v/>
      </c>
      <c r="I50" s="47" t="str">
        <f>IFERROR(__xludf.DUMMYFUNCTION("""COMPUTED_VALUE"""),"Portugal")</f>
        <v>Portugal</v>
      </c>
      <c r="J50" s="48">
        <f>IFERROR(__xludf.DUMMYFUNCTION("""COMPUTED_VALUE"""),3.0)</f>
        <v>3</v>
      </c>
      <c r="K50" s="49">
        <f>IFERROR(__xludf.DUMMYFUNCTION("""COMPUTED_VALUE"""),1.0)</f>
        <v>1</v>
      </c>
      <c r="L50" s="49">
        <f>IFERROR(__xludf.DUMMYFUNCTION("""COMPUTED_VALUE"""),0.0)</f>
        <v>0</v>
      </c>
      <c r="M50" s="49">
        <f>IFERROR(__xludf.DUMMYFUNCTION("""COMPUTED_VALUE"""),2.0)</f>
        <v>2</v>
      </c>
      <c r="N50" s="49">
        <f>IFERROR(__xludf.DUMMYFUNCTION("""COMPUTED_VALUE"""),1.0)</f>
        <v>1</v>
      </c>
      <c r="O50" s="49">
        <f>IFERROR(__xludf.DUMMYFUNCTION("""COMPUTED_VALUE"""),2.0)</f>
        <v>2</v>
      </c>
      <c r="P50" s="50">
        <f>IFERROR(__xludf.DUMMYFUNCTION("""COMPUTED_VALUE"""),-1.0)</f>
        <v>-1</v>
      </c>
      <c r="Q50" s="51">
        <f>IFERROR(__xludf.DUMMYFUNCTION("""COMPUTED_VALUE"""),3.0)</f>
        <v>3</v>
      </c>
      <c r="R50" s="7"/>
      <c r="S50" s="6"/>
      <c r="T50" s="6"/>
      <c r="U50" s="6"/>
      <c r="V50" s="97" t="s">
        <v>54</v>
      </c>
      <c r="W50" s="97" t="str">
        <f>IFERROR(__xludf.DUMMYFUNCTION("""COMPUTED_VALUE"""),"F")</f>
        <v>F</v>
      </c>
      <c r="X50" s="97" t="str">
        <f>IFERROR(__xludf.DUMMYFUNCTION("""COMPUTED_VALUE"""),"E")</f>
        <v>E</v>
      </c>
      <c r="Y50" s="97" t="str">
        <f>IFERROR(__xludf.DUMMYFUNCTION("""COMPUTED_VALUE"""),"C")</f>
        <v>C</v>
      </c>
      <c r="Z50" s="97" t="str">
        <f>IFERROR(__xludf.DUMMYFUNCTION("""COMPUTED_VALUE"""),"B")</f>
        <v>B</v>
      </c>
      <c r="AA50" s="6"/>
      <c r="AB50" s="76"/>
      <c r="AC50" s="76"/>
      <c r="AD50" s="76"/>
      <c r="AE50" s="6"/>
      <c r="AF50" s="98"/>
      <c r="AG50" s="6"/>
      <c r="AH50" s="56"/>
      <c r="AI50" s="22"/>
      <c r="AJ50" s="22"/>
      <c r="AK50" s="56"/>
      <c r="AL50" s="6"/>
      <c r="AM50" s="6"/>
      <c r="AN50" s="21"/>
      <c r="AO50" s="56"/>
      <c r="AP50" s="6"/>
      <c r="AQ50" s="6"/>
      <c r="AR50" s="22"/>
      <c r="AS50" s="33"/>
      <c r="AT50" s="6"/>
      <c r="AU50" s="6"/>
      <c r="AV50" s="56"/>
      <c r="AW50" s="6"/>
      <c r="AX50" s="6"/>
      <c r="AY50" s="22"/>
      <c r="AZ50" s="6"/>
      <c r="BA50" s="6"/>
      <c r="BB50" s="6"/>
      <c r="BC50" s="22"/>
      <c r="BD50" s="6"/>
      <c r="BE50" s="6"/>
      <c r="BF50" s="6"/>
      <c r="BG50" s="52"/>
    </row>
    <row r="51" ht="15.0" customHeight="1">
      <c r="A51" s="14">
        <f>DATETIME(Support!$AJ$1, 6, 26, 20, 0)</f>
        <v>45469.83333</v>
      </c>
      <c r="B51" s="15" t="s">
        <v>49</v>
      </c>
      <c r="C51" s="16">
        <v>1.0</v>
      </c>
      <c r="D51" s="16">
        <v>0.0</v>
      </c>
      <c r="E51" s="17" t="s">
        <v>29</v>
      </c>
      <c r="F51" s="7" t="str">
        <f>DISPLAY_PENALTIES(1)</f>
        <v/>
      </c>
      <c r="G51" s="17"/>
      <c r="H51" s="46" t="str">
        <f>IFERROR(__xludf.DUMMYFUNCTION("""COMPUTED_VALUE"""),"")</f>
        <v/>
      </c>
      <c r="I51" s="47" t="str">
        <f>IFERROR(__xludf.DUMMYFUNCTION("""COMPUTED_VALUE"""),"Czechia")</f>
        <v>Czechia</v>
      </c>
      <c r="J51" s="48">
        <f>IFERROR(__xludf.DUMMYFUNCTION("""COMPUTED_VALUE"""),3.0)</f>
        <v>3</v>
      </c>
      <c r="K51" s="49">
        <f>IFERROR(__xludf.DUMMYFUNCTION("""COMPUTED_VALUE"""),1.0)</f>
        <v>1</v>
      </c>
      <c r="L51" s="49">
        <f>IFERROR(__xludf.DUMMYFUNCTION("""COMPUTED_VALUE"""),0.0)</f>
        <v>0</v>
      </c>
      <c r="M51" s="49">
        <f>IFERROR(__xludf.DUMMYFUNCTION("""COMPUTED_VALUE"""),2.0)</f>
        <v>2</v>
      </c>
      <c r="N51" s="49">
        <f>IFERROR(__xludf.DUMMYFUNCTION("""COMPUTED_VALUE"""),1.0)</f>
        <v>1</v>
      </c>
      <c r="O51" s="49">
        <f>IFERROR(__xludf.DUMMYFUNCTION("""COMPUTED_VALUE"""),2.0)</f>
        <v>2</v>
      </c>
      <c r="P51" s="50">
        <f>IFERROR(__xludf.DUMMYFUNCTION("""COMPUTED_VALUE"""),-1.0)</f>
        <v>-1</v>
      </c>
      <c r="Q51" s="51">
        <f>IFERROR(__xludf.DUMMYFUNCTION("""COMPUTED_VALUE"""),3.0)</f>
        <v>3</v>
      </c>
      <c r="R51" s="7"/>
      <c r="S51" s="6"/>
      <c r="T51" s="99"/>
      <c r="U51" s="99"/>
      <c r="V51" s="97" t="s">
        <v>55</v>
      </c>
      <c r="W51" s="97" t="str">
        <f>IFERROR(__xludf.DUMMYFUNCTION("""COMPUTED_VALUE"""),"F")</f>
        <v>F</v>
      </c>
      <c r="X51" s="97" t="str">
        <f>IFERROR(__xludf.DUMMYFUNCTION("""COMPUTED_VALUE"""),"E")</f>
        <v>E</v>
      </c>
      <c r="Y51" s="97" t="str">
        <f>IFERROR(__xludf.DUMMYFUNCTION("""COMPUTED_VALUE"""),"D")</f>
        <v>D</v>
      </c>
      <c r="Z51" s="97" t="str">
        <f>IFERROR(__xludf.DUMMYFUNCTION("""COMPUTED_VALUE"""),"B")</f>
        <v>B</v>
      </c>
      <c r="AA51" s="6"/>
      <c r="AB51" s="99"/>
      <c r="AC51" s="99"/>
      <c r="AD51" s="99"/>
      <c r="AE51" s="6"/>
      <c r="AF51" s="98"/>
      <c r="AG51" s="6"/>
      <c r="AH51" s="56"/>
      <c r="AI51" s="22"/>
      <c r="AJ51" s="22"/>
      <c r="AK51" s="56"/>
      <c r="AL51" s="6"/>
      <c r="AM51" s="6"/>
      <c r="AN51" s="21"/>
      <c r="AO51" s="56"/>
      <c r="AP51" s="6"/>
      <c r="AQ51" s="6"/>
      <c r="AR51" s="22"/>
      <c r="AS51" s="33"/>
      <c r="AT51" s="6"/>
      <c r="AU51" s="6"/>
      <c r="AV51" s="56"/>
      <c r="AW51" s="6"/>
      <c r="AX51" s="6"/>
      <c r="AY51" s="22"/>
      <c r="AZ51" s="6"/>
      <c r="BA51" s="6"/>
      <c r="BB51" s="6"/>
      <c r="BC51" s="22"/>
      <c r="BD51" s="6"/>
      <c r="BE51" s="6"/>
      <c r="BF51" s="6"/>
      <c r="BG51" s="52"/>
    </row>
    <row r="52" ht="15.0" customHeight="1">
      <c r="A52" s="14">
        <f>DATETIME(Support!$AJ$1, 6, 26, 20, 0)</f>
        <v>45469.83333</v>
      </c>
      <c r="B52" s="15" t="s">
        <v>51</v>
      </c>
      <c r="C52" s="16">
        <v>1.0</v>
      </c>
      <c r="D52" s="16">
        <v>0.0</v>
      </c>
      <c r="E52" s="17" t="s">
        <v>48</v>
      </c>
      <c r="F52" s="7" t="str">
        <f>DISPLAY_PENALTIES(2)</f>
        <v/>
      </c>
      <c r="G52" s="17"/>
      <c r="H52" s="61" t="str">
        <f>Support!AC141</f>
        <v/>
      </c>
      <c r="R52" s="22"/>
      <c r="S52" s="6"/>
      <c r="T52" s="99"/>
      <c r="U52" s="99"/>
      <c r="V52" s="97" t="s">
        <v>56</v>
      </c>
      <c r="W52" s="97" t="str">
        <f>IFERROR(__xludf.DUMMYFUNCTION("""COMPUTED_VALUE"""),"F")</f>
        <v>F</v>
      </c>
      <c r="X52" s="97" t="str">
        <f>IFERROR(__xludf.DUMMYFUNCTION("""COMPUTED_VALUE"""),"E")</f>
        <v>E</v>
      </c>
      <c r="Y52" s="97" t="str">
        <f>IFERROR(__xludf.DUMMYFUNCTION("""COMPUTED_VALUE"""),"D")</f>
        <v>D</v>
      </c>
      <c r="Z52" s="97" t="str">
        <f>IFERROR(__xludf.DUMMYFUNCTION("""COMPUTED_VALUE"""),"C")</f>
        <v>C</v>
      </c>
      <c r="AA52" s="6"/>
      <c r="AB52" s="99"/>
      <c r="AC52" s="99"/>
      <c r="AD52" s="99"/>
      <c r="AE52" s="6"/>
      <c r="AF52" s="98"/>
      <c r="AG52" s="6"/>
      <c r="AH52" s="56"/>
      <c r="AI52" s="22"/>
      <c r="AJ52" s="22"/>
      <c r="AK52" s="56"/>
      <c r="AL52" s="6"/>
      <c r="AM52" s="6"/>
      <c r="AN52" s="21"/>
      <c r="AO52" s="56"/>
      <c r="AP52" s="6"/>
      <c r="AQ52" s="6"/>
      <c r="AR52" s="22"/>
      <c r="AS52" s="33"/>
      <c r="AT52" s="6"/>
      <c r="AU52" s="6"/>
      <c r="AV52" s="56"/>
      <c r="AW52" s="6"/>
      <c r="AX52" s="6"/>
      <c r="AY52" s="22"/>
      <c r="AZ52" s="6"/>
      <c r="BA52" s="6"/>
      <c r="BB52" s="6"/>
      <c r="BC52" s="22"/>
      <c r="BD52" s="6"/>
      <c r="BE52" s="6"/>
      <c r="BF52" s="6"/>
      <c r="BG52" s="52"/>
    </row>
    <row r="53" ht="15.0" customHeight="1">
      <c r="A53" s="100"/>
      <c r="B53" s="21"/>
      <c r="C53" s="6"/>
      <c r="D53" s="56"/>
      <c r="E53" s="68"/>
      <c r="F53" s="22"/>
      <c r="G53" s="33"/>
      <c r="R53" s="22"/>
      <c r="S53" s="6"/>
      <c r="T53" s="101" t="str">
        <f>IFERROR(__xludf.DUMMYFUNCTION("""The table above determines which third-placed teams play the winners of Groups ""
  &amp;regexreplace(join("", "", arrayformula(REGEXEXTRACT(Support!$P$168:$S$168, ""[A-Z]""))), ""(.+),"", ""$1 and"")&amp;
 "", based on the groups that provide the ""
  &amp;len(Sup"&amp;"port!H169)&amp;
 "" best third-placed teams."""),"The table above determines which third-placed teams play the winners of Groups B, C, E and F, based on the groups that provide the 4 best third-placed teams.")</f>
        <v>The table above determines which third-placed teams play the winners of Groups B, C, E and F, based on the groups that provide the 4 best third-placed teams.</v>
      </c>
      <c r="AE53" s="102"/>
      <c r="AF53" s="98"/>
      <c r="AG53" s="6"/>
      <c r="AH53" s="56"/>
      <c r="AI53" s="22"/>
      <c r="AJ53" s="22"/>
      <c r="AK53" s="56"/>
      <c r="AL53" s="6"/>
      <c r="AM53" s="6"/>
      <c r="AN53" s="21"/>
      <c r="AO53" s="56"/>
      <c r="AP53" s="6"/>
      <c r="AQ53" s="6"/>
      <c r="AR53" s="22"/>
      <c r="AS53" s="33"/>
      <c r="AT53" s="6"/>
      <c r="AU53" s="6"/>
      <c r="AV53" s="56"/>
      <c r="AW53" s="6"/>
      <c r="AX53" s="6"/>
      <c r="AY53" s="22"/>
      <c r="AZ53" s="6"/>
      <c r="BA53" s="6"/>
      <c r="BB53" s="6"/>
      <c r="BC53" s="22"/>
      <c r="BD53" s="6"/>
      <c r="BE53" s="6"/>
      <c r="BF53" s="6"/>
      <c r="BG53" s="52"/>
    </row>
    <row r="54" ht="15.0" customHeight="1">
      <c r="A54" s="103"/>
      <c r="B54" s="21"/>
      <c r="C54" s="6"/>
      <c r="D54" s="6"/>
      <c r="E54" s="33"/>
      <c r="F54" s="22"/>
      <c r="G54" s="33"/>
      <c r="R54" s="22"/>
      <c r="S54" s="6"/>
      <c r="AE54" s="102"/>
      <c r="AF54" s="98"/>
      <c r="AG54" s="6"/>
      <c r="AH54" s="22"/>
      <c r="AI54" s="22"/>
      <c r="AJ54" s="22"/>
      <c r="AK54" s="22"/>
      <c r="AL54" s="6"/>
      <c r="AM54" s="6"/>
      <c r="AN54" s="21"/>
      <c r="AO54" s="22"/>
      <c r="AP54" s="6"/>
      <c r="AQ54" s="6"/>
      <c r="AR54" s="22"/>
      <c r="AS54" s="33"/>
      <c r="AT54" s="6"/>
      <c r="AU54" s="6"/>
      <c r="AV54" s="22"/>
      <c r="AW54" s="6"/>
      <c r="AX54" s="6"/>
      <c r="AY54" s="22"/>
      <c r="AZ54" s="6"/>
      <c r="BA54" s="6"/>
      <c r="BB54" s="6"/>
      <c r="BC54" s="22"/>
      <c r="BD54" s="6"/>
      <c r="BE54" s="6"/>
      <c r="BF54" s="6"/>
      <c r="BG54" s="6"/>
    </row>
  </sheetData>
  <customSheetViews>
    <customSheetView guid="{4300D3AF-F076-4A86-BC3C-FC0049D2D990}" filter="1" showAutoFilter="1">
      <autoFilter ref="$V$37:$Z$52">
        <filterColumn colId="1">
          <filters>
            <filter val="F"/>
          </filters>
        </filterColumn>
      </autoFilter>
    </customSheetView>
  </customSheetViews>
  <mergeCells count="46">
    <mergeCell ref="AG3:AL3"/>
    <mergeCell ref="AG9:AL9"/>
    <mergeCell ref="AG15:AL15"/>
    <mergeCell ref="AG21:AL21"/>
    <mergeCell ref="AG27:AL27"/>
    <mergeCell ref="AG33:AL33"/>
    <mergeCell ref="AG39:AL39"/>
    <mergeCell ref="AG45:AL45"/>
    <mergeCell ref="A1:Q1"/>
    <mergeCell ref="AG1:AL1"/>
    <mergeCell ref="AU1:AZ1"/>
    <mergeCell ref="BB1:BG1"/>
    <mergeCell ref="H2:I2"/>
    <mergeCell ref="S2:AE12"/>
    <mergeCell ref="H7:Q9"/>
    <mergeCell ref="AU12:AZ12"/>
    <mergeCell ref="A10:Q10"/>
    <mergeCell ref="H11:I11"/>
    <mergeCell ref="H16:Q18"/>
    <mergeCell ref="A19:Q19"/>
    <mergeCell ref="H20:I20"/>
    <mergeCell ref="T26:AD26"/>
    <mergeCell ref="U27:V27"/>
    <mergeCell ref="BB31:BG31"/>
    <mergeCell ref="BB32:BG32"/>
    <mergeCell ref="AU36:AZ36"/>
    <mergeCell ref="AN42:AS42"/>
    <mergeCell ref="AN1:AS1"/>
    <mergeCell ref="AN6:AS6"/>
    <mergeCell ref="BC16:BF22"/>
    <mergeCell ref="AN18:AS18"/>
    <mergeCell ref="BB24:BG24"/>
    <mergeCell ref="AN30:AS30"/>
    <mergeCell ref="BB30:BG30"/>
    <mergeCell ref="H43:Q45"/>
    <mergeCell ref="A46:Q46"/>
    <mergeCell ref="H47:I47"/>
    <mergeCell ref="H52:Q54"/>
    <mergeCell ref="T53:AD54"/>
    <mergeCell ref="H25:Q27"/>
    <mergeCell ref="A28:Q28"/>
    <mergeCell ref="H29:I29"/>
    <mergeCell ref="H34:Q36"/>
    <mergeCell ref="T34:AD35"/>
    <mergeCell ref="A37:Q37"/>
    <mergeCell ref="H38:I38"/>
  </mergeCells>
  <conditionalFormatting sqref="AI5:AJ6 AP8:AQ9 AI11:AJ12 AW14:AX15 AI17:AJ18 AP20:AQ21 AI23:AJ24 BD26:BE27 AI29:AJ30 AP32:AQ33 AI35:AJ36 AW38:AX39 AI41:AJ42 AP44:AQ45 AI47:AJ48">
    <cfRule type="expression" dxfId="0" priority="1">
      <formula>or( and(index(indirect("Wallchart"), row()-1, column()) = index(indirect("Wallchart"), row()-1, column() + 1), not(isblank(index(indirect("Wallchart"), row()-1, column()))), not(isblank(index(indirect("Wallchart"), row()-1, column() + 1)))), and(index(indirect("Wallchart"), row()-1, column()-1) = index(indirect("Wallchart"), row()-1, column()), not(isblank(index(indirect("Wallchart"), row()-1, column()-1))), not(isblank(index(indirect("Wallchart"), row()-1, column())))) )</formula>
    </cfRule>
  </conditionalFormatting>
  <conditionalFormatting sqref="F6:F7 F15:F16 F24:F25 F33:F34 F42:F43 F51:F52">
    <cfRule type="notContainsBlanks" dxfId="1" priority="2">
      <formula>LEN(TRIM(F6))&gt;0</formula>
    </cfRule>
  </conditionalFormatting>
  <conditionalFormatting sqref="H5:Q5 H14:Q14 H23:Q23 H32:Q32 H41:Q41 H50:Q50">
    <cfRule type="expression" dxfId="2" priority="3">
      <formula>sum($J:$J) &lt; (counta($I:$I)/countif(arrayformula(regexmatch($A:$A, "Group [A-Z]")), TRUE))*(counta($I:$I)/countif(arrayformula(regexmatch($A:$A, "Group [A-Z]")), TRUE) - 1)*countif(arrayformula(regexmatch($A:$A, "Group [A-Z]")), TRUE)</formula>
    </cfRule>
  </conditionalFormatting>
  <conditionalFormatting sqref="H5:Q5 H14:Q14 H23:Q23 H32:Q32 H41:Q41 H50:Q50">
    <cfRule type="expression" dxfId="3" priority="4">
      <formula>and(sum($W$28:$W$33) = countif(arrayformula(regexmatch($A:$A, "Group [A-Z]")), TRUE)*REGEXEXTRACT(join("",unique($J:$J)), "\d"), countif($V$28:$V$31, $I5) = 1)</formula>
    </cfRule>
  </conditionalFormatting>
  <conditionalFormatting sqref="V38:Z52">
    <cfRule type="expression" dxfId="3" priority="5">
      <formula>and(sum($W$28:$W$33) &gt; 0, sum($W$28:$W$33) = countif(arrayformula(regexmatch($A:$A, "Group [A-Z]")), TRUE)*REGEXEXTRACT(join("",unique($J:$J)), "\d"), $V38=sort(join("",sort($T$28:$T$31))))</formula>
    </cfRule>
  </conditionalFormatting>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4.43"/>
    <col customWidth="1" min="2" max="3" width="3.71"/>
    <col customWidth="1" min="4" max="4" width="14.43"/>
    <col customWidth="1" min="5" max="6" width="3.71"/>
    <col customWidth="1" min="7" max="7" width="5.86"/>
    <col customWidth="1" min="8" max="8" width="14.43"/>
    <col customWidth="1" min="9" max="27" width="4.43"/>
    <col customWidth="1" min="28" max="28" width="2.29"/>
    <col customWidth="1" min="29" max="29" width="3.71"/>
    <col customWidth="1" min="30" max="34" width="5.86"/>
    <col customWidth="1" min="35" max="35" width="2.14"/>
    <col customWidth="1" min="36" max="36" width="25.71"/>
    <col customWidth="1" min="37" max="37" width="3.14"/>
    <col customWidth="1" min="38" max="38" width="14.43"/>
    <col customWidth="1" min="39" max="39" width="5.43"/>
    <col customWidth="1" min="40" max="40" width="6.57"/>
    <col customWidth="1" min="41" max="41" width="6.86"/>
    <col customWidth="1" min="42" max="42" width="12.0"/>
    <col customWidth="1" min="43" max="43" width="10.29"/>
    <col customWidth="1" min="44" max="44" width="9.71"/>
    <col customWidth="1" min="45" max="45" width="11.0"/>
    <col customWidth="1" min="46" max="47" width="4.86"/>
    <col customWidth="1" min="48" max="48" width="4.43"/>
    <col customWidth="1" min="49" max="49" width="13.71"/>
    <col customWidth="1" min="50" max="50" width="101.71"/>
    <col customWidth="1" min="51" max="51" width="26.29"/>
    <col customWidth="1" min="52" max="52" width="7.29"/>
  </cols>
  <sheetData>
    <row r="1" ht="15.0" customHeight="1">
      <c r="A1" s="104" t="s">
        <v>12</v>
      </c>
      <c r="B1" s="105"/>
      <c r="C1" s="105"/>
      <c r="D1" s="105"/>
      <c r="E1" s="105"/>
      <c r="F1" s="105"/>
      <c r="G1" s="105"/>
      <c r="H1" s="106"/>
      <c r="I1" s="105"/>
      <c r="J1" s="105"/>
      <c r="K1" s="105"/>
      <c r="L1" s="105"/>
      <c r="M1" s="105"/>
      <c r="N1" s="105"/>
      <c r="O1" s="105"/>
      <c r="P1" s="105"/>
      <c r="Q1" s="105"/>
      <c r="R1" s="105"/>
      <c r="S1" s="105"/>
      <c r="T1" s="105"/>
      <c r="U1" s="105"/>
      <c r="V1" s="105"/>
      <c r="W1" s="105"/>
      <c r="X1" s="105"/>
      <c r="Y1" s="105"/>
      <c r="Z1" s="105"/>
      <c r="AA1" s="107"/>
      <c r="AB1" s="8" t="str">
        <f t="shared" ref="AB1:AB150" si="1">ifs(row() = 1, "A", not(offset(AB1, 0, 2) = "H2H"), offset(AB1, -1, 0), offset(AB1, 0, 2) = "H2H", char(code(offset(AB1, -1, 0)) + 1))</f>
        <v>A</v>
      </c>
      <c r="AC1" s="66"/>
      <c r="AD1" s="108" t="s">
        <v>57</v>
      </c>
      <c r="AE1" s="109" t="str">
        <f>IFERROR(__xludf.DUMMYFUNCTION("transpose(query({teamInfo}, ""select Col2 where Col3 = '""&amp;AB1&amp;""'"", 0))"),"GER")</f>
        <v>GER</v>
      </c>
      <c r="AF1" s="109" t="str">
        <f>IFERROR(__xludf.DUMMYFUNCTION("""COMPUTED_VALUE"""),"HUN")</f>
        <v>HUN</v>
      </c>
      <c r="AG1" s="109" t="str">
        <f>IFERROR(__xludf.DUMMYFUNCTION("""COMPUTED_VALUE"""),"SCO")</f>
        <v>SCO</v>
      </c>
      <c r="AH1" s="109" t="str">
        <f>IFERROR(__xludf.DUMMYFUNCTION("""COMPUTED_VALUE"""),"SUI")</f>
        <v>SUI</v>
      </c>
      <c r="AI1" s="66"/>
      <c r="AJ1" s="110" t="s">
        <v>58</v>
      </c>
      <c r="AK1" s="111"/>
      <c r="AL1" s="112" t="s">
        <v>26</v>
      </c>
      <c r="AM1" s="113" t="s">
        <v>59</v>
      </c>
      <c r="AN1" s="113" t="s">
        <v>60</v>
      </c>
      <c r="AO1" s="113" t="s">
        <v>61</v>
      </c>
      <c r="AP1" s="113" t="s">
        <v>62</v>
      </c>
      <c r="AQ1" s="113" t="s">
        <v>63</v>
      </c>
      <c r="AR1" s="113" t="s">
        <v>64</v>
      </c>
      <c r="AS1" s="113" t="s">
        <v>65</v>
      </c>
      <c r="AT1" s="113" t="s">
        <v>66</v>
      </c>
      <c r="AU1" s="66" t="s">
        <v>67</v>
      </c>
      <c r="AV1" s="66" t="s">
        <v>68</v>
      </c>
      <c r="AW1" s="112" t="s">
        <v>69</v>
      </c>
      <c r="AX1" s="113" t="s">
        <v>70</v>
      </c>
      <c r="AY1" s="112" t="s">
        <v>71</v>
      </c>
      <c r="AZ1" s="113" t="s">
        <v>72</v>
      </c>
    </row>
    <row r="2" ht="15.0" customHeight="1">
      <c r="A2" s="15" t="str">
        <f>IFERROR(__xludf.DUMMYFUNCTION("arrayformula(ifna(vlookup(QUERY({index(Wallchart,, COLUMN() + 1)}, ""where Col1 &lt;&gt; '' limit ""&amp;$AK$12&amp;"" offset ""&amp;CHAR2NUM($AB2) * $AK$12,0), teamInfo, 2, 0), """"))"),"GER")</f>
        <v>GER</v>
      </c>
      <c r="B2" s="7">
        <f>indirect("Wallchart!R"&amp;row() - $AK$11 * CHAR2NUM($AB2)&amp;"C"&amp;column() + 1&amp;":R"&amp;row() - $AK$11 * CHAR2NUM($AB2) + $AK$12 - 1&amp;"C"&amp;column() + 2, false)</f>
        <v>0</v>
      </c>
      <c r="C2" s="7">
        <v>1.0</v>
      </c>
      <c r="D2" s="17" t="str">
        <f>IFERROR(__xludf.DUMMYFUNCTION("arrayformula(ifna(vlookup(QUERY({index(Wallchart,, COLUMN() + 1)}, ""where Col1 &lt;&gt; '' limit ""&amp;$AK$12&amp;"" offset ""&amp;CHAR2NUM($AB2) * $AK$12,0), teamInfo, 2, 0), """"))"),"SCO")</f>
        <v>SCO</v>
      </c>
      <c r="E2" s="22">
        <f t="shared" ref="E2:E7" si="2">ifs(or($B2 = "", $C2 = ""), "", $B2 &gt; $C2, 3, $B2 = $C2, 1, $B2 &lt; $C2, 0)</f>
        <v>0</v>
      </c>
      <c r="F2" s="22">
        <f t="shared" ref="F2:F7" si="3">ifs(or($B2 = "", $C2 = ""), "", $B2 &lt; $C2, 3, $B2 = $C2, 1, $B2 &gt; $C2, 0)</f>
        <v>3</v>
      </c>
      <c r="G2" s="114" t="str">
        <f>AM1</f>
        <v>Code</v>
      </c>
      <c r="H2" s="115" t="str">
        <f t="array" ref="H2:P2">{Wallchart!H2,Wallchart!J2:Q2}</f>
        <v>Team</v>
      </c>
      <c r="I2" s="114" t="s">
        <v>7</v>
      </c>
      <c r="J2" s="114" t="s">
        <v>8</v>
      </c>
      <c r="K2" s="114" t="s">
        <v>9</v>
      </c>
      <c r="L2" s="114" t="s">
        <v>10</v>
      </c>
      <c r="M2" s="114" t="s">
        <v>11</v>
      </c>
      <c r="N2" s="114" t="s">
        <v>12</v>
      </c>
      <c r="O2" s="114" t="s">
        <v>13</v>
      </c>
      <c r="P2" s="114" t="s">
        <v>14</v>
      </c>
      <c r="Q2" s="114" t="s">
        <v>73</v>
      </c>
      <c r="R2" s="22"/>
      <c r="S2" s="22"/>
      <c r="T2" s="22"/>
      <c r="U2" s="22"/>
      <c r="V2" s="22"/>
      <c r="W2" s="22"/>
      <c r="X2" s="22"/>
      <c r="Y2" s="22"/>
      <c r="Z2" s="22"/>
      <c r="AA2" s="22"/>
      <c r="AB2" s="8" t="str">
        <f t="shared" si="1"/>
        <v>A</v>
      </c>
      <c r="AC2" s="116" t="s">
        <v>74</v>
      </c>
      <c r="AD2" s="117" t="str">
        <f>IFERROR(__xludf.DUMMYFUNCTION("arrayformula(transpose(split(rept(concatenate(query({teamInfo}, ""select Col2 where Col3 = '""&amp;AB1&amp;""'"",0)&amp;""~""), 3), ""~"")))"),"GER")</f>
        <v>GER</v>
      </c>
      <c r="AE2" s="118"/>
      <c r="AF2" s="119">
        <f>IFERROR(__xludf.DUMMYFUNCTION("ifna(query({indirect(""Group""&amp;$AB2)},""select Col5 where Col1 = '""&amp;$AD2&amp;""' and Col4 = '""&amp;indirect(address(CHAR2NUM($AB2)*$AK$13 + 1, column()))&amp;""'"",0),
      query({INDIRECT(""Group""&amp;$AB2)},""select Col6 where Col1 = '""&amp;indirect(address(CHAR2NUM($"&amp;"AB2)*$AK$13  + 1, column()))&amp;""' and Col4 = '""&amp;$AD2&amp;""'"",0))"),0.0)</f>
        <v>0</v>
      </c>
      <c r="AG2" s="119">
        <f>IFERROR(__xludf.DUMMYFUNCTION("ifna(query({indirect(""Group""&amp;$AB2)},""select Col5 where Col1 = '""&amp;$AD2&amp;""' and Col4 = '""&amp;indirect(address(CHAR2NUM($AB2)*$AK$13 + 1, column()))&amp;""'"",0),
      query({INDIRECT(""Group""&amp;$AB2)},""select Col6 where Col1 = '""&amp;indirect(address(CHAR2NUM($"&amp;"AB2)*$AK$13  + 1, column()))&amp;""' and Col4 = '""&amp;$AD2&amp;""'"",0))"),0.0)</f>
        <v>0</v>
      </c>
      <c r="AH2" s="119">
        <f>IFERROR(__xludf.DUMMYFUNCTION("ifna(query({indirect(""Group""&amp;$AB2)},""select Col5 where Col1 = '""&amp;$AD2&amp;""' and Col4 = '""&amp;indirect(address(CHAR2NUM($AB2)*$AK$13 + 1, column()))&amp;""'"",0),
      query({INDIRECT(""Group""&amp;$AB2)},""select Col6 where Col1 = '""&amp;indirect(address(CHAR2NUM($"&amp;"AB2)*$AK$13  + 1, column()))&amp;""' and Col4 = '""&amp;$AD2&amp;""'"",0))"),3.0)</f>
        <v>3</v>
      </c>
      <c r="AI2" s="15">
        <f t="array" ref="AI2:AI13">ROUNDUP(sequence($AK$3*3)/$AK$3,0)</f>
        <v>1</v>
      </c>
      <c r="AJ2" s="15" t="s">
        <v>75</v>
      </c>
      <c r="AK2" s="120">
        <v>6.0</v>
      </c>
      <c r="AL2" s="121" t="str">
        <f>IFERROR(__xludf.DUMMYFUNCTION("ifna(unique(query({index(Wallchart,,2)}, ""where Col1 &lt;&gt; ''"",0)), """")"),"Germany")</f>
        <v>Germany</v>
      </c>
      <c r="AM2" s="122" t="s">
        <v>76</v>
      </c>
      <c r="AN2" s="122" t="str">
        <f>IFERROR(__xludf.DUMMYFUNCTION("arrayformula(regexextract(address(1,ROUNDUP(sequence(AK2*AK3)/AK3,0)),""[A-Z]+""))"),"A")</f>
        <v>A</v>
      </c>
      <c r="AO2" s="122"/>
      <c r="AP2" s="122"/>
      <c r="AQ2" s="123"/>
      <c r="AR2" s="123">
        <f t="shared" ref="AR2:AR25" si="4">sum(AO2*-1, AP2*-3, AQ2*-3)</f>
        <v>0</v>
      </c>
      <c r="AS2" s="122" t="s">
        <v>77</v>
      </c>
      <c r="AT2" s="124"/>
      <c r="AU2" s="125">
        <v>16.0</v>
      </c>
      <c r="AV2" s="126"/>
      <c r="AW2" s="73" t="s">
        <v>78</v>
      </c>
      <c r="AX2" s="127" t="s">
        <v>79</v>
      </c>
      <c r="AY2" s="33"/>
      <c r="AZ2" s="22"/>
    </row>
    <row r="3" ht="15.0" customHeight="1">
      <c r="A3" s="15" t="str">
        <f>IFERROR(__xludf.DUMMYFUNCTION("""COMPUTED_VALUE"""),"HUN")</f>
        <v>HUN</v>
      </c>
      <c r="B3" s="7">
        <v>0.0</v>
      </c>
      <c r="C3" s="7">
        <v>2.0</v>
      </c>
      <c r="D3" s="17" t="str">
        <f>IFERROR(__xludf.DUMMYFUNCTION("""COMPUTED_VALUE"""),"SUI")</f>
        <v>SUI</v>
      </c>
      <c r="E3" s="22">
        <f t="shared" si="2"/>
        <v>0</v>
      </c>
      <c r="F3" s="22">
        <f t="shared" si="3"/>
        <v>3</v>
      </c>
      <c r="G3" s="117" t="str">
        <f>IFERROR(__xludf.DUMMYFUNCTION("query({teamInfo}, ""select Col2, Col1 where Col3 = '""&amp;AB3&amp;""'"", 0)"),"GER")</f>
        <v>GER</v>
      </c>
      <c r="H3" s="128" t="str">
        <f>IFERROR(__xludf.DUMMYFUNCTION("""COMPUTED_VALUE"""),"Germany")</f>
        <v>Germany</v>
      </c>
      <c r="I3" s="117">
        <f t="shared" ref="I3:I6" si="5">sum(J3:L3)</f>
        <v>3</v>
      </c>
      <c r="J3" s="48">
        <f>IFERROR(__xludf.DUMMYFUNCTION("sum(query(indirect(""Group""&amp;$AB3),""select count(E) where A = '""&amp;$G3&amp;""' and E = 3"",0), query(indirect(""Group""&amp;$AB3),""select count(F) where D = '""&amp;$G3&amp;""' and F = 3"",0))"),1.0)</f>
        <v>1</v>
      </c>
      <c r="K3" s="49">
        <f>IFERROR(__xludf.DUMMYFUNCTION("sum(query(indirect(""Group""&amp;$AB3),""select count(E) where A = '""&amp;$G3&amp;""' and E = 1"",0), query(indirect(""Group""&amp;$AB3),""select count(F) where D = '""&amp;$G3&amp;""' and F = 1"",0))"),0.0)</f>
        <v>0</v>
      </c>
      <c r="L3" s="49">
        <f>IFERROR(__xludf.DUMMYFUNCTION("sum(query(indirect(""Group""&amp;$AB3),""select count(E) where A = '""&amp;$G3&amp;""' and E = 0"",0), query(indirect(""Group""&amp;$AB3),""select count(F) where D = '""&amp;$G3&amp;""' and F = 0"",0))"),2.0)</f>
        <v>2</v>
      </c>
      <c r="M3" s="49">
        <f>IFERROR(__xludf.DUMMYFUNCTION("ifna(sum(query(indirect(""Group""&amp;$AB3),""select B where A = '""&amp;$G3&amp;""'"",0), query(indirect(""Group""&amp;$AB3),""select C where D = '""&amp;$G3&amp;""'"",0)),0)"),1.0)</f>
        <v>1</v>
      </c>
      <c r="N3" s="49">
        <f>IFERROR(__xludf.DUMMYFUNCTION("ifna(sum(query(indirect(""Group""&amp;$AB3),""select C where A = '""&amp;$G3&amp;""'"",0), query(indirect(""Group""&amp;$AB3),""select B where D = '""&amp;$G3&amp;""'"",0)), 0)"),4.0)</f>
        <v>4</v>
      </c>
      <c r="O3" s="49">
        <f t="shared" ref="O3:O6" si="6">M3-N3</f>
        <v>-3</v>
      </c>
      <c r="P3" s="49">
        <f t="shared" ref="P3:P6" si="7">J3*3+K3-abs(Q3)</f>
        <v>3</v>
      </c>
      <c r="Q3" s="16"/>
      <c r="R3" s="129" t="s">
        <v>80</v>
      </c>
      <c r="U3" s="130"/>
      <c r="V3" s="130"/>
      <c r="W3" s="130"/>
      <c r="X3" s="130"/>
      <c r="Y3" s="130"/>
      <c r="Z3" s="130"/>
      <c r="AA3" s="130"/>
      <c r="AB3" s="8" t="str">
        <f t="shared" si="1"/>
        <v>A</v>
      </c>
      <c r="AC3" s="131"/>
      <c r="AD3" s="117" t="str">
        <f>IFERROR(__xludf.DUMMYFUNCTION("""COMPUTED_VALUE"""),"HUN")</f>
        <v>HUN</v>
      </c>
      <c r="AE3" s="119">
        <f>IFERROR(__xludf.DUMMYFUNCTION("ifna(query({indirect(""Group""&amp;$AB3)},""select Col5 where Col1 = '""&amp;$AD3&amp;""' and Col4 = '""&amp;indirect(address(CHAR2NUM($AB3)*$AK$13 + 1, column()))&amp;""'"",0),
      query({INDIRECT(""Group""&amp;$AB3)},""select Col6 where Col1 = '""&amp;indirect(address(CHAR2NUM($"&amp;"AB3)*$AK$13  + 1, column()))&amp;""' and Col4 = '""&amp;$AD3&amp;""'"",0))"),3.0)</f>
        <v>3</v>
      </c>
      <c r="AF3" s="118"/>
      <c r="AG3" s="119">
        <f>IFERROR(__xludf.DUMMYFUNCTION("ifna(query({indirect(""Group""&amp;$AB3)},""select Col5 where Col1 = '""&amp;$AD3&amp;""' and Col4 = '""&amp;indirect(address(CHAR2NUM($AB3)*$AK$13 + 1, column()))&amp;""'"",0),
      query({INDIRECT(""Group""&amp;$AB3)},""select Col6 where Col1 = '""&amp;indirect(address(CHAR2NUM($"&amp;"AB3)*$AK$13  + 1, column()))&amp;""' and Col4 = '""&amp;$AD3&amp;""'"",0))"),0.0)</f>
        <v>0</v>
      </c>
      <c r="AH3" s="119">
        <f>IFERROR(__xludf.DUMMYFUNCTION("ifna(query({indirect(""Group""&amp;$AB3)},""select Col5 where Col1 = '""&amp;$AD3&amp;""' and Col4 = '""&amp;indirect(address(CHAR2NUM($AB3)*$AK$13 + 1, column()))&amp;""'"",0),
      query({INDIRECT(""Group""&amp;$AB3)},""select Col6 where Col1 = '""&amp;indirect(address(CHAR2NUM($"&amp;"AB3)*$AK$13  + 1, column()))&amp;""' and Col4 = '""&amp;$AD3&amp;""'"",0))"),0.0)</f>
        <v>0</v>
      </c>
      <c r="AI3" s="15">
        <v>1.0</v>
      </c>
      <c r="AJ3" s="15" t="s">
        <v>81</v>
      </c>
      <c r="AK3" s="120">
        <v>4.0</v>
      </c>
      <c r="AL3" s="121" t="str">
        <f>IFERROR(__xludf.DUMMYFUNCTION("""COMPUTED_VALUE"""),"Hungary")</f>
        <v>Hungary</v>
      </c>
      <c r="AM3" s="122" t="s">
        <v>82</v>
      </c>
      <c r="AN3" s="122" t="str">
        <f>IFERROR(__xludf.DUMMYFUNCTION("""COMPUTED_VALUE"""),"A")</f>
        <v>A</v>
      </c>
      <c r="AO3" s="122"/>
      <c r="AP3" s="122"/>
      <c r="AQ3" s="122"/>
      <c r="AR3" s="123">
        <f t="shared" si="4"/>
        <v>0</v>
      </c>
      <c r="AS3" s="122">
        <v>6.0</v>
      </c>
      <c r="AT3" s="124"/>
      <c r="AU3" s="124">
        <v>26.0</v>
      </c>
      <c r="AV3" s="132"/>
      <c r="AW3" s="73" t="s">
        <v>83</v>
      </c>
      <c r="AX3" s="127" t="s">
        <v>84</v>
      </c>
      <c r="AY3" s="33"/>
      <c r="AZ3" s="22"/>
    </row>
    <row r="4" ht="15.0" customHeight="1">
      <c r="A4" s="15" t="str">
        <f>IFERROR(__xludf.DUMMYFUNCTION("""COMPUTED_VALUE"""),"GER")</f>
        <v>GER</v>
      </c>
      <c r="B4" s="7">
        <v>0.0</v>
      </c>
      <c r="C4" s="7">
        <v>3.0</v>
      </c>
      <c r="D4" s="17" t="str">
        <f>IFERROR(__xludf.DUMMYFUNCTION("""COMPUTED_VALUE"""),"HUN")</f>
        <v>HUN</v>
      </c>
      <c r="E4" s="22">
        <f t="shared" si="2"/>
        <v>0</v>
      </c>
      <c r="F4" s="22">
        <f t="shared" si="3"/>
        <v>3</v>
      </c>
      <c r="G4" s="117" t="str">
        <f>IFERROR(__xludf.DUMMYFUNCTION("""COMPUTED_VALUE"""),"HUN")</f>
        <v>HUN</v>
      </c>
      <c r="H4" s="128" t="str">
        <f>IFERROR(__xludf.DUMMYFUNCTION("""COMPUTED_VALUE"""),"Hungary")</f>
        <v>Hungary</v>
      </c>
      <c r="I4" s="117">
        <f t="shared" si="5"/>
        <v>3</v>
      </c>
      <c r="J4" s="48">
        <f>IFERROR(__xludf.DUMMYFUNCTION("sum(query(indirect(""Group""&amp;$AB4),""select count(E) where A = '""&amp;$G4&amp;""' and E = 3"",0), query(indirect(""Group""&amp;$AB4),""select count(F) where D = '""&amp;$G4&amp;""' and F = 3"",0))"),1.0)</f>
        <v>1</v>
      </c>
      <c r="K4" s="49">
        <f>IFERROR(__xludf.DUMMYFUNCTION("sum(query(indirect(""Group""&amp;$AB4),""select count(E) where A = '""&amp;$G4&amp;""' and E = 1"",0), query(indirect(""Group""&amp;$AB4),""select count(F) where D = '""&amp;$G4&amp;""' and F = 1"",0))"),0.0)</f>
        <v>0</v>
      </c>
      <c r="L4" s="49">
        <f>IFERROR(__xludf.DUMMYFUNCTION("sum(query(indirect(""Group""&amp;$AB4),""select count(E) where A = '""&amp;$G4&amp;""' and E = 0"",0), query(indirect(""Group""&amp;$AB4),""select count(F) where D = '""&amp;$G4&amp;""' and F = 0"",0))"),2.0)</f>
        <v>2</v>
      </c>
      <c r="M4" s="49">
        <f>IFERROR(__xludf.DUMMYFUNCTION("ifna(sum(query(indirect(""Group""&amp;$AB4),""select B where A = '""&amp;$G4&amp;""'"",0), query(indirect(""Group""&amp;$AB4),""select C where D = '""&amp;$G4&amp;""'"",0)),0)"),3.0)</f>
        <v>3</v>
      </c>
      <c r="N4" s="49">
        <f>IFERROR(__xludf.DUMMYFUNCTION("ifna(sum(query(indirect(""Group""&amp;$AB4),""select C where A = '""&amp;$G4&amp;""'"",0), query(indirect(""Group""&amp;$AB4),""select B where D = '""&amp;$G4&amp;""'"",0)), 0)"),3.0)</f>
        <v>3</v>
      </c>
      <c r="O4" s="49">
        <f t="shared" si="6"/>
        <v>0</v>
      </c>
      <c r="P4" s="49">
        <f t="shared" si="7"/>
        <v>3</v>
      </c>
      <c r="Q4" s="16"/>
      <c r="U4" s="130"/>
      <c r="V4" s="130"/>
      <c r="W4" s="130"/>
      <c r="X4" s="130"/>
      <c r="Y4" s="130"/>
      <c r="Z4" s="130"/>
      <c r="AA4" s="130"/>
      <c r="AB4" s="8" t="str">
        <f t="shared" si="1"/>
        <v>A</v>
      </c>
      <c r="AC4" s="131"/>
      <c r="AD4" s="117" t="str">
        <f>IFERROR(__xludf.DUMMYFUNCTION("""COMPUTED_VALUE"""),"SCO")</f>
        <v>SCO</v>
      </c>
      <c r="AE4" s="119">
        <f>IFERROR(__xludf.DUMMYFUNCTION("ifna(query({indirect(""Group""&amp;$AB4)},""select Col5 where Col1 = '""&amp;$AD4&amp;""' and Col4 = '""&amp;indirect(address(CHAR2NUM($AB4)*$AK$13 + 1, column()))&amp;""'"",0),
      query({INDIRECT(""Group""&amp;$AB4)},""select Col6 where Col1 = '""&amp;indirect(address(CHAR2NUM($"&amp;"AB4)*$AK$13  + 1, column()))&amp;""' and Col4 = '""&amp;$AD4&amp;""'"",0))"),3.0)</f>
        <v>3</v>
      </c>
      <c r="AF4" s="119">
        <f>IFERROR(__xludf.DUMMYFUNCTION("ifna(query({indirect(""Group""&amp;$AB4)},""select Col5 where Col1 = '""&amp;$AD4&amp;""' and Col4 = '""&amp;indirect(address(CHAR2NUM($AB4)*$AK$13 + 1, column()))&amp;""'"",0),
      query({INDIRECT(""Group""&amp;$AB4)},""select Col6 where Col1 = '""&amp;indirect(address(CHAR2NUM($"&amp;"AB4)*$AK$13  + 1, column()))&amp;""' and Col4 = '""&amp;$AD4&amp;""'"",0))"),3.0)</f>
        <v>3</v>
      </c>
      <c r="AG4" s="118"/>
      <c r="AH4" s="119">
        <f>IFERROR(__xludf.DUMMYFUNCTION("ifna(query({indirect(""Group""&amp;$AB4)},""select Col5 where Col1 = '""&amp;$AD4&amp;""' and Col4 = '""&amp;indirect(address(CHAR2NUM($AB4)*$AK$13 + 1, column()))&amp;""'"",0),
      query({INDIRECT(""Group""&amp;$AB4)},""select Col6 where Col1 = '""&amp;indirect(address(CHAR2NUM($"&amp;"AB4)*$AK$13  + 1, column()))&amp;""' and Col4 = '""&amp;$AD4&amp;""'"",0))"),3.0)</f>
        <v>3</v>
      </c>
      <c r="AI4" s="6">
        <v>1.0</v>
      </c>
      <c r="AJ4" s="6"/>
      <c r="AK4" s="7"/>
      <c r="AL4" s="121" t="str">
        <f>IFERROR(__xludf.DUMMYFUNCTION("""COMPUTED_VALUE"""),"Scotland")</f>
        <v>Scotland</v>
      </c>
      <c r="AM4" s="122" t="s">
        <v>85</v>
      </c>
      <c r="AN4" s="122" t="str">
        <f>IFERROR(__xludf.DUMMYFUNCTION("""COMPUTED_VALUE"""),"A")</f>
        <v>A</v>
      </c>
      <c r="AO4" s="122"/>
      <c r="AP4" s="122"/>
      <c r="AQ4" s="123"/>
      <c r="AR4" s="123">
        <f t="shared" si="4"/>
        <v>0</v>
      </c>
      <c r="AS4" s="122">
        <v>13.0</v>
      </c>
      <c r="AT4" s="124"/>
      <c r="AU4" s="124">
        <v>39.0</v>
      </c>
      <c r="AV4" s="132"/>
      <c r="AW4" s="73" t="s">
        <v>86</v>
      </c>
      <c r="AX4" s="127" t="s">
        <v>87</v>
      </c>
      <c r="AY4" s="33"/>
      <c r="AZ4" s="22"/>
    </row>
    <row r="5" ht="15.0" customHeight="1">
      <c r="A5" s="15" t="str">
        <f>IFERROR(__xludf.DUMMYFUNCTION("""COMPUTED_VALUE"""),"SCO")</f>
        <v>SCO</v>
      </c>
      <c r="B5" s="7">
        <v>3.0</v>
      </c>
      <c r="C5" s="7">
        <v>2.0</v>
      </c>
      <c r="D5" s="17" t="str">
        <f>IFERROR(__xludf.DUMMYFUNCTION("""COMPUTED_VALUE"""),"SUI")</f>
        <v>SUI</v>
      </c>
      <c r="E5" s="22">
        <f t="shared" si="2"/>
        <v>3</v>
      </c>
      <c r="F5" s="22">
        <f t="shared" si="3"/>
        <v>0</v>
      </c>
      <c r="G5" s="117" t="str">
        <f>IFERROR(__xludf.DUMMYFUNCTION("""COMPUTED_VALUE"""),"SCO")</f>
        <v>SCO</v>
      </c>
      <c r="H5" s="128" t="str">
        <f>IFERROR(__xludf.DUMMYFUNCTION("""COMPUTED_VALUE"""),"Scotland")</f>
        <v>Scotland</v>
      </c>
      <c r="I5" s="117">
        <f t="shared" si="5"/>
        <v>3</v>
      </c>
      <c r="J5" s="48">
        <f>IFERROR(__xludf.DUMMYFUNCTION("sum(query(indirect(""Group""&amp;$AB5),""select count(E) where A = '""&amp;$G5&amp;""' and E = 3"",0), query(indirect(""Group""&amp;$AB5),""select count(F) where D = '""&amp;$G5&amp;""' and F = 3"",0))"),3.0)</f>
        <v>3</v>
      </c>
      <c r="K5" s="49">
        <f>IFERROR(__xludf.DUMMYFUNCTION("sum(query(indirect(""Group""&amp;$AB5),""select count(E) where A = '""&amp;$G5&amp;""' and E = 1"",0), query(indirect(""Group""&amp;$AB5),""select count(F) where D = '""&amp;$G5&amp;""' and F = 1"",0))"),0.0)</f>
        <v>0</v>
      </c>
      <c r="L5" s="49">
        <f>IFERROR(__xludf.DUMMYFUNCTION("sum(query(indirect(""Group""&amp;$AB5),""select count(E) where A = '""&amp;$G5&amp;""' and E = 0"",0), query(indirect(""Group""&amp;$AB5),""select count(F) where D = '""&amp;$G5&amp;""' and F = 0"",0))"),0.0)</f>
        <v>0</v>
      </c>
      <c r="M5" s="49">
        <f>IFERROR(__xludf.DUMMYFUNCTION("ifna(sum(query(indirect(""Group""&amp;$AB5),""select B where A = '""&amp;$G5&amp;""'"",0), query(indirect(""Group""&amp;$AB5),""select C where D = '""&amp;$G5&amp;""'"",0)),0)"),5.0)</f>
        <v>5</v>
      </c>
      <c r="N5" s="49">
        <f>IFERROR(__xludf.DUMMYFUNCTION("ifna(sum(query(indirect(""Group""&amp;$AB5),""select C where A = '""&amp;$G5&amp;""'"",0), query(indirect(""Group""&amp;$AB5),""select B where D = '""&amp;$G5&amp;""'"",0)), 0)"),2.0)</f>
        <v>2</v>
      </c>
      <c r="O5" s="49">
        <f t="shared" si="6"/>
        <v>3</v>
      </c>
      <c r="P5" s="49">
        <f t="shared" si="7"/>
        <v>9</v>
      </c>
      <c r="Q5" s="16"/>
      <c r="U5" s="130"/>
      <c r="V5" s="130"/>
      <c r="W5" s="130"/>
      <c r="X5" s="130"/>
      <c r="Y5" s="130"/>
      <c r="Z5" s="130"/>
      <c r="AA5" s="130"/>
      <c r="AB5" s="8" t="str">
        <f t="shared" si="1"/>
        <v>A</v>
      </c>
      <c r="AC5" s="133"/>
      <c r="AD5" s="117" t="str">
        <f>IFERROR(__xludf.DUMMYFUNCTION("""COMPUTED_VALUE"""),"SUI")</f>
        <v>SUI</v>
      </c>
      <c r="AE5" s="119">
        <f>IFERROR(__xludf.DUMMYFUNCTION("ifna(query({indirect(""Group""&amp;$AB5)},""select Col5 where Col1 = '""&amp;$AD5&amp;""' and Col4 = '""&amp;indirect(address(CHAR2NUM($AB5)*$AK$13 + 1, column()))&amp;""'"",0),
      query({INDIRECT(""Group""&amp;$AB5)},""select Col6 where Col1 = '""&amp;indirect(address(CHAR2NUM($"&amp;"AB5)*$AK$13  + 1, column()))&amp;""' and Col4 = '""&amp;$AD5&amp;""'"",0))"),0.0)</f>
        <v>0</v>
      </c>
      <c r="AF5" s="119">
        <f>IFERROR(__xludf.DUMMYFUNCTION("ifna(query({indirect(""Group""&amp;$AB5)},""select Col5 where Col1 = '""&amp;$AD5&amp;""' and Col4 = '""&amp;indirect(address(CHAR2NUM($AB5)*$AK$13 + 1, column()))&amp;""'"",0),
      query({INDIRECT(""Group""&amp;$AB5)},""select Col6 where Col1 = '""&amp;indirect(address(CHAR2NUM($"&amp;"AB5)*$AK$13  + 1, column()))&amp;""' and Col4 = '""&amp;$AD5&amp;""'"",0))"),3.0)</f>
        <v>3</v>
      </c>
      <c r="AG5" s="119">
        <f>IFERROR(__xludf.DUMMYFUNCTION("ifna(query({indirect(""Group""&amp;$AB5)},""select Col5 where Col1 = '""&amp;$AD5&amp;""' and Col4 = '""&amp;indirect(address(CHAR2NUM($AB5)*$AK$13 + 1, column()))&amp;""'"",0),
      query({INDIRECT(""Group""&amp;$AB5)},""select Col6 where Col1 = '""&amp;indirect(address(CHAR2NUM($"&amp;"AB5)*$AK$13  + 1, column()))&amp;""' and Col4 = '""&amp;$AD5&amp;""'"",0))"),0.0)</f>
        <v>0</v>
      </c>
      <c r="AH5" s="118"/>
      <c r="AI5" s="6">
        <v>1.0</v>
      </c>
      <c r="AJ5" s="134" t="s">
        <v>64</v>
      </c>
      <c r="AK5" s="135"/>
      <c r="AL5" s="136" t="str">
        <f>IFERROR(__xludf.DUMMYFUNCTION("""COMPUTED_VALUE"""),"Switzerland")</f>
        <v>Switzerland</v>
      </c>
      <c r="AM5" s="137" t="s">
        <v>88</v>
      </c>
      <c r="AN5" s="137" t="str">
        <f>IFERROR(__xludf.DUMMYFUNCTION("""COMPUTED_VALUE"""),"A")</f>
        <v>A</v>
      </c>
      <c r="AO5" s="137"/>
      <c r="AP5" s="137"/>
      <c r="AQ5" s="137"/>
      <c r="AR5" s="90">
        <f t="shared" si="4"/>
        <v>0</v>
      </c>
      <c r="AS5" s="137">
        <v>20.0</v>
      </c>
      <c r="AT5" s="138"/>
      <c r="AU5" s="138">
        <v>19.0</v>
      </c>
      <c r="AV5" s="139"/>
      <c r="AW5" s="73" t="s">
        <v>89</v>
      </c>
      <c r="AX5" s="127" t="s">
        <v>90</v>
      </c>
      <c r="AY5" s="33"/>
      <c r="AZ5" s="22"/>
    </row>
    <row r="6" ht="15.0" customHeight="1">
      <c r="A6" s="15" t="str">
        <f>IFERROR(__xludf.DUMMYFUNCTION("""COMPUTED_VALUE"""),"SUI")</f>
        <v>SUI</v>
      </c>
      <c r="B6" s="7">
        <v>0.0</v>
      </c>
      <c r="C6" s="7">
        <v>1.0</v>
      </c>
      <c r="D6" s="17" t="str">
        <f>IFERROR(__xludf.DUMMYFUNCTION("""COMPUTED_VALUE"""),"GER")</f>
        <v>GER</v>
      </c>
      <c r="E6" s="22">
        <f t="shared" si="2"/>
        <v>0</v>
      </c>
      <c r="F6" s="22">
        <f t="shared" si="3"/>
        <v>3</v>
      </c>
      <c r="G6" s="117" t="str">
        <f>IFERROR(__xludf.DUMMYFUNCTION("""COMPUTED_VALUE"""),"SUI")</f>
        <v>SUI</v>
      </c>
      <c r="H6" s="128" t="str">
        <f>IFERROR(__xludf.DUMMYFUNCTION("""COMPUTED_VALUE"""),"Switzerland")</f>
        <v>Switzerland</v>
      </c>
      <c r="I6" s="117">
        <f t="shared" si="5"/>
        <v>3</v>
      </c>
      <c r="J6" s="48">
        <f>IFERROR(__xludf.DUMMYFUNCTION("sum(query(indirect(""Group""&amp;$AB6),""select count(E) where A = '""&amp;$G6&amp;""' and E = 3"",0), query(indirect(""Group""&amp;$AB6),""select count(F) where D = '""&amp;$G6&amp;""' and F = 3"",0))"),1.0)</f>
        <v>1</v>
      </c>
      <c r="K6" s="49">
        <f>IFERROR(__xludf.DUMMYFUNCTION("sum(query(indirect(""Group""&amp;$AB6),""select count(E) where A = '""&amp;$G6&amp;""' and E = 1"",0), query(indirect(""Group""&amp;$AB6),""select count(F) where D = '""&amp;$G6&amp;""' and F = 1"",0))"),0.0)</f>
        <v>0</v>
      </c>
      <c r="L6" s="49">
        <f>IFERROR(__xludf.DUMMYFUNCTION("sum(query(indirect(""Group""&amp;$AB6),""select count(E) where A = '""&amp;$G6&amp;""' and E = 0"",0), query(indirect(""Group""&amp;$AB6),""select count(F) where D = '""&amp;$G6&amp;""' and F = 0"",0))"),2.0)</f>
        <v>2</v>
      </c>
      <c r="M6" s="49">
        <f>IFERROR(__xludf.DUMMYFUNCTION("ifna(sum(query(indirect(""Group""&amp;$AB6),""select B where A = '""&amp;$G6&amp;""'"",0), query(indirect(""Group""&amp;$AB6),""select C where D = '""&amp;$G6&amp;""'"",0)),0)"),4.0)</f>
        <v>4</v>
      </c>
      <c r="N6" s="49">
        <f>IFERROR(__xludf.DUMMYFUNCTION("ifna(sum(query(indirect(""Group""&amp;$AB6),""select C where A = '""&amp;$G6&amp;""'"",0), query(indirect(""Group""&amp;$AB6),""select B where D = '""&amp;$G6&amp;""'"",0)), 0)"),4.0)</f>
        <v>4</v>
      </c>
      <c r="O6" s="49">
        <f t="shared" si="6"/>
        <v>0</v>
      </c>
      <c r="P6" s="49">
        <f t="shared" si="7"/>
        <v>3</v>
      </c>
      <c r="Q6" s="140"/>
      <c r="U6" s="130"/>
      <c r="V6" s="130"/>
      <c r="W6" s="130"/>
      <c r="X6" s="130"/>
      <c r="Y6" s="130"/>
      <c r="Z6" s="130"/>
      <c r="AA6" s="130"/>
      <c r="AB6" s="8" t="str">
        <f t="shared" si="1"/>
        <v>A</v>
      </c>
      <c r="AC6" s="116" t="s">
        <v>13</v>
      </c>
      <c r="AD6" s="117" t="str">
        <f>IFERROR(__xludf.DUMMYFUNCTION("""COMPUTED_VALUE"""),"GER")</f>
        <v>GER</v>
      </c>
      <c r="AE6" s="118"/>
      <c r="AF6" s="49">
        <f>IFERROR(__xludf.DUMMYFUNCTION("sum(iferror(query({indirect(""Group""&amp;$AB6)},""select Col2-Col3 where Col1 = '""&amp;$AD6&amp;""' and Col4 = '""&amp;indirect(address(CHAR2NUM($AB6)*$AK$13 + 1, column()))&amp;""'""),0),
     iferror(query({INDIRECT(""Group""&amp;$AB6)},""select Col3-Col2 where Col1 = '""&amp;in"&amp;"direct(address(CHAR2NUM($AB6)*$AK$13 + 1, column()))&amp;""' and Col4 = '""&amp;$AD6&amp;""'""),0))"),-3.0)</f>
        <v>-3</v>
      </c>
      <c r="AG6" s="49">
        <f>IFERROR(__xludf.DUMMYFUNCTION("sum(iferror(query({indirect(""Group""&amp;$AB6)},""select Col2-Col3 where Col1 = '""&amp;$AD6&amp;""' and Col4 = '""&amp;indirect(address(CHAR2NUM($AB6)*$AK$13 + 1, column()))&amp;""'""),0),
     iferror(query({INDIRECT(""Group""&amp;$AB6)},""select Col3-Col2 where Col1 = '""&amp;in"&amp;"direct(address(CHAR2NUM($AB6)*$AK$13 + 1, column()))&amp;""' and Col4 = '""&amp;$AD6&amp;""'""),0))"),-1.0)</f>
        <v>-1</v>
      </c>
      <c r="AH6" s="49">
        <f>IFERROR(__xludf.DUMMYFUNCTION("sum(iferror(query({indirect(""Group""&amp;$AB6)},""select Col2-Col3 where Col1 = '""&amp;$AD6&amp;""' and Col4 = '""&amp;indirect(address(CHAR2NUM($AB6)*$AK$13 + 1, column()))&amp;""'""),0),
     iferror(query({INDIRECT(""Group""&amp;$AB6)},""select Col3-Col2 where Col1 = '""&amp;in"&amp;"direct(address(CHAR2NUM($AB6)*$AK$13 + 1, column()))&amp;""' and Col4 = '""&amp;$AD6&amp;""'""),0))"),1.0)</f>
        <v>1</v>
      </c>
      <c r="AI6" s="6">
        <v>2.0</v>
      </c>
      <c r="AJ6" s="141" t="s">
        <v>61</v>
      </c>
      <c r="AK6" s="142">
        <v>1.0</v>
      </c>
      <c r="AL6" s="121" t="str">
        <f>IFERROR(__xludf.DUMMYFUNCTION("""COMPUTED_VALUE"""),"Spain")</f>
        <v>Spain</v>
      </c>
      <c r="AM6" s="122" t="s">
        <v>91</v>
      </c>
      <c r="AN6" s="122" t="str">
        <f>IFERROR(__xludf.DUMMYFUNCTION("""COMPUTED_VALUE"""),"B")</f>
        <v>B</v>
      </c>
      <c r="AO6" s="122"/>
      <c r="AP6" s="123"/>
      <c r="AQ6" s="123"/>
      <c r="AR6" s="123">
        <f t="shared" si="4"/>
        <v>0</v>
      </c>
      <c r="AS6" s="122">
        <v>3.0</v>
      </c>
      <c r="AT6" s="124"/>
      <c r="AU6" s="124">
        <v>8.0</v>
      </c>
      <c r="AV6" s="7"/>
      <c r="AW6" s="73" t="s">
        <v>92</v>
      </c>
      <c r="AX6" s="127" t="s">
        <v>93</v>
      </c>
      <c r="AY6" s="33"/>
      <c r="AZ6" s="22"/>
    </row>
    <row r="7" ht="15.0" customHeight="1">
      <c r="A7" s="15" t="str">
        <f>IFERROR(__xludf.DUMMYFUNCTION("""COMPUTED_VALUE"""),"SCO")</f>
        <v>SCO</v>
      </c>
      <c r="B7" s="7">
        <v>1.0</v>
      </c>
      <c r="C7" s="7">
        <v>0.0</v>
      </c>
      <c r="D7" s="17" t="str">
        <f>IFERROR(__xludf.DUMMYFUNCTION("""COMPUTED_VALUE"""),"HUN")</f>
        <v>HUN</v>
      </c>
      <c r="E7" s="22">
        <f t="shared" si="2"/>
        <v>3</v>
      </c>
      <c r="F7" s="22">
        <f t="shared" si="3"/>
        <v>0</v>
      </c>
      <c r="G7" s="22"/>
      <c r="H7" s="33"/>
      <c r="I7" s="22">
        <f t="array" ref="I7:P7">sequence(1,8,3,1)</f>
        <v>3</v>
      </c>
      <c r="J7" s="22">
        <v>4.0</v>
      </c>
      <c r="K7" s="22">
        <v>5.0</v>
      </c>
      <c r="L7" s="22">
        <v>6.0</v>
      </c>
      <c r="M7" s="22">
        <v>7.0</v>
      </c>
      <c r="N7" s="22">
        <v>8.0</v>
      </c>
      <c r="O7" s="22">
        <v>9.0</v>
      </c>
      <c r="P7" s="22">
        <v>10.0</v>
      </c>
      <c r="Q7" s="22"/>
      <c r="R7" s="22"/>
      <c r="S7" s="22"/>
      <c r="T7" s="22"/>
      <c r="U7" s="22"/>
      <c r="V7" s="22"/>
      <c r="W7" s="22"/>
      <c r="X7" s="22"/>
      <c r="Y7" s="22"/>
      <c r="Z7" s="22"/>
      <c r="AA7" s="22"/>
      <c r="AB7" s="8" t="str">
        <f t="shared" si="1"/>
        <v>A</v>
      </c>
      <c r="AC7" s="131"/>
      <c r="AD7" s="117" t="str">
        <f>IFERROR(__xludf.DUMMYFUNCTION("""COMPUTED_VALUE"""),"HUN")</f>
        <v>HUN</v>
      </c>
      <c r="AE7" s="49">
        <f>IFERROR(__xludf.DUMMYFUNCTION("sum(iferror(query({indirect(""Group""&amp;$AB7)},""select Col2-Col3 where Col1 = '""&amp;$AD7&amp;""' and Col4 = '""&amp;indirect(address(CHAR2NUM($AB7)*$AK$13 + 1, column()))&amp;""'""),0),
     iferror(query({INDIRECT(""Group""&amp;$AB7)},""select Col3-Col2 where Col1 = '""&amp;in"&amp;"direct(address(CHAR2NUM($AB7)*$AK$13 + 1, column()))&amp;""' and Col4 = '""&amp;$AD7&amp;""'""),0))"),3.0)</f>
        <v>3</v>
      </c>
      <c r="AF7" s="118"/>
      <c r="AG7" s="49">
        <f>IFERROR(__xludf.DUMMYFUNCTION("sum(iferror(query({indirect(""Group""&amp;$AB7)},""select Col2-Col3 where Col1 = '""&amp;$AD7&amp;""' and Col4 = '""&amp;indirect(address(CHAR2NUM($AB7)*$AK$13 + 1, column()))&amp;""'""),0),
     iferror(query({INDIRECT(""Group""&amp;$AB7)},""select Col3-Col2 where Col1 = '""&amp;in"&amp;"direct(address(CHAR2NUM($AB7)*$AK$13 + 1, column()))&amp;""' and Col4 = '""&amp;$AD7&amp;""'""),0))"),-1.0)</f>
        <v>-1</v>
      </c>
      <c r="AH7" s="49">
        <f>IFERROR(__xludf.DUMMYFUNCTION("sum(iferror(query({indirect(""Group""&amp;$AB7)},""select Col2-Col3 where Col1 = '""&amp;$AD7&amp;""' and Col4 = '""&amp;indirect(address(CHAR2NUM($AB7)*$AK$13 + 1, column()))&amp;""'""),0),
     iferror(query({INDIRECT(""Group""&amp;$AB7)},""select Col3-Col2 where Col1 = '""&amp;in"&amp;"direct(address(CHAR2NUM($AB7)*$AK$13 + 1, column()))&amp;""' and Col4 = '""&amp;$AD7&amp;""'""),0))"),-2.0)</f>
        <v>-2</v>
      </c>
      <c r="AI7" s="6">
        <v>2.0</v>
      </c>
      <c r="AJ7" s="141" t="s">
        <v>94</v>
      </c>
      <c r="AK7" s="142">
        <v>3.0</v>
      </c>
      <c r="AL7" s="121" t="str">
        <f>IFERROR(__xludf.DUMMYFUNCTION("""COMPUTED_VALUE"""),"Italy")</f>
        <v>Italy</v>
      </c>
      <c r="AM7" s="122" t="s">
        <v>95</v>
      </c>
      <c r="AN7" s="122" t="str">
        <f>IFERROR(__xludf.DUMMYFUNCTION("""COMPUTED_VALUE"""),"B")</f>
        <v>B</v>
      </c>
      <c r="AO7" s="122"/>
      <c r="AP7" s="123"/>
      <c r="AQ7" s="122"/>
      <c r="AR7" s="123">
        <f t="shared" si="4"/>
        <v>0</v>
      </c>
      <c r="AS7" s="122">
        <v>18.0</v>
      </c>
      <c r="AT7" s="124"/>
      <c r="AU7" s="124">
        <v>9.0</v>
      </c>
      <c r="AV7" s="7"/>
      <c r="AW7" s="73" t="s">
        <v>96</v>
      </c>
      <c r="AX7" s="127" t="s">
        <v>97</v>
      </c>
      <c r="AY7" s="33"/>
      <c r="AZ7" s="22"/>
    </row>
    <row r="8" ht="15.0" customHeight="1">
      <c r="A8" s="99" t="s">
        <v>98</v>
      </c>
      <c r="G8" s="114" t="str">
        <f t="array" ref="G8:P8">$G$2:$P$2</f>
        <v>Code</v>
      </c>
      <c r="H8" s="115" t="s">
        <v>26</v>
      </c>
      <c r="I8" s="114" t="s">
        <v>7</v>
      </c>
      <c r="J8" s="114" t="s">
        <v>8</v>
      </c>
      <c r="K8" s="114" t="s">
        <v>9</v>
      </c>
      <c r="L8" s="114" t="s">
        <v>10</v>
      </c>
      <c r="M8" s="114" t="s">
        <v>11</v>
      </c>
      <c r="N8" s="114" t="s">
        <v>12</v>
      </c>
      <c r="O8" s="114" t="s">
        <v>13</v>
      </c>
      <c r="P8" s="114" t="s">
        <v>14</v>
      </c>
      <c r="Q8" s="108" t="s">
        <v>99</v>
      </c>
      <c r="R8" s="108" t="s">
        <v>100</v>
      </c>
      <c r="S8" s="108" t="s">
        <v>101</v>
      </c>
      <c r="T8" s="108" t="s">
        <v>102</v>
      </c>
      <c r="U8" s="22"/>
      <c r="V8" s="22"/>
      <c r="W8" s="22"/>
      <c r="X8" s="22"/>
      <c r="Y8" s="22"/>
      <c r="Z8" s="22"/>
      <c r="AA8" s="22"/>
      <c r="AB8" s="8" t="str">
        <f t="shared" si="1"/>
        <v>A</v>
      </c>
      <c r="AC8" s="131"/>
      <c r="AD8" s="117" t="str">
        <f>IFERROR(__xludf.DUMMYFUNCTION("""COMPUTED_VALUE"""),"SCO")</f>
        <v>SCO</v>
      </c>
      <c r="AE8" s="49">
        <f>IFERROR(__xludf.DUMMYFUNCTION("sum(iferror(query({indirect(""Group""&amp;$AB8)},""select Col2-Col3 where Col1 = '""&amp;$AD8&amp;""' and Col4 = '""&amp;indirect(address(CHAR2NUM($AB8)*$AK$13 + 1, column()))&amp;""'""),0),
     iferror(query({INDIRECT(""Group""&amp;$AB8)},""select Col3-Col2 where Col1 = '""&amp;in"&amp;"direct(address(CHAR2NUM($AB8)*$AK$13 + 1, column()))&amp;""' and Col4 = '""&amp;$AD8&amp;""'""),0))"),1.0)</f>
        <v>1</v>
      </c>
      <c r="AF8" s="49">
        <f>IFERROR(__xludf.DUMMYFUNCTION("sum(iferror(query({indirect(""Group""&amp;$AB8)},""select Col2-Col3 where Col1 = '""&amp;$AD8&amp;""' and Col4 = '""&amp;indirect(address(CHAR2NUM($AB8)*$AK$13 + 1, column()))&amp;""'""),0),
     iferror(query({INDIRECT(""Group""&amp;$AB8)},""select Col3-Col2 where Col1 = '""&amp;in"&amp;"direct(address(CHAR2NUM($AB8)*$AK$13 + 1, column()))&amp;""' and Col4 = '""&amp;$AD8&amp;""'""),0))"),1.0)</f>
        <v>1</v>
      </c>
      <c r="AG8" s="118"/>
      <c r="AH8" s="49">
        <f>IFERROR(__xludf.DUMMYFUNCTION("sum(iferror(query({indirect(""Group""&amp;$AB8)},""select Col2-Col3 where Col1 = '""&amp;$AD8&amp;""' and Col4 = '""&amp;indirect(address(CHAR2NUM($AB8)*$AK$13 + 1, column()))&amp;""'""),0),
     iferror(query({INDIRECT(""Group""&amp;$AB8)},""select Col3-Col2 where Col1 = '""&amp;in"&amp;"direct(address(CHAR2NUM($AB8)*$AK$13 + 1, column()))&amp;""' and Col4 = '""&amp;$AD8&amp;""'""),0))"),1.0)</f>
        <v>1</v>
      </c>
      <c r="AI8" s="6">
        <v>2.0</v>
      </c>
      <c r="AJ8" s="141" t="s">
        <v>103</v>
      </c>
      <c r="AK8" s="143">
        <v>3.0</v>
      </c>
      <c r="AL8" s="121" t="str">
        <f>IFERROR(__xludf.DUMMYFUNCTION("""COMPUTED_VALUE"""),"Croatia")</f>
        <v>Croatia</v>
      </c>
      <c r="AM8" s="122" t="s">
        <v>104</v>
      </c>
      <c r="AN8" s="122" t="str">
        <f>IFERROR(__xludf.DUMMYFUNCTION("""COMPUTED_VALUE"""),"B")</f>
        <v>B</v>
      </c>
      <c r="AO8" s="122"/>
      <c r="AP8" s="124"/>
      <c r="AQ8" s="124"/>
      <c r="AR8" s="123">
        <f t="shared" si="4"/>
        <v>0</v>
      </c>
      <c r="AS8" s="122">
        <v>14.0</v>
      </c>
      <c r="AT8" s="124"/>
      <c r="AU8" s="124">
        <v>10.0</v>
      </c>
      <c r="AV8" s="7"/>
      <c r="AW8" s="73" t="s">
        <v>105</v>
      </c>
      <c r="AX8" s="127" t="s">
        <v>106</v>
      </c>
      <c r="AY8" s="33"/>
      <c r="AZ8" s="22"/>
    </row>
    <row r="9" ht="15.0" customHeight="1">
      <c r="G9" s="49" t="str">
        <f t="array" ref="G9:P12">sort(G3:P6, xlookup("Pts", $I$2:$P$2, $I$7:$P$7), false)</f>
        <v>SCO</v>
      </c>
      <c r="H9" s="144" t="s">
        <v>6</v>
      </c>
      <c r="I9" s="49">
        <v>3.0</v>
      </c>
      <c r="J9" s="49">
        <v>3.0</v>
      </c>
      <c r="K9" s="49">
        <v>0.0</v>
      </c>
      <c r="L9" s="49">
        <v>0.0</v>
      </c>
      <c r="M9" s="49">
        <v>5.0</v>
      </c>
      <c r="N9" s="49">
        <v>2.0</v>
      </c>
      <c r="O9" s="49">
        <v>3.0</v>
      </c>
      <c r="P9" s="49">
        <v>9.0</v>
      </c>
      <c r="Q9" s="145" t="str">
        <f>if(and(I9 &gt; 0, P9=P10),"A","")</f>
        <v/>
      </c>
      <c r="R9" s="145" t="str">
        <f t="shared" ref="R9:R12" si="8">H2H($Q9,$G9,$AB9,{$G$9:$G$12,$Q$9:$Q$12},1)</f>
        <v/>
      </c>
      <c r="S9" s="146" t="str">
        <f t="shared" ref="S9:S12" si="9">H2H($Q9,$G9,$AB9,{$G$9:$G$12,$Q$9:$Q$12},2)</f>
        <v/>
      </c>
      <c r="T9" s="145" t="str">
        <f t="shared" ref="T9:T12" si="10">H2H($Q9,$G9,$AB9,{$G$9:$G$12,$Q$9:$Q$12},3)</f>
        <v/>
      </c>
      <c r="U9" s="22"/>
      <c r="V9" s="7"/>
      <c r="W9" s="7"/>
      <c r="X9" s="7"/>
      <c r="Y9" s="22"/>
      <c r="Z9" s="22"/>
      <c r="AA9" s="22"/>
      <c r="AB9" s="8" t="str">
        <f t="shared" si="1"/>
        <v>A</v>
      </c>
      <c r="AC9" s="133"/>
      <c r="AD9" s="117" t="str">
        <f>IFERROR(__xludf.DUMMYFUNCTION("""COMPUTED_VALUE"""),"SUI")</f>
        <v>SUI</v>
      </c>
      <c r="AE9" s="49">
        <f>IFERROR(__xludf.DUMMYFUNCTION("sum(iferror(query({indirect(""Group""&amp;$AB9)},""select Col2-Col3 where Col1 = '""&amp;$AD9&amp;""' and Col4 = '""&amp;indirect(address(CHAR2NUM($AB9)*$AK$13 + 1, column()))&amp;""'""),0),
     iferror(query({INDIRECT(""Group""&amp;$AB9)},""select Col3-Col2 where Col1 = '""&amp;in"&amp;"direct(address(CHAR2NUM($AB9)*$AK$13 + 1, column()))&amp;""' and Col4 = '""&amp;$AD9&amp;""'""),0))"),-1.0)</f>
        <v>-1</v>
      </c>
      <c r="AF9" s="49">
        <f>IFERROR(__xludf.DUMMYFUNCTION("sum(iferror(query({indirect(""Group""&amp;$AB9)},""select Col2-Col3 where Col1 = '""&amp;$AD9&amp;""' and Col4 = '""&amp;indirect(address(CHAR2NUM($AB9)*$AK$13 + 1, column()))&amp;""'""),0),
     iferror(query({INDIRECT(""Group""&amp;$AB9)},""select Col3-Col2 where Col1 = '""&amp;in"&amp;"direct(address(CHAR2NUM($AB9)*$AK$13 + 1, column()))&amp;""' and Col4 = '""&amp;$AD9&amp;""'""),0))"),2.0)</f>
        <v>2</v>
      </c>
      <c r="AG9" s="49">
        <f>IFERROR(__xludf.DUMMYFUNCTION("sum(iferror(query({indirect(""Group""&amp;$AB9)},""select Col2-Col3 where Col1 = '""&amp;$AD9&amp;""' and Col4 = '""&amp;indirect(address(CHAR2NUM($AB9)*$AK$13 + 1, column()))&amp;""'""),0),
     iferror(query({INDIRECT(""Group""&amp;$AB9)},""select Col3-Col2 where Col1 = '""&amp;in"&amp;"direct(address(CHAR2NUM($AB9)*$AK$13 + 1, column()))&amp;""' and Col4 = '""&amp;$AD9&amp;""'""),0))"),-1.0)</f>
        <v>-1</v>
      </c>
      <c r="AH9" s="118"/>
      <c r="AI9" s="6">
        <v>2.0</v>
      </c>
      <c r="AJ9" s="6"/>
      <c r="AK9" s="22"/>
      <c r="AL9" s="136" t="str">
        <f>IFERROR(__xludf.DUMMYFUNCTION("""COMPUTED_VALUE"""),"Albania")</f>
        <v>Albania</v>
      </c>
      <c r="AM9" s="137" t="s">
        <v>107</v>
      </c>
      <c r="AN9" s="137" t="str">
        <f>IFERROR(__xludf.DUMMYFUNCTION("""COMPUTED_VALUE"""),"B")</f>
        <v>B</v>
      </c>
      <c r="AO9" s="137"/>
      <c r="AP9" s="138"/>
      <c r="AQ9" s="137"/>
      <c r="AR9" s="90">
        <f t="shared" si="4"/>
        <v>0</v>
      </c>
      <c r="AS9" s="137">
        <v>10.0</v>
      </c>
      <c r="AT9" s="138"/>
      <c r="AU9" s="138">
        <v>66.0</v>
      </c>
      <c r="AV9" s="7"/>
      <c r="AW9" s="73" t="s">
        <v>108</v>
      </c>
      <c r="AX9" s="127" t="s">
        <v>109</v>
      </c>
      <c r="AY9" s="33"/>
      <c r="AZ9" s="22"/>
    </row>
    <row r="10" ht="15.0" customHeight="1">
      <c r="G10" s="49" t="s">
        <v>76</v>
      </c>
      <c r="H10" s="144" t="s">
        <v>5</v>
      </c>
      <c r="I10" s="49">
        <v>3.0</v>
      </c>
      <c r="J10" s="49">
        <v>1.0</v>
      </c>
      <c r="K10" s="49">
        <v>0.0</v>
      </c>
      <c r="L10" s="49">
        <v>2.0</v>
      </c>
      <c r="M10" s="49">
        <v>1.0</v>
      </c>
      <c r="N10" s="49">
        <v>4.0</v>
      </c>
      <c r="O10" s="49">
        <v>-3.0</v>
      </c>
      <c r="P10" s="49">
        <v>3.0</v>
      </c>
      <c r="Q10" s="145" t="str">
        <f>ifs(I10 = 0, "", not(Q9 = ""), Q9, P10 = P11, "A", TRUE, "")</f>
        <v>A</v>
      </c>
      <c r="R10" s="145">
        <f t="shared" si="8"/>
        <v>3</v>
      </c>
      <c r="S10" s="146">
        <f t="shared" si="9"/>
        <v>-2</v>
      </c>
      <c r="T10" s="145">
        <f t="shared" si="10"/>
        <v>1</v>
      </c>
      <c r="U10" s="22"/>
      <c r="V10" s="7"/>
      <c r="W10" s="22"/>
      <c r="X10" s="22"/>
      <c r="Y10" s="22"/>
      <c r="Z10" s="22"/>
      <c r="AA10" s="22"/>
      <c r="AB10" s="8" t="str">
        <f t="shared" si="1"/>
        <v>A</v>
      </c>
      <c r="AC10" s="116" t="s">
        <v>110</v>
      </c>
      <c r="AD10" s="117" t="str">
        <f>IFERROR(__xludf.DUMMYFUNCTION("""COMPUTED_VALUE"""),"GER")</f>
        <v>GER</v>
      </c>
      <c r="AE10" s="118"/>
      <c r="AF10" s="49">
        <f>IFERROR(__xludf.DUMMYFUNCTION("ifna(query({indirect(""Group""&amp;$AB10)},""select Col2 where Col1 = '""&amp;$AD10&amp;""' and Col4 = '""&amp;indirect(address(CHAR2NUM($AB10)*$AK$13 + 1, column()))&amp;""'"",0),
      query({INDIRECT(""Group""&amp;$AB10)},""select Col3 where Col1 = '""&amp;indirect(address(CHAR2N"&amp;"UM($AB10)*$AK$13 + 1, column()))&amp;""' and Col4 = '""&amp;$AD10&amp;""'"",0))"),0.0)</f>
        <v>0</v>
      </c>
      <c r="AG10" s="49">
        <f>IFERROR(__xludf.DUMMYFUNCTION("ifna(query({indirect(""Group""&amp;$AB10)},""select Col2 where Col1 = '""&amp;$AD10&amp;""' and Col4 = '""&amp;indirect(address(CHAR2NUM($AB10)*$AK$13 + 1, column()))&amp;""'"",0),
      query({INDIRECT(""Group""&amp;$AB10)},""select Col3 where Col1 = '""&amp;indirect(address(CHAR2N"&amp;"UM($AB10)*$AK$13 + 1, column()))&amp;""' and Col4 = '""&amp;$AD10&amp;""'"",0))"),0.0)</f>
        <v>0</v>
      </c>
      <c r="AH10" s="49">
        <f>IFERROR(__xludf.DUMMYFUNCTION("ifna(query({indirect(""Group""&amp;$AB10)},""select Col2 where Col1 = '""&amp;$AD10&amp;""' and Col4 = '""&amp;indirect(address(CHAR2NUM($AB10)*$AK$13 + 1, column()))&amp;""'"",0),
      query({INDIRECT(""Group""&amp;$AB10)},""select Col3 where Col1 = '""&amp;indirect(address(CHAR2N"&amp;"UM($AB10)*$AK$13 + 1, column()))&amp;""' and Col4 = '""&amp;$AD10&amp;""'"",0))"),1.0)</f>
        <v>1</v>
      </c>
      <c r="AI10" s="6">
        <v>3.0</v>
      </c>
      <c r="AJ10" s="134" t="s">
        <v>111</v>
      </c>
      <c r="AK10" s="135" t="str">
        <f t="array" ref="AK10:AK13">{"";match("B",AB:AB,0) - match("Group B", Wallchart!A:A,0);AK3*(AK3-1)/2;countif(AB:AB,"A")}</f>
        <v/>
      </c>
      <c r="AL10" s="121" t="str">
        <f>IFERROR(__xludf.DUMMYFUNCTION("""COMPUTED_VALUE"""),"Slovenia")</f>
        <v>Slovenia</v>
      </c>
      <c r="AM10" s="122" t="s">
        <v>112</v>
      </c>
      <c r="AN10" s="122" t="str">
        <f>IFERROR(__xludf.DUMMYFUNCTION("""COMPUTED_VALUE"""),"C")</f>
        <v>C</v>
      </c>
      <c r="AO10" s="122"/>
      <c r="AP10" s="123"/>
      <c r="AQ10" s="123"/>
      <c r="AR10" s="123">
        <f t="shared" si="4"/>
        <v>0</v>
      </c>
      <c r="AS10" s="122">
        <v>15.0</v>
      </c>
      <c r="AT10" s="124"/>
      <c r="AU10" s="124">
        <v>57.0</v>
      </c>
      <c r="AV10" s="7"/>
      <c r="AW10" s="73" t="s">
        <v>113</v>
      </c>
      <c r="AX10" s="127" t="s">
        <v>114</v>
      </c>
      <c r="AY10" s="33"/>
      <c r="AZ10" s="22"/>
    </row>
    <row r="11" ht="15.0" customHeight="1">
      <c r="G11" s="49" t="s">
        <v>82</v>
      </c>
      <c r="H11" s="144" t="s">
        <v>15</v>
      </c>
      <c r="I11" s="49">
        <v>3.0</v>
      </c>
      <c r="J11" s="49">
        <v>1.0</v>
      </c>
      <c r="K11" s="49">
        <v>0.0</v>
      </c>
      <c r="L11" s="49">
        <v>2.0</v>
      </c>
      <c r="M11" s="49">
        <v>3.0</v>
      </c>
      <c r="N11" s="49">
        <v>3.0</v>
      </c>
      <c r="O11" s="49">
        <v>0.0</v>
      </c>
      <c r="P11" s="49">
        <v>3.0</v>
      </c>
      <c r="Q11" s="145" t="str">
        <f>ifs(I11 = 0, "", P10 = P11, Q10, P11 = P12, if(Q10 = "A", "B", "A"), TRUE, "")</f>
        <v>A</v>
      </c>
      <c r="R11" s="145">
        <f t="shared" si="8"/>
        <v>3</v>
      </c>
      <c r="S11" s="146">
        <f t="shared" si="9"/>
        <v>1</v>
      </c>
      <c r="T11" s="145">
        <f t="shared" si="10"/>
        <v>3</v>
      </c>
      <c r="U11" s="22"/>
      <c r="V11" s="7"/>
      <c r="W11" s="7"/>
      <c r="X11" s="7"/>
      <c r="Y11" s="22"/>
      <c r="Z11" s="22"/>
      <c r="AA11" s="22"/>
      <c r="AB11" s="8" t="str">
        <f t="shared" si="1"/>
        <v>A</v>
      </c>
      <c r="AC11" s="131"/>
      <c r="AD11" s="117" t="str">
        <f>IFERROR(__xludf.DUMMYFUNCTION("""COMPUTED_VALUE"""),"HUN")</f>
        <v>HUN</v>
      </c>
      <c r="AE11" s="49">
        <f>IFERROR(__xludf.DUMMYFUNCTION("ifna(query({indirect(""Group""&amp;$AB11)},""select Col2 where Col1 = '""&amp;$AD11&amp;""' and Col4 = '""&amp;indirect(address(CHAR2NUM($AB11)*$AK$13 + 1, column()))&amp;""'"",0),
      query({INDIRECT(""Group""&amp;$AB11)},""select Col3 where Col1 = '""&amp;indirect(address(CHAR2N"&amp;"UM($AB11)*$AK$13 + 1, column()))&amp;""' and Col4 = '""&amp;$AD11&amp;""'"",0))"),3.0)</f>
        <v>3</v>
      </c>
      <c r="AF11" s="118"/>
      <c r="AG11" s="49">
        <f>IFERROR(__xludf.DUMMYFUNCTION("ifna(query({indirect(""Group""&amp;$AB11)},""select Col2 where Col1 = '""&amp;$AD11&amp;""' and Col4 = '""&amp;indirect(address(CHAR2NUM($AB11)*$AK$13 + 1, column()))&amp;""'"",0),
      query({INDIRECT(""Group""&amp;$AB11)},""select Col3 where Col1 = '""&amp;indirect(address(CHAR2N"&amp;"UM($AB11)*$AK$13 + 1, column()))&amp;""' and Col4 = '""&amp;$AD11&amp;""'"",0))"),0.0)</f>
        <v>0</v>
      </c>
      <c r="AH11" s="49">
        <f>IFERROR(__xludf.DUMMYFUNCTION("ifna(query({indirect(""Group""&amp;$AB11)},""select Col2 where Col1 = '""&amp;$AD11&amp;""' and Col4 = '""&amp;indirect(address(CHAR2NUM($AB11)*$AK$13 + 1, column()))&amp;""'"",0),
      query({INDIRECT(""Group""&amp;$AB11)},""select Col3 where Col1 = '""&amp;indirect(address(CHAR2N"&amp;"UM($AB11)*$AK$13 + 1, column()))&amp;""' and Col4 = '""&amp;$AD11&amp;""'"",0))"),0.0)</f>
        <v>0</v>
      </c>
      <c r="AI11" s="6">
        <v>3.0</v>
      </c>
      <c r="AJ11" s="147" t="s">
        <v>115</v>
      </c>
      <c r="AK11" s="148">
        <v>16.0</v>
      </c>
      <c r="AL11" s="121" t="str">
        <f>IFERROR(__xludf.DUMMYFUNCTION("""COMPUTED_VALUE"""),"Serbia")</f>
        <v>Serbia</v>
      </c>
      <c r="AM11" s="122" t="s">
        <v>116</v>
      </c>
      <c r="AN11" s="122" t="str">
        <f>IFERROR(__xludf.DUMMYFUNCTION("""COMPUTED_VALUE"""),"C")</f>
        <v>C</v>
      </c>
      <c r="AO11" s="122"/>
      <c r="AP11" s="123"/>
      <c r="AQ11" s="123"/>
      <c r="AR11" s="123">
        <f t="shared" si="4"/>
        <v>0</v>
      </c>
      <c r="AS11" s="122">
        <v>19.0</v>
      </c>
      <c r="AT11" s="124"/>
      <c r="AU11" s="124">
        <v>33.0</v>
      </c>
      <c r="AV11" s="7"/>
      <c r="AW11" s="6"/>
      <c r="AX11" s="149"/>
      <c r="AY11" s="33"/>
      <c r="AZ11" s="22"/>
    </row>
    <row r="12" ht="15.0" customHeight="1">
      <c r="G12" s="49" t="s">
        <v>88</v>
      </c>
      <c r="H12" s="144" t="s">
        <v>16</v>
      </c>
      <c r="I12" s="49">
        <v>3.0</v>
      </c>
      <c r="J12" s="49">
        <v>1.0</v>
      </c>
      <c r="K12" s="49">
        <v>0.0</v>
      </c>
      <c r="L12" s="49">
        <v>2.0</v>
      </c>
      <c r="M12" s="49">
        <v>4.0</v>
      </c>
      <c r="N12" s="49">
        <v>4.0</v>
      </c>
      <c r="O12" s="49">
        <v>0.0</v>
      </c>
      <c r="P12" s="49">
        <v>3.0</v>
      </c>
      <c r="Q12" s="145" t="str">
        <f>if(and(I12 &gt; 0, P11 = P12), Q11, "")</f>
        <v>A</v>
      </c>
      <c r="R12" s="145">
        <f t="shared" si="8"/>
        <v>3</v>
      </c>
      <c r="S12" s="146">
        <f t="shared" si="9"/>
        <v>1</v>
      </c>
      <c r="T12" s="145">
        <f t="shared" si="10"/>
        <v>2</v>
      </c>
      <c r="U12" s="22"/>
      <c r="V12" s="7"/>
      <c r="W12" s="7"/>
      <c r="X12" s="7"/>
      <c r="Y12" s="22"/>
      <c r="Z12" s="22"/>
      <c r="AA12" s="22"/>
      <c r="AB12" s="8" t="str">
        <f t="shared" si="1"/>
        <v>A</v>
      </c>
      <c r="AC12" s="131"/>
      <c r="AD12" s="117" t="str">
        <f>IFERROR(__xludf.DUMMYFUNCTION("""COMPUTED_VALUE"""),"SCO")</f>
        <v>SCO</v>
      </c>
      <c r="AE12" s="49">
        <f>IFERROR(__xludf.DUMMYFUNCTION("ifna(query({indirect(""Group""&amp;$AB12)},""select Col2 where Col1 = '""&amp;$AD12&amp;""' and Col4 = '""&amp;indirect(address(CHAR2NUM($AB12)*$AK$13 + 1, column()))&amp;""'"",0),
      query({INDIRECT(""Group""&amp;$AB12)},""select Col3 where Col1 = '""&amp;indirect(address(CHAR2N"&amp;"UM($AB12)*$AK$13 + 1, column()))&amp;""' and Col4 = '""&amp;$AD12&amp;""'"",0))"),1.0)</f>
        <v>1</v>
      </c>
      <c r="AF12" s="49">
        <f>IFERROR(__xludf.DUMMYFUNCTION("ifna(query({indirect(""Group""&amp;$AB12)},""select Col2 where Col1 = '""&amp;$AD12&amp;""' and Col4 = '""&amp;indirect(address(CHAR2NUM($AB12)*$AK$13 + 1, column()))&amp;""'"",0),
      query({INDIRECT(""Group""&amp;$AB12)},""select Col3 where Col1 = '""&amp;indirect(address(CHAR2N"&amp;"UM($AB12)*$AK$13 + 1, column()))&amp;""' and Col4 = '""&amp;$AD12&amp;""'"",0))"),1.0)</f>
        <v>1</v>
      </c>
      <c r="AG12" s="118"/>
      <c r="AH12" s="49">
        <f>IFERROR(__xludf.DUMMYFUNCTION("ifna(query({indirect(""Group""&amp;$AB12)},""select Col2 where Col1 = '""&amp;$AD12&amp;""' and Col4 = '""&amp;indirect(address(CHAR2NUM($AB12)*$AK$13 + 1, column()))&amp;""'"",0),
      query({INDIRECT(""Group""&amp;$AB12)},""select Col3 where Col1 = '""&amp;indirect(address(CHAR2N"&amp;"UM($AB12)*$AK$13 + 1, column()))&amp;""' and Col4 = '""&amp;$AD12&amp;""'"",0))"),3.0)</f>
        <v>3</v>
      </c>
      <c r="AI12" s="6">
        <v>3.0</v>
      </c>
      <c r="AJ12" s="141" t="s">
        <v>117</v>
      </c>
      <c r="AK12" s="148">
        <v>6.0</v>
      </c>
      <c r="AL12" s="121" t="str">
        <f>IFERROR(__xludf.DUMMYFUNCTION("""COMPUTED_VALUE"""),"Denmark")</f>
        <v>Denmark</v>
      </c>
      <c r="AM12" s="122" t="s">
        <v>118</v>
      </c>
      <c r="AN12" s="122" t="str">
        <f>IFERROR(__xludf.DUMMYFUNCTION("""COMPUTED_VALUE"""),"C")</f>
        <v>C</v>
      </c>
      <c r="AO12" s="122"/>
      <c r="AP12" s="122"/>
      <c r="AQ12" s="123"/>
      <c r="AR12" s="123">
        <f t="shared" si="4"/>
        <v>0</v>
      </c>
      <c r="AS12" s="122">
        <v>9.0</v>
      </c>
      <c r="AT12" s="123"/>
      <c r="AU12" s="123">
        <v>21.0</v>
      </c>
      <c r="AV12" s="7"/>
      <c r="AW12" s="5"/>
      <c r="AX12" s="150"/>
      <c r="AY12" s="151"/>
      <c r="AZ12" s="4"/>
    </row>
    <row r="13" ht="15.0" customHeight="1">
      <c r="G13" s="22"/>
      <c r="H13" s="33"/>
      <c r="I13" s="22">
        <f t="array" ref="I13:T13">sequence(1,12,3,1)</f>
        <v>3</v>
      </c>
      <c r="J13" s="22">
        <v>4.0</v>
      </c>
      <c r="K13" s="22">
        <v>5.0</v>
      </c>
      <c r="L13" s="22">
        <v>6.0</v>
      </c>
      <c r="M13" s="22">
        <v>7.0</v>
      </c>
      <c r="N13" s="22">
        <v>8.0</v>
      </c>
      <c r="O13" s="22">
        <v>9.0</v>
      </c>
      <c r="P13" s="22">
        <v>10.0</v>
      </c>
      <c r="Q13" s="22">
        <v>11.0</v>
      </c>
      <c r="R13" s="22">
        <v>12.0</v>
      </c>
      <c r="S13" s="22">
        <v>13.0</v>
      </c>
      <c r="T13" s="22">
        <v>14.0</v>
      </c>
      <c r="U13" s="22"/>
      <c r="V13" s="22"/>
      <c r="W13" s="22"/>
      <c r="X13" s="22"/>
      <c r="Y13" s="22"/>
      <c r="Z13" s="22"/>
      <c r="AA13" s="22"/>
      <c r="AB13" s="8" t="str">
        <f t="shared" si="1"/>
        <v>A</v>
      </c>
      <c r="AC13" s="133"/>
      <c r="AD13" s="117" t="str">
        <f>IFERROR(__xludf.DUMMYFUNCTION("""COMPUTED_VALUE"""),"SUI")</f>
        <v>SUI</v>
      </c>
      <c r="AE13" s="49">
        <f>IFERROR(__xludf.DUMMYFUNCTION("ifna(query({indirect(""Group""&amp;$AB13)},""select Col2 where Col1 = '""&amp;$AD13&amp;""' and Col4 = '""&amp;indirect(address(CHAR2NUM($AB13)*$AK$13 + 1, column()))&amp;""'"",0),
      query({INDIRECT(""Group""&amp;$AB13)},""select Col3 where Col1 = '""&amp;indirect(address(CHAR2N"&amp;"UM($AB13)*$AK$13 + 1, column()))&amp;""' and Col4 = '""&amp;$AD13&amp;""'"",0))"),0.0)</f>
        <v>0</v>
      </c>
      <c r="AF13" s="49">
        <f>IFERROR(__xludf.DUMMYFUNCTION("ifna(query({indirect(""Group""&amp;$AB13)},""select Col2 where Col1 = '""&amp;$AD13&amp;""' and Col4 = '""&amp;indirect(address(CHAR2NUM($AB13)*$AK$13 + 1, column()))&amp;""'"",0),
      query({INDIRECT(""Group""&amp;$AB13)},""select Col3 where Col1 = '""&amp;indirect(address(CHAR2N"&amp;"UM($AB13)*$AK$13 + 1, column()))&amp;""' and Col4 = '""&amp;$AD13&amp;""'"",0))"),2.0)</f>
        <v>2</v>
      </c>
      <c r="AG13" s="49">
        <f>IFERROR(__xludf.DUMMYFUNCTION("ifna(query({indirect(""Group""&amp;$AB13)},""select Col2 where Col1 = '""&amp;$AD13&amp;""' and Col4 = '""&amp;indirect(address(CHAR2NUM($AB13)*$AK$13 + 1, column()))&amp;""'"",0),
      query({INDIRECT(""Group""&amp;$AB13)},""select Col3 where Col1 = '""&amp;indirect(address(CHAR2N"&amp;"UM($AB13)*$AK$13 + 1, column()))&amp;""' and Col4 = '""&amp;$AD13&amp;""'"",0))"),2.0)</f>
        <v>2</v>
      </c>
      <c r="AH13" s="118"/>
      <c r="AI13" s="6">
        <v>3.0</v>
      </c>
      <c r="AJ13" s="15" t="s">
        <v>119</v>
      </c>
      <c r="AK13" s="152">
        <v>25.0</v>
      </c>
      <c r="AL13" s="136" t="str">
        <f>IFERROR(__xludf.DUMMYFUNCTION("""COMPUTED_VALUE"""),"England")</f>
        <v>England</v>
      </c>
      <c r="AM13" s="137" t="s">
        <v>120</v>
      </c>
      <c r="AN13" s="137" t="str">
        <f>IFERROR(__xludf.DUMMYFUNCTION("""COMPUTED_VALUE"""),"C")</f>
        <v>C</v>
      </c>
      <c r="AO13" s="137"/>
      <c r="AP13" s="137"/>
      <c r="AQ13" s="137"/>
      <c r="AR13" s="90">
        <f t="shared" si="4"/>
        <v>0</v>
      </c>
      <c r="AS13" s="137">
        <v>5.0</v>
      </c>
      <c r="AT13" s="138"/>
      <c r="AU13" s="138">
        <v>4.0</v>
      </c>
      <c r="AV13" s="7"/>
      <c r="AW13" s="5"/>
      <c r="AX13" s="150"/>
      <c r="AY13" s="151"/>
      <c r="AZ13" s="4"/>
    </row>
    <row r="14" ht="15.0" customHeight="1">
      <c r="G14" s="114" t="str">
        <f t="array" ref="G14:T14">$G$8:$T$8</f>
        <v>Code</v>
      </c>
      <c r="H14" s="115" t="s">
        <v>26</v>
      </c>
      <c r="I14" s="114" t="s">
        <v>7</v>
      </c>
      <c r="J14" s="114" t="s">
        <v>8</v>
      </c>
      <c r="K14" s="114" t="s">
        <v>9</v>
      </c>
      <c r="L14" s="114" t="s">
        <v>10</v>
      </c>
      <c r="M14" s="114" t="s">
        <v>11</v>
      </c>
      <c r="N14" s="114" t="s">
        <v>12</v>
      </c>
      <c r="O14" s="114" t="s">
        <v>13</v>
      </c>
      <c r="P14" s="114" t="s">
        <v>14</v>
      </c>
      <c r="Q14" s="114" t="s">
        <v>99</v>
      </c>
      <c r="R14" s="114" t="s">
        <v>100</v>
      </c>
      <c r="S14" s="114" t="s">
        <v>101</v>
      </c>
      <c r="T14" s="114" t="s">
        <v>102</v>
      </c>
      <c r="U14" s="108" t="s">
        <v>121</v>
      </c>
      <c r="V14" s="108" t="s">
        <v>122</v>
      </c>
      <c r="W14" s="153" t="s">
        <v>123</v>
      </c>
      <c r="X14" s="108" t="s">
        <v>124</v>
      </c>
      <c r="Y14" s="154" t="s">
        <v>125</v>
      </c>
      <c r="Z14" s="154" t="s">
        <v>126</v>
      </c>
      <c r="AA14" s="154" t="s">
        <v>127</v>
      </c>
      <c r="AB14" s="8" t="str">
        <f t="shared" si="1"/>
        <v>A</v>
      </c>
      <c r="AC14" s="6"/>
      <c r="AD14" s="6"/>
      <c r="AE14" s="6"/>
      <c r="AF14" s="6"/>
      <c r="AG14" s="6"/>
      <c r="AH14" s="6"/>
      <c r="AI14" s="6"/>
      <c r="AJ14" s="6"/>
      <c r="AK14" s="22"/>
      <c r="AL14" s="121" t="str">
        <f>IFERROR(__xludf.DUMMYFUNCTION("""COMPUTED_VALUE"""),"Poland")</f>
        <v>Poland</v>
      </c>
      <c r="AM14" s="122" t="s">
        <v>128</v>
      </c>
      <c r="AN14" s="122" t="str">
        <f>IFERROR(__xludf.DUMMYFUNCTION("""COMPUTED_VALUE"""),"D")</f>
        <v>D</v>
      </c>
      <c r="AO14" s="122"/>
      <c r="AP14" s="123"/>
      <c r="AQ14" s="123"/>
      <c r="AR14" s="123">
        <f t="shared" si="4"/>
        <v>0</v>
      </c>
      <c r="AS14" s="122">
        <v>26.0</v>
      </c>
      <c r="AT14" s="124"/>
      <c r="AU14" s="124">
        <v>28.0</v>
      </c>
      <c r="AV14" s="7"/>
      <c r="AW14" s="5"/>
      <c r="AX14" s="150"/>
      <c r="AY14" s="151"/>
      <c r="AZ14" s="4"/>
    </row>
    <row r="15" ht="15.0" customHeight="1">
      <c r="G15" s="49" t="str">
        <f t="array" ref="G15:T18">sort(G9:T12, xlookup("Pts", $I$8:$T$8, $I$13:$T$13), false,
              xlookup("P1", $I$8:$T$8, $I$13:$T$13), false, xlookup("G1", $I$8:$T$8, $I$13:$T$13), false, xlookup("F1", $I$8:$T$8, $I$13:$T$13), false,
              xlookup("GD", $I$8:$T$8, $I$13:$T$13), false, xlookup("F", $I$8:$T$8, $I$13:$T$13), false)</f>
        <v>SCO</v>
      </c>
      <c r="H15" s="144" t="s">
        <v>6</v>
      </c>
      <c r="I15" s="49">
        <v>3.0</v>
      </c>
      <c r="J15" s="49">
        <v>3.0</v>
      </c>
      <c r="K15" s="49">
        <v>0.0</v>
      </c>
      <c r="L15" s="49">
        <v>0.0</v>
      </c>
      <c r="M15" s="49">
        <v>5.0</v>
      </c>
      <c r="N15" s="49">
        <v>2.0</v>
      </c>
      <c r="O15" s="49">
        <v>3.0</v>
      </c>
      <c r="P15" s="49">
        <v>9.0</v>
      </c>
      <c r="Q15" s="49" t="s">
        <v>77</v>
      </c>
      <c r="R15" s="49" t="s">
        <v>77</v>
      </c>
      <c r="S15" s="50" t="s">
        <v>77</v>
      </c>
      <c r="T15" s="49" t="s">
        <v>77</v>
      </c>
      <c r="U15" s="145" t="str">
        <f>if(not(Q15=""),if(and(R15=R16,S15=S16,T15=T16),Q15,""),"")</f>
        <v/>
      </c>
      <c r="V15" s="145" t="str">
        <f t="shared" ref="V15:V18" si="11">H2H($U15,$G15,$AB15,{$G$15:$G$18,$U$15:$U$18},1)</f>
        <v/>
      </c>
      <c r="W15" s="146" t="str">
        <f t="shared" ref="W15:W18" si="12">H2H($U15,$G15,$AB15,{$G$15:$G$18,$U$15:$U$18},2)</f>
        <v/>
      </c>
      <c r="X15" s="145" t="str">
        <f t="shared" ref="X15:X18" si="13">H2H($U15,$G15,$AB15,{$G$15:$G$18,$U$15:$U$18},3)</f>
        <v/>
      </c>
      <c r="Y15" s="155" t="str">
        <f>IFERROR(__xludf.DUMMYFUNCTION("ifna(query({indirect(""Penalties""&amp;$AB15)},""select Col2 where Col1 = '""&amp;G15&amp;""'"",0), query({indirect(""Penalties""&amp;$AB15)},""select Col3 where Col4 = '""&amp;G15&amp;""'"",0))"),"")</f>
        <v/>
      </c>
      <c r="Z15" s="155">
        <f t="array" ref="Z15:Z18">xlookup(indirect(address(row(), column($G:$G), 4)&amp;":"&amp;address(row() + $AK$3 - 1, column($G:$G))), index(teamInfo,,2), index(teamInfo,,7))</f>
        <v>0</v>
      </c>
      <c r="AA15" s="155">
        <f>IFERROR(__xludf.DUMMYFUNCTION("if(xlookup($G15, index(teamInfo,,2), index(teamInfo,,11)) = """",
    xlookup($G15, index(teamInfo,,2), index(teamInfo,,8)), query({teamInfo}, ""select Col11 where Col2 = '""&amp;$G15&amp;""'"", 0))"),13.0)</f>
        <v>13</v>
      </c>
      <c r="AB15" s="8" t="str">
        <f t="shared" si="1"/>
        <v>A</v>
      </c>
      <c r="AC15" s="7" t="str">
        <f>"Group "&amp;AB14&amp;" Ranking Explanation"</f>
        <v>Group A Ranking Explanation</v>
      </c>
      <c r="AI15" s="6"/>
      <c r="AJ15" s="79" t="s">
        <v>129</v>
      </c>
      <c r="AK15" s="22"/>
      <c r="AL15" s="121" t="str">
        <f>IFERROR(__xludf.DUMMYFUNCTION("""COMPUTED_VALUE"""),"Austria")</f>
        <v>Austria</v>
      </c>
      <c r="AM15" s="122" t="s">
        <v>130</v>
      </c>
      <c r="AN15" s="122" t="str">
        <f>IFERROR(__xludf.DUMMYFUNCTION("""COMPUTED_VALUE"""),"D")</f>
        <v>D</v>
      </c>
      <c r="AO15" s="122"/>
      <c r="AP15" s="124"/>
      <c r="AQ15" s="123"/>
      <c r="AR15" s="123">
        <f t="shared" si="4"/>
        <v>0</v>
      </c>
      <c r="AS15" s="122">
        <v>11.0</v>
      </c>
      <c r="AT15" s="124"/>
      <c r="AU15" s="124">
        <v>25.0</v>
      </c>
      <c r="AV15" s="7"/>
      <c r="AW15" s="5"/>
      <c r="AX15" s="150"/>
      <c r="AY15" s="151"/>
      <c r="AZ15" s="4"/>
    </row>
    <row r="16" ht="15.0" customHeight="1">
      <c r="G16" s="49" t="s">
        <v>82</v>
      </c>
      <c r="H16" s="144" t="s">
        <v>15</v>
      </c>
      <c r="I16" s="49">
        <v>3.0</v>
      </c>
      <c r="J16" s="49">
        <v>1.0</v>
      </c>
      <c r="K16" s="49">
        <v>0.0</v>
      </c>
      <c r="L16" s="49">
        <v>2.0</v>
      </c>
      <c r="M16" s="49">
        <v>3.0</v>
      </c>
      <c r="N16" s="49">
        <v>3.0</v>
      </c>
      <c r="O16" s="49">
        <v>0.0</v>
      </c>
      <c r="P16" s="49">
        <v>3.0</v>
      </c>
      <c r="Q16" s="49" t="s">
        <v>12</v>
      </c>
      <c r="R16" s="49">
        <v>3.0</v>
      </c>
      <c r="S16" s="50">
        <v>1.0</v>
      </c>
      <c r="T16" s="49">
        <v>3.0</v>
      </c>
      <c r="U16" s="145" t="str">
        <f>if(not(Q16=""),if(and(R15=R16,S15=S16,T15=T16),Q15,if(and(R16=R17,S16=S17,T16=T17),Q16,"")),"")</f>
        <v/>
      </c>
      <c r="V16" s="145" t="str">
        <f t="shared" si="11"/>
        <v/>
      </c>
      <c r="W16" s="146" t="str">
        <f t="shared" si="12"/>
        <v/>
      </c>
      <c r="X16" s="145" t="str">
        <f t="shared" si="13"/>
        <v/>
      </c>
      <c r="Y16" s="155" t="str">
        <f>IFERROR(__xludf.DUMMYFUNCTION("ifna(query({indirect(""Penalties""&amp;$AB16)},""select Col2 where Col1 = '""&amp;G16&amp;""'"",0), query({indirect(""Penalties""&amp;$AB16)},""select Col3 where Col4 = '""&amp;G16&amp;""'"",0))"),"")</f>
        <v/>
      </c>
      <c r="Z16" s="155">
        <v>0.0</v>
      </c>
      <c r="AA16" s="155">
        <f>IFERROR(__xludf.DUMMYFUNCTION("if(xlookup($G16, index(teamInfo,,2), index(teamInfo,,11)) = """",
    xlookup($G16, index(teamInfo,,2), index(teamInfo,,8)), query({teamInfo}, ""select Col11 where Col2 = '""&amp;$G16&amp;""'"", 0))"),6.0)</f>
        <v>6</v>
      </c>
      <c r="AB16" s="8" t="str">
        <f t="shared" si="1"/>
        <v>A</v>
      </c>
      <c r="AC16" s="156"/>
      <c r="AD16" s="59"/>
      <c r="AE16" s="59"/>
      <c r="AF16" s="59"/>
      <c r="AG16" s="59"/>
      <c r="AH16" s="60"/>
      <c r="AI16" s="6"/>
      <c r="AJ16" s="15" t="s">
        <v>5</v>
      </c>
      <c r="AK16" s="22"/>
      <c r="AL16" s="121" t="str">
        <f>IFERROR(__xludf.DUMMYFUNCTION("""COMPUTED_VALUE"""),"Netherlands")</f>
        <v>Netherlands</v>
      </c>
      <c r="AM16" s="122" t="s">
        <v>131</v>
      </c>
      <c r="AN16" s="122" t="str">
        <f>IFERROR(__xludf.DUMMYFUNCTION("""COMPUTED_VALUE"""),"D")</f>
        <v>D</v>
      </c>
      <c r="AO16" s="122"/>
      <c r="AP16" s="123"/>
      <c r="AQ16" s="123"/>
      <c r="AR16" s="123">
        <f t="shared" si="4"/>
        <v>0</v>
      </c>
      <c r="AS16" s="122">
        <v>12.0</v>
      </c>
      <c r="AT16" s="124"/>
      <c r="AU16" s="124">
        <v>7.0</v>
      </c>
      <c r="AV16" s="7"/>
      <c r="AW16" s="5"/>
      <c r="AX16" s="150"/>
      <c r="AY16" s="151"/>
      <c r="AZ16" s="4"/>
    </row>
    <row r="17" ht="15.0" customHeight="1">
      <c r="G17" s="49" t="s">
        <v>88</v>
      </c>
      <c r="H17" s="144" t="s">
        <v>16</v>
      </c>
      <c r="I17" s="49">
        <v>3.0</v>
      </c>
      <c r="J17" s="49">
        <v>1.0</v>
      </c>
      <c r="K17" s="49">
        <v>0.0</v>
      </c>
      <c r="L17" s="49">
        <v>2.0</v>
      </c>
      <c r="M17" s="49">
        <v>4.0</v>
      </c>
      <c r="N17" s="49">
        <v>4.0</v>
      </c>
      <c r="O17" s="49">
        <v>0.0</v>
      </c>
      <c r="P17" s="49">
        <v>3.0</v>
      </c>
      <c r="Q17" s="49" t="s">
        <v>12</v>
      </c>
      <c r="R17" s="49">
        <v>3.0</v>
      </c>
      <c r="S17" s="50">
        <v>1.0</v>
      </c>
      <c r="T17" s="49">
        <v>2.0</v>
      </c>
      <c r="U17" s="145" t="str">
        <f>if(not(Q17=""),if(and(R16=R17,S16=S17,T16=T17),Q17,if(and(R17=R18,S17=S18,T17=T18),Q17,"")),"")</f>
        <v/>
      </c>
      <c r="V17" s="145" t="str">
        <f t="shared" si="11"/>
        <v/>
      </c>
      <c r="W17" s="146" t="str">
        <f t="shared" si="12"/>
        <v/>
      </c>
      <c r="X17" s="145" t="str">
        <f t="shared" si="13"/>
        <v/>
      </c>
      <c r="Y17" s="155" t="str">
        <f>IFERROR(__xludf.DUMMYFUNCTION("ifna(query({indirect(""Penalties""&amp;$AB17)},""select Col2 where Col1 = '""&amp;G17&amp;""'"",0), query({indirect(""Penalties""&amp;$AB17)},""select Col3 where Col4 = '""&amp;G17&amp;""'"",0))"),"")</f>
        <v/>
      </c>
      <c r="Z17" s="155">
        <v>0.0</v>
      </c>
      <c r="AA17" s="155">
        <f>IFERROR(__xludf.DUMMYFUNCTION("if(xlookup($G17, index(teamInfo,,2), index(teamInfo,,11)) = """",
    xlookup($G17, index(teamInfo,,2), index(teamInfo,,8)), query({teamInfo}, ""select Col11 where Col2 = '""&amp;$G17&amp;""'"", 0))"),20.0)</f>
        <v>20</v>
      </c>
      <c r="AB17" s="8" t="str">
        <f t="shared" si="1"/>
        <v>A</v>
      </c>
      <c r="AC17" s="157"/>
      <c r="AH17" s="158"/>
      <c r="AI17" s="6"/>
      <c r="AJ17" s="15"/>
      <c r="AK17" s="22"/>
      <c r="AL17" s="136" t="str">
        <f>IFERROR(__xludf.DUMMYFUNCTION("""COMPUTED_VALUE"""),"France")</f>
        <v>France</v>
      </c>
      <c r="AM17" s="137" t="s">
        <v>132</v>
      </c>
      <c r="AN17" s="137" t="str">
        <f>IFERROR(__xludf.DUMMYFUNCTION("""COMPUTED_VALUE"""),"D")</f>
        <v>D</v>
      </c>
      <c r="AO17" s="137"/>
      <c r="AP17" s="90"/>
      <c r="AQ17" s="90"/>
      <c r="AR17" s="90">
        <f t="shared" si="4"/>
        <v>0</v>
      </c>
      <c r="AS17" s="137">
        <v>2.0</v>
      </c>
      <c r="AT17" s="138"/>
      <c r="AU17" s="138">
        <v>2.0</v>
      </c>
      <c r="AV17" s="7"/>
      <c r="AW17" s="5"/>
      <c r="AX17" s="150"/>
      <c r="AY17" s="151"/>
      <c r="AZ17" s="4"/>
    </row>
    <row r="18" ht="15.0" customHeight="1">
      <c r="G18" s="49" t="s">
        <v>76</v>
      </c>
      <c r="H18" s="144" t="s">
        <v>5</v>
      </c>
      <c r="I18" s="49">
        <v>3.0</v>
      </c>
      <c r="J18" s="49">
        <v>1.0</v>
      </c>
      <c r="K18" s="49">
        <v>0.0</v>
      </c>
      <c r="L18" s="49">
        <v>2.0</v>
      </c>
      <c r="M18" s="49">
        <v>1.0</v>
      </c>
      <c r="N18" s="49">
        <v>4.0</v>
      </c>
      <c r="O18" s="49">
        <v>-3.0</v>
      </c>
      <c r="P18" s="49">
        <v>3.0</v>
      </c>
      <c r="Q18" s="49" t="s">
        <v>12</v>
      </c>
      <c r="R18" s="49">
        <v>3.0</v>
      </c>
      <c r="S18" s="50">
        <v>-2.0</v>
      </c>
      <c r="T18" s="49">
        <v>1.0</v>
      </c>
      <c r="U18" s="145" t="str">
        <f>if(not(Q18=""),if(and(R17=R18,S17=S18,T17=T18),Q18,""),"")</f>
        <v/>
      </c>
      <c r="V18" s="145" t="str">
        <f t="shared" si="11"/>
        <v/>
      </c>
      <c r="W18" s="146" t="str">
        <f t="shared" si="12"/>
        <v/>
      </c>
      <c r="X18" s="145" t="str">
        <f t="shared" si="13"/>
        <v/>
      </c>
      <c r="Y18" s="155" t="str">
        <f>IFERROR(__xludf.DUMMYFUNCTION("ifna(query({indirect(""Penalties""&amp;$AB18)},""select Col2 where Col1 = '""&amp;G18&amp;""'"",0), query({indirect(""Penalties""&amp;$AB18)},""select Col3 where Col4 = '""&amp;G18&amp;""'"",0))"),"")</f>
        <v/>
      </c>
      <c r="Z18" s="155">
        <v>0.0</v>
      </c>
      <c r="AA18" s="155" t="str">
        <f>IFERROR(__xludf.DUMMYFUNCTION("if(xlookup($G18, index(teamInfo,,2), index(teamInfo,,11)) = """",
    xlookup($G18, index(teamInfo,,2), index(teamInfo,,8)), query({teamInfo}, ""select Col11 where Col2 = '""&amp;$G18&amp;""'"", 0))"),"")</f>
        <v/>
      </c>
      <c r="AB18" s="8" t="str">
        <f t="shared" si="1"/>
        <v>A</v>
      </c>
      <c r="AC18" s="157"/>
      <c r="AH18" s="158"/>
      <c r="AI18" s="5"/>
      <c r="AJ18" s="15"/>
      <c r="AK18" s="4"/>
      <c r="AL18" s="121" t="str">
        <f>IFERROR(__xludf.DUMMYFUNCTION("""COMPUTED_VALUE"""),"Romania")</f>
        <v>Romania</v>
      </c>
      <c r="AM18" s="122" t="s">
        <v>133</v>
      </c>
      <c r="AN18" s="122" t="str">
        <f>IFERROR(__xludf.DUMMYFUNCTION("""COMPUTED_VALUE"""),"E")</f>
        <v>E</v>
      </c>
      <c r="AO18" s="122"/>
      <c r="AP18" s="122"/>
      <c r="AQ18" s="123"/>
      <c r="AR18" s="123">
        <f t="shared" si="4"/>
        <v>0</v>
      </c>
      <c r="AS18" s="122">
        <v>8.0</v>
      </c>
      <c r="AT18" s="124"/>
      <c r="AU18" s="124">
        <v>46.0</v>
      </c>
      <c r="AV18" s="7"/>
      <c r="AW18" s="6"/>
      <c r="AX18" s="149"/>
      <c r="AY18" s="33"/>
      <c r="AZ18" s="22"/>
    </row>
    <row r="19" ht="15.0" customHeight="1">
      <c r="A19" s="21" t="str">
        <f>IFERROR(__xludf.DUMMYFUNCTION("query({indirect(""Group""&amp;$AB19)}, ""select Col""&amp;column()&amp;"" offset 4"")"),"SUI")</f>
        <v>SUI</v>
      </c>
      <c r="B19" s="16"/>
      <c r="C19" s="16"/>
      <c r="D19" s="6" t="str">
        <f>IFERROR(__xludf.DUMMYFUNCTION("query({indirect(""Group""&amp;$AB19)}, ""select Col""&amp;column()&amp;"" offset 4"")"),"GER")</f>
        <v>GER</v>
      </c>
      <c r="E19" s="99"/>
      <c r="F19" s="159"/>
      <c r="G19" s="22"/>
      <c r="H19" s="33"/>
      <c r="I19" s="22">
        <f t="array" ref="I19:AA19">sequence(1,19,2,1)</f>
        <v>2</v>
      </c>
      <c r="J19" s="22">
        <v>3.0</v>
      </c>
      <c r="K19" s="22">
        <v>4.0</v>
      </c>
      <c r="L19" s="22">
        <v>5.0</v>
      </c>
      <c r="M19" s="22">
        <v>6.0</v>
      </c>
      <c r="N19" s="22">
        <v>7.0</v>
      </c>
      <c r="O19" s="22">
        <v>8.0</v>
      </c>
      <c r="P19" s="22">
        <v>9.0</v>
      </c>
      <c r="Q19" s="22">
        <v>10.0</v>
      </c>
      <c r="R19" s="22">
        <v>11.0</v>
      </c>
      <c r="S19" s="22">
        <v>12.0</v>
      </c>
      <c r="T19" s="22">
        <v>13.0</v>
      </c>
      <c r="U19" s="22">
        <v>14.0</v>
      </c>
      <c r="V19" s="22">
        <v>15.0</v>
      </c>
      <c r="W19" s="22">
        <v>16.0</v>
      </c>
      <c r="X19" s="22">
        <v>17.0</v>
      </c>
      <c r="Y19" s="7">
        <v>18.0</v>
      </c>
      <c r="Z19" s="22">
        <v>19.0</v>
      </c>
      <c r="AA19" s="22">
        <v>20.0</v>
      </c>
      <c r="AB19" s="8" t="str">
        <f t="shared" si="1"/>
        <v>A</v>
      </c>
      <c r="AC19" s="157"/>
      <c r="AH19" s="158"/>
      <c r="AI19" s="5"/>
      <c r="AJ19" s="15"/>
      <c r="AK19" s="4"/>
      <c r="AL19" s="121" t="str">
        <f>IFERROR(__xludf.DUMMYFUNCTION("""COMPUTED_VALUE"""),"Belgium")</f>
        <v>Belgium</v>
      </c>
      <c r="AM19" s="122" t="s">
        <v>134</v>
      </c>
      <c r="AN19" s="122" t="str">
        <f>IFERROR(__xludf.DUMMYFUNCTION("""COMPUTED_VALUE"""),"E")</f>
        <v>E</v>
      </c>
      <c r="AO19" s="122"/>
      <c r="AP19" s="123"/>
      <c r="AQ19" s="123"/>
      <c r="AR19" s="123">
        <f t="shared" si="4"/>
        <v>0</v>
      </c>
      <c r="AS19" s="122">
        <v>4.0</v>
      </c>
      <c r="AT19" s="124"/>
      <c r="AU19" s="124">
        <v>3.0</v>
      </c>
      <c r="AV19" s="7"/>
      <c r="AW19" s="5"/>
      <c r="AX19" s="150"/>
      <c r="AY19" s="151"/>
      <c r="AZ19" s="4"/>
    </row>
    <row r="20" ht="15.0" customHeight="1">
      <c r="A20" s="21" t="str">
        <f>IFERROR(__xludf.DUMMYFUNCTION("""COMPUTED_VALUE"""),"SCO")</f>
        <v>SCO</v>
      </c>
      <c r="B20" s="16"/>
      <c r="C20" s="16"/>
      <c r="D20" s="6" t="str">
        <f>IFERROR(__xludf.DUMMYFUNCTION("""COMPUTED_VALUE"""),"HUN")</f>
        <v>HUN</v>
      </c>
      <c r="E20" s="99"/>
      <c r="F20" s="159"/>
      <c r="G20" s="160" t="str">
        <f>H14</f>
        <v>Team</v>
      </c>
      <c r="H20" s="3"/>
      <c r="I20" s="161" t="str">
        <f t="array" ref="I20:AA20">$I$14:$AA$14</f>
        <v>P</v>
      </c>
      <c r="J20" s="161" t="s">
        <v>8</v>
      </c>
      <c r="K20" s="161" t="s">
        <v>9</v>
      </c>
      <c r="L20" s="161" t="s">
        <v>10</v>
      </c>
      <c r="M20" s="161" t="s">
        <v>11</v>
      </c>
      <c r="N20" s="161" t="s">
        <v>12</v>
      </c>
      <c r="O20" s="161" t="s">
        <v>13</v>
      </c>
      <c r="P20" s="161" t="s">
        <v>14</v>
      </c>
      <c r="Q20" s="114" t="s">
        <v>99</v>
      </c>
      <c r="R20" s="162" t="s">
        <v>100</v>
      </c>
      <c r="S20" s="162" t="s">
        <v>101</v>
      </c>
      <c r="T20" s="162" t="s">
        <v>102</v>
      </c>
      <c r="U20" s="114" t="s">
        <v>121</v>
      </c>
      <c r="V20" s="162" t="s">
        <v>122</v>
      </c>
      <c r="W20" s="163" t="s">
        <v>123</v>
      </c>
      <c r="X20" s="162" t="s">
        <v>124</v>
      </c>
      <c r="Y20" s="162" t="s">
        <v>125</v>
      </c>
      <c r="Z20" s="114" t="s">
        <v>126</v>
      </c>
      <c r="AA20" s="162" t="s">
        <v>127</v>
      </c>
      <c r="AB20" s="8" t="str">
        <f t="shared" si="1"/>
        <v>A</v>
      </c>
      <c r="AC20" s="157"/>
      <c r="AH20" s="158"/>
      <c r="AI20" s="5"/>
      <c r="AJ20" s="15"/>
      <c r="AK20" s="4"/>
      <c r="AL20" s="121" t="str">
        <f>IFERROR(__xludf.DUMMYFUNCTION("""COMPUTED_VALUE"""),"Slovakia")</f>
        <v>Slovakia</v>
      </c>
      <c r="AM20" s="122" t="s">
        <v>135</v>
      </c>
      <c r="AN20" s="122" t="str">
        <f>IFERROR(__xludf.DUMMYFUNCTION("""COMPUTED_VALUE"""),"E")</f>
        <v>E</v>
      </c>
      <c r="AO20" s="122"/>
      <c r="AP20" s="123"/>
      <c r="AQ20" s="123"/>
      <c r="AR20" s="123">
        <f t="shared" si="4"/>
        <v>0</v>
      </c>
      <c r="AS20" s="122">
        <v>16.0</v>
      </c>
      <c r="AT20" s="124"/>
      <c r="AU20" s="124">
        <v>48.0</v>
      </c>
      <c r="AV20" s="7"/>
      <c r="AW20" s="6"/>
      <c r="AX20" s="149"/>
      <c r="AY20" s="33"/>
      <c r="AZ20" s="22"/>
    </row>
    <row r="21" ht="15.0" customHeight="1">
      <c r="A21" s="99" t="str">
        <f>IFERROR(__xludf.DUMMYFUNCTION("""5) Discipline
6) European qualifiers ranking""&amp;
if(ISNA(query({teamInfo}, ""select Col1 where Col3 = '""&amp;AB21&amp;""' and Col1 matches '""&amp;IF(counta(Hosts) &gt; 1, ""(""&amp;join(""|"", filter(Hosts,Hosts&lt;&gt;""""))&amp;"")"", ""(""&amp;{Hosts}&amp;"")"")&amp;""'"")),"""",
char(10)&amp;"&amp;"""Unless the comparison involves hosts ""&amp;query({teamInfo}, ""select Col1 where Col3 = '""&amp;AB21&amp;""' and Col1 matches '""&amp;IF(counta(Hosts) &gt; 1, ""(""&amp;join(""|"", filter(Hosts,Hosts&lt;&gt;""""))&amp;"")"", ""(""&amp;{Hosts}&amp;"")"")&amp;""'"")&amp;"", in which case a drawing of l"&amp;"ots will take place (see note in cell ""&amp;regexextract(address(1,match(""DoL"",$1:$1,0),4), ""[A-Z]+"")&amp;""1)"")"),"5) Discipline
6) European qualifiers ranking
Unless the comparison involves hosts Germany, in which case a drawing of lots will take place (see note in cell AV1)")</f>
        <v>5) Discipline
6) European qualifiers ranking
Unless the comparison involves hosts Germany, in which case a drawing of lots will take place (see note in cell AV1)</v>
      </c>
      <c r="G21" s="23" t="str">
        <f t="array" ref="G21:G24">xlookup(H21:H24,index(teamInfo,,1),index(teamInfo,,9),"")</f>
        <v/>
      </c>
      <c r="H21" s="164" t="str">
        <f t="array" ref="H21:AA24">sort(H15:AA18, xlookup("Pts", $I$14:$AA$14, $I$19:$AA$19), false,
                xlookup("P1", $I$14:$AA$14, $I$19:$AA$19), false, xlookup("G1", $I$14:$AA$14, $I$19:$AA$19), false, xlookup("F1", $I$14:$AA$14, $I$19:$AA$19), false,
                xlookup("P2", $I$14:$AA$14, $I$19:$AA$19), false, xlookup("G2", $I$14:$AA$14, $I$19:$AA$19), false, xlookup("F2", $I$14:$AA$14, $I$19:$AA$19), false,
                xlookup("GD", $I$14:$AA$14, $I$19:$AA$19), false, xlookup("F", $I$14:$AA$14, $I$19:$AA$19), false,
                xlookup("Pn", $I$14:$AA$14, $I$19:$AA$19), false, xlookup("Ds", $I$14:$AA$14, $I$19:$AA$19), false, xlookup("R", $I$14:$AA$14, $I$19:$AA$19), true)</f>
        <v>Scotland</v>
      </c>
      <c r="I21" s="36">
        <v>3.0</v>
      </c>
      <c r="J21" s="36">
        <v>3.0</v>
      </c>
      <c r="K21" s="36">
        <v>0.0</v>
      </c>
      <c r="L21" s="36">
        <v>0.0</v>
      </c>
      <c r="M21" s="36">
        <v>5.0</v>
      </c>
      <c r="N21" s="36">
        <v>2.0</v>
      </c>
      <c r="O21" s="36">
        <v>3.0</v>
      </c>
      <c r="P21" s="36">
        <v>9.0</v>
      </c>
      <c r="Q21" s="49" t="s">
        <v>77</v>
      </c>
      <c r="R21" s="49" t="s">
        <v>77</v>
      </c>
      <c r="S21" s="50" t="s">
        <v>77</v>
      </c>
      <c r="T21" s="49" t="s">
        <v>77</v>
      </c>
      <c r="U21" s="49" t="s">
        <v>77</v>
      </c>
      <c r="V21" s="49" t="s">
        <v>77</v>
      </c>
      <c r="W21" s="50" t="s">
        <v>77</v>
      </c>
      <c r="X21" s="49" t="s">
        <v>77</v>
      </c>
      <c r="Y21" s="49"/>
      <c r="Z21" s="49">
        <v>0.0</v>
      </c>
      <c r="AA21" s="49">
        <v>13.0</v>
      </c>
      <c r="AB21" s="8" t="str">
        <f t="shared" si="1"/>
        <v>A</v>
      </c>
      <c r="AC21" s="157"/>
      <c r="AH21" s="158"/>
      <c r="AI21" s="5"/>
      <c r="AJ21" s="165"/>
      <c r="AK21" s="4"/>
      <c r="AL21" s="136" t="str">
        <f>IFERROR(__xludf.DUMMYFUNCTION("""COMPUTED_VALUE"""),"Ukraine")</f>
        <v>Ukraine</v>
      </c>
      <c r="AM21" s="137" t="s">
        <v>136</v>
      </c>
      <c r="AN21" s="137" t="str">
        <f>IFERROR(__xludf.DUMMYFUNCTION("""COMPUTED_VALUE"""),"E")</f>
        <v>E</v>
      </c>
      <c r="AO21" s="137"/>
      <c r="AP21" s="90"/>
      <c r="AQ21" s="90"/>
      <c r="AR21" s="90">
        <f t="shared" si="4"/>
        <v>0</v>
      </c>
      <c r="AS21" s="137">
        <v>21.0</v>
      </c>
      <c r="AT21" s="138"/>
      <c r="AU21" s="138">
        <v>22.0</v>
      </c>
      <c r="AV21" s="7"/>
      <c r="AW21" s="6"/>
      <c r="AX21" s="149"/>
      <c r="AY21" s="33"/>
      <c r="AZ21" s="22"/>
    </row>
    <row r="22" ht="15.0" customHeight="1">
      <c r="G22" s="166"/>
      <c r="H22" s="164" t="s">
        <v>15</v>
      </c>
      <c r="I22" s="36">
        <v>3.0</v>
      </c>
      <c r="J22" s="36">
        <v>1.0</v>
      </c>
      <c r="K22" s="36">
        <v>0.0</v>
      </c>
      <c r="L22" s="36">
        <v>2.0</v>
      </c>
      <c r="M22" s="36">
        <v>3.0</v>
      </c>
      <c r="N22" s="36">
        <v>3.0</v>
      </c>
      <c r="O22" s="36">
        <v>0.0</v>
      </c>
      <c r="P22" s="36">
        <v>3.0</v>
      </c>
      <c r="Q22" s="49" t="s">
        <v>12</v>
      </c>
      <c r="R22" s="49">
        <v>3.0</v>
      </c>
      <c r="S22" s="50">
        <v>1.0</v>
      </c>
      <c r="T22" s="49">
        <v>3.0</v>
      </c>
      <c r="U22" s="49" t="s">
        <v>77</v>
      </c>
      <c r="V22" s="49" t="s">
        <v>77</v>
      </c>
      <c r="W22" s="50" t="s">
        <v>77</v>
      </c>
      <c r="X22" s="49" t="s">
        <v>77</v>
      </c>
      <c r="Y22" s="49"/>
      <c r="Z22" s="49">
        <v>0.0</v>
      </c>
      <c r="AA22" s="49">
        <v>6.0</v>
      </c>
      <c r="AB22" s="8" t="str">
        <f t="shared" si="1"/>
        <v>A</v>
      </c>
      <c r="AC22" s="157"/>
      <c r="AH22" s="158"/>
      <c r="AI22" s="5"/>
      <c r="AJ22" s="165"/>
      <c r="AK22" s="4"/>
      <c r="AL22" s="121" t="str">
        <f>IFERROR(__xludf.DUMMYFUNCTION("""COMPUTED_VALUE"""),"Türkiye")</f>
        <v>Türkiye</v>
      </c>
      <c r="AM22" s="122" t="s">
        <v>137</v>
      </c>
      <c r="AN22" s="122" t="str">
        <f>IFERROR(__xludf.DUMMYFUNCTION("""COMPUTED_VALUE"""),"F")</f>
        <v>F</v>
      </c>
      <c r="AO22" s="122"/>
      <c r="AP22" s="123"/>
      <c r="AQ22" s="123"/>
      <c r="AR22" s="123">
        <f t="shared" si="4"/>
        <v>0</v>
      </c>
      <c r="AS22" s="122">
        <v>7.0</v>
      </c>
      <c r="AT22" s="124"/>
      <c r="AU22" s="124">
        <v>40.0</v>
      </c>
      <c r="AV22" s="7"/>
      <c r="AW22" s="6"/>
      <c r="AX22" s="149"/>
      <c r="AY22" s="33"/>
      <c r="AZ22" s="22"/>
    </row>
    <row r="23" ht="15.0" customHeight="1">
      <c r="G23" s="167"/>
      <c r="H23" s="168" t="s">
        <v>16</v>
      </c>
      <c r="I23" s="169">
        <v>3.0</v>
      </c>
      <c r="J23" s="169">
        <v>1.0</v>
      </c>
      <c r="K23" s="169">
        <v>0.0</v>
      </c>
      <c r="L23" s="169">
        <v>2.0</v>
      </c>
      <c r="M23" s="169">
        <v>4.0</v>
      </c>
      <c r="N23" s="169">
        <v>4.0</v>
      </c>
      <c r="O23" s="169">
        <v>0.0</v>
      </c>
      <c r="P23" s="169">
        <v>3.0</v>
      </c>
      <c r="Q23" s="49" t="s">
        <v>12</v>
      </c>
      <c r="R23" s="49">
        <v>3.0</v>
      </c>
      <c r="S23" s="50">
        <v>1.0</v>
      </c>
      <c r="T23" s="49">
        <v>2.0</v>
      </c>
      <c r="U23" s="49" t="s">
        <v>77</v>
      </c>
      <c r="V23" s="49" t="s">
        <v>77</v>
      </c>
      <c r="W23" s="50" t="s">
        <v>77</v>
      </c>
      <c r="X23" s="49" t="s">
        <v>77</v>
      </c>
      <c r="Y23" s="49"/>
      <c r="Z23" s="49">
        <v>0.0</v>
      </c>
      <c r="AA23" s="49">
        <v>20.0</v>
      </c>
      <c r="AB23" s="8" t="str">
        <f t="shared" si="1"/>
        <v>A</v>
      </c>
      <c r="AC23" s="157"/>
      <c r="AH23" s="158"/>
      <c r="AI23" s="5"/>
      <c r="AJ23" s="165"/>
      <c r="AK23" s="4"/>
      <c r="AL23" s="121" t="str">
        <f>IFERROR(__xludf.DUMMYFUNCTION("""COMPUTED_VALUE"""),"Portugal")</f>
        <v>Portugal</v>
      </c>
      <c r="AM23" s="122" t="s">
        <v>138</v>
      </c>
      <c r="AN23" s="122" t="str">
        <f>IFERROR(__xludf.DUMMYFUNCTION("""COMPUTED_VALUE"""),"F")</f>
        <v>F</v>
      </c>
      <c r="AO23" s="122"/>
      <c r="AP23" s="122"/>
      <c r="AQ23" s="122"/>
      <c r="AR23" s="123">
        <f t="shared" si="4"/>
        <v>0</v>
      </c>
      <c r="AS23" s="122">
        <v>1.0</v>
      </c>
      <c r="AT23" s="124"/>
      <c r="AU23" s="124">
        <v>6.0</v>
      </c>
      <c r="AV23" s="7"/>
      <c r="AW23" s="6"/>
      <c r="AX23" s="149"/>
      <c r="AY23" s="33"/>
      <c r="AZ23" s="22"/>
    </row>
    <row r="24" ht="15.0" customHeight="1">
      <c r="G24" s="170"/>
      <c r="H24" s="171" t="s">
        <v>5</v>
      </c>
      <c r="I24" s="49">
        <v>3.0</v>
      </c>
      <c r="J24" s="49">
        <v>1.0</v>
      </c>
      <c r="K24" s="49">
        <v>0.0</v>
      </c>
      <c r="L24" s="49">
        <v>2.0</v>
      </c>
      <c r="M24" s="49">
        <v>1.0</v>
      </c>
      <c r="N24" s="49">
        <v>4.0</v>
      </c>
      <c r="O24" s="49">
        <v>-3.0</v>
      </c>
      <c r="P24" s="49">
        <v>3.0</v>
      </c>
      <c r="Q24" s="49" t="s">
        <v>12</v>
      </c>
      <c r="R24" s="49">
        <v>3.0</v>
      </c>
      <c r="S24" s="50">
        <v>-2.0</v>
      </c>
      <c r="T24" s="49">
        <v>1.0</v>
      </c>
      <c r="U24" s="49" t="s">
        <v>77</v>
      </c>
      <c r="V24" s="49" t="s">
        <v>77</v>
      </c>
      <c r="W24" s="50" t="s">
        <v>77</v>
      </c>
      <c r="X24" s="49" t="s">
        <v>77</v>
      </c>
      <c r="Y24" s="49"/>
      <c r="Z24" s="49">
        <v>0.0</v>
      </c>
      <c r="AA24" s="49" t="s">
        <v>77</v>
      </c>
      <c r="AB24" s="8" t="str">
        <f t="shared" si="1"/>
        <v>A</v>
      </c>
      <c r="AC24" s="172"/>
      <c r="AD24" s="173"/>
      <c r="AE24" s="173"/>
      <c r="AF24" s="173"/>
      <c r="AG24" s="173"/>
      <c r="AH24" s="174"/>
      <c r="AI24" s="6"/>
      <c r="AJ24" s="21"/>
      <c r="AK24" s="22"/>
      <c r="AL24" s="121" t="str">
        <f>IFERROR(__xludf.DUMMYFUNCTION("""COMPUTED_VALUE"""),"Georgia")</f>
        <v>Georgia</v>
      </c>
      <c r="AM24" s="122" t="s">
        <v>139</v>
      </c>
      <c r="AN24" s="122" t="str">
        <f>IFERROR(__xludf.DUMMYFUNCTION("""COMPUTED_VALUE"""),"F")</f>
        <v>F</v>
      </c>
      <c r="AO24" s="122"/>
      <c r="AP24" s="122"/>
      <c r="AQ24" s="122"/>
      <c r="AR24" s="123">
        <f t="shared" si="4"/>
        <v>0</v>
      </c>
      <c r="AS24" s="122">
        <v>34.0</v>
      </c>
      <c r="AT24" s="124"/>
      <c r="AU24" s="122">
        <v>75.0</v>
      </c>
      <c r="AV24" s="7"/>
      <c r="AW24" s="6"/>
      <c r="AX24" s="149"/>
      <c r="AY24" s="33"/>
      <c r="AZ24" s="22"/>
    </row>
    <row r="25" ht="15.0" customHeight="1">
      <c r="A25" s="6"/>
      <c r="B25" s="6"/>
      <c r="C25" s="6"/>
      <c r="D25" s="6"/>
      <c r="E25" s="6"/>
      <c r="F25" s="22"/>
      <c r="G25" s="7"/>
      <c r="H25" s="33"/>
      <c r="I25" s="22"/>
      <c r="J25" s="22"/>
      <c r="K25" s="22"/>
      <c r="L25" s="22"/>
      <c r="M25" s="22"/>
      <c r="N25" s="22"/>
      <c r="O25" s="22"/>
      <c r="P25" s="22"/>
      <c r="Q25" s="22"/>
      <c r="R25" s="22"/>
      <c r="S25" s="22"/>
      <c r="T25" s="22"/>
      <c r="U25" s="22"/>
      <c r="V25" s="22"/>
      <c r="W25" s="22"/>
      <c r="X25" s="22"/>
      <c r="Y25" s="22"/>
      <c r="Z25" s="22"/>
      <c r="AA25" s="22"/>
      <c r="AB25" s="8" t="str">
        <f t="shared" si="1"/>
        <v>A</v>
      </c>
      <c r="AC25" s="22"/>
      <c r="AD25" s="6"/>
      <c r="AE25" s="6"/>
      <c r="AF25" s="6"/>
      <c r="AG25" s="6"/>
      <c r="AH25" s="6"/>
      <c r="AI25" s="6"/>
      <c r="AJ25" s="21"/>
      <c r="AK25" s="22"/>
      <c r="AL25" s="136" t="str">
        <f>IFERROR(__xludf.DUMMYFUNCTION("""COMPUTED_VALUE"""),"Czechia")</f>
        <v>Czechia</v>
      </c>
      <c r="AM25" s="137" t="s">
        <v>140</v>
      </c>
      <c r="AN25" s="137" t="str">
        <f>IFERROR(__xludf.DUMMYFUNCTION("""COMPUTED_VALUE"""),"F")</f>
        <v>F</v>
      </c>
      <c r="AO25" s="137"/>
      <c r="AP25" s="90"/>
      <c r="AQ25" s="90"/>
      <c r="AR25" s="90">
        <f t="shared" si="4"/>
        <v>0</v>
      </c>
      <c r="AS25" s="137">
        <v>17.0</v>
      </c>
      <c r="AT25" s="138"/>
      <c r="AU25" s="138">
        <v>36.0</v>
      </c>
      <c r="AV25" s="7"/>
      <c r="AW25" s="6"/>
      <c r="AX25" s="149"/>
      <c r="AY25" s="33"/>
      <c r="AZ25" s="22"/>
    </row>
    <row r="26" ht="15.0" customHeight="1">
      <c r="A26" s="104" t="str">
        <f>char(code(right(A1)) + 1)</f>
        <v>B</v>
      </c>
      <c r="B26" s="105"/>
      <c r="C26" s="105"/>
      <c r="D26" s="105"/>
      <c r="E26" s="105"/>
      <c r="F26" s="105"/>
      <c r="G26" s="105"/>
      <c r="H26" s="106"/>
      <c r="I26" s="105"/>
      <c r="J26" s="105"/>
      <c r="K26" s="105"/>
      <c r="L26" s="105"/>
      <c r="M26" s="105"/>
      <c r="N26" s="105"/>
      <c r="O26" s="105"/>
      <c r="P26" s="105"/>
      <c r="Q26" s="105"/>
      <c r="R26" s="105"/>
      <c r="S26" s="105"/>
      <c r="T26" s="105"/>
      <c r="U26" s="105"/>
      <c r="V26" s="105"/>
      <c r="W26" s="105"/>
      <c r="X26" s="105"/>
      <c r="Y26" s="105"/>
      <c r="Z26" s="105"/>
      <c r="AA26" s="107"/>
      <c r="AB26" s="8" t="str">
        <f t="shared" si="1"/>
        <v>B</v>
      </c>
      <c r="AC26" s="66"/>
      <c r="AD26" s="108" t="str">
        <f>AD1</f>
        <v>H2H</v>
      </c>
      <c r="AE26" s="109" t="str">
        <f>IFERROR(__xludf.DUMMYFUNCTION("transpose(query({teamInfo}, ""select Col2 where Col3 = '""&amp;AB26&amp;""'"", 0))"),"ESP")</f>
        <v>ESP</v>
      </c>
      <c r="AF26" s="109" t="str">
        <f>IFERROR(__xludf.DUMMYFUNCTION("""COMPUTED_VALUE"""),"ITA")</f>
        <v>ITA</v>
      </c>
      <c r="AG26" s="109" t="str">
        <f>IFERROR(__xludf.DUMMYFUNCTION("""COMPUTED_VALUE"""),"CRO")</f>
        <v>CRO</v>
      </c>
      <c r="AH26" s="109" t="str">
        <f>IFERROR(__xludf.DUMMYFUNCTION("""COMPUTED_VALUE"""),"ALB")</f>
        <v>ALB</v>
      </c>
      <c r="AI26" s="6"/>
      <c r="AJ26" s="21"/>
      <c r="AK26" s="22"/>
      <c r="AL26" s="6"/>
      <c r="AM26" s="22"/>
      <c r="AN26" s="22"/>
      <c r="AO26" s="7"/>
      <c r="AP26" s="22"/>
      <c r="AQ26" s="22"/>
      <c r="AR26" s="22"/>
      <c r="AS26" s="6"/>
      <c r="AT26" s="6"/>
      <c r="AU26" s="6"/>
      <c r="AV26" s="7"/>
      <c r="AW26" s="6"/>
      <c r="AX26" s="149"/>
      <c r="AY26" s="33"/>
      <c r="AZ26" s="22"/>
    </row>
    <row r="27" ht="15.0" customHeight="1">
      <c r="A27" s="15" t="str">
        <f>IFERROR(__xludf.DUMMYFUNCTION("arrayformula(ifna(vlookup(QUERY({index(Wallchart,, COLUMN() + 1)}, ""where Col1 &lt;&gt; '' limit ""&amp;$AK$12&amp;"" offset ""&amp;CHAR2NUM($AB27) * $AK$12,0), teamInfo, 2, 0), """"))"),"ESP")</f>
        <v>ESP</v>
      </c>
      <c r="B27" s="7">
        <f>indirect("Wallchart!R"&amp;row() - $AK$11 * CHAR2NUM($AB27)&amp;"C"&amp;column() + 1&amp;":R"&amp;row() - $AK$11 * CHAR2NUM($AB27) + $AK$12 - 1&amp;"C"&amp;column() + 2, false)</f>
        <v>1</v>
      </c>
      <c r="C27" s="7">
        <v>0.0</v>
      </c>
      <c r="D27" s="17" t="str">
        <f>IFERROR(__xludf.DUMMYFUNCTION("arrayformula(ifna(vlookup(QUERY({index(Wallchart,, COLUMN() + 1)}, ""where Col1 &lt;&gt; '' limit ""&amp;$AK$12&amp;"" offset ""&amp;CHAR2NUM($AB27) * $AK$12,0), teamInfo, 2, 0), """"))"),"CRO")</f>
        <v>CRO</v>
      </c>
      <c r="E27" s="22">
        <f t="shared" ref="E27:E32" si="14">ifs(or($B27 = "", $C27 = ""), "", $B27 &gt; $C27, 3, $B27 = $C27, 1, $B27 &lt; $C27, 0)</f>
        <v>3</v>
      </c>
      <c r="F27" s="22">
        <f t="shared" ref="F27:F32" si="15">ifs(or($B27 = "", $C27 = ""), "", $B27 &lt; $C27, 3, $B27 = $C27, 1, $B27 &gt; $C27, 0)</f>
        <v>0</v>
      </c>
      <c r="G27" s="114" t="str">
        <f t="array" ref="G27:Q27">$G$2:$Q$2</f>
        <v>Code</v>
      </c>
      <c r="H27" s="115" t="s">
        <v>26</v>
      </c>
      <c r="I27" s="114" t="s">
        <v>7</v>
      </c>
      <c r="J27" s="175" t="s">
        <v>8</v>
      </c>
      <c r="K27" s="114" t="s">
        <v>9</v>
      </c>
      <c r="L27" s="114" t="s">
        <v>10</v>
      </c>
      <c r="M27" s="114" t="s">
        <v>11</v>
      </c>
      <c r="N27" s="114" t="s">
        <v>12</v>
      </c>
      <c r="O27" s="114" t="s">
        <v>13</v>
      </c>
      <c r="P27" s="114" t="s">
        <v>14</v>
      </c>
      <c r="Q27" s="114" t="s">
        <v>73</v>
      </c>
      <c r="R27" s="22"/>
      <c r="S27" s="22"/>
      <c r="T27" s="22"/>
      <c r="U27" s="22"/>
      <c r="V27" s="22"/>
      <c r="W27" s="22"/>
      <c r="X27" s="22"/>
      <c r="Y27" s="22"/>
      <c r="Z27" s="22"/>
      <c r="AA27" s="22"/>
      <c r="AB27" s="8" t="str">
        <f t="shared" si="1"/>
        <v>B</v>
      </c>
      <c r="AC27" s="116" t="s">
        <v>74</v>
      </c>
      <c r="AD27" s="117" t="str">
        <f>IFERROR(__xludf.DUMMYFUNCTION("arrayformula(transpose(split(rept(concatenate(query({teamInfo}, ""select Col2 where Col3 = '""&amp;AB26&amp;""'"",0)&amp;""~""), 3), ""~"")))"),"ESP")</f>
        <v>ESP</v>
      </c>
      <c r="AE27" s="118"/>
      <c r="AF27" s="49">
        <f>IFERROR(__xludf.DUMMYFUNCTION("ifna(query({indirect(""Group""&amp;$AB27)},""select Col5 where Col1 = '""&amp;$AD27&amp;""' and Col4 = '""&amp;indirect(address(CHAR2NUM($AB27)*$AK$13 + 1, column()))&amp;""'"",0),
      query({INDIRECT(""Group""&amp;$AB27)},""select Col6 where Col1 = '""&amp;indirect(address(CHAR2N"&amp;"UM($AB27)*$AK$13  + 1, column()))&amp;""' and Col4 = '""&amp;$AD27&amp;""'"",0))"),3.0)</f>
        <v>3</v>
      </c>
      <c r="AG27" s="49">
        <f>IFERROR(__xludf.DUMMYFUNCTION("ifna(query({indirect(""Group""&amp;$AB27)},""select Col5 where Col1 = '""&amp;$AD27&amp;""' and Col4 = '""&amp;indirect(address(CHAR2NUM($AB27)*$AK$13 + 1, column()))&amp;""'"",0),
      query({INDIRECT(""Group""&amp;$AB27)},""select Col6 where Col1 = '""&amp;indirect(address(CHAR2N"&amp;"UM($AB27)*$AK$13  + 1, column()))&amp;""' and Col4 = '""&amp;$AD27&amp;""'"",0))"),3.0)</f>
        <v>3</v>
      </c>
      <c r="AH27" s="49">
        <f>IFERROR(__xludf.DUMMYFUNCTION("ifna(query({indirect(""Group""&amp;$AB27)},""select Col5 where Col1 = '""&amp;$AD27&amp;""' and Col4 = '""&amp;indirect(address(CHAR2NUM($AB27)*$AK$13 + 1, column()))&amp;""'"",0),
      query({INDIRECT(""Group""&amp;$AB27)},""select Col6 where Col1 = '""&amp;indirect(address(CHAR2N"&amp;"UM($AB27)*$AK$13  + 1, column()))&amp;""' and Col4 = '""&amp;$AD27&amp;""'"",0))"),0.0)</f>
        <v>0</v>
      </c>
      <c r="AI27" s="15">
        <f t="array" ref="AI27:AI38">ROUNDUP(sequence($AK$3*3)/$AK$3,0)</f>
        <v>1</v>
      </c>
      <c r="AJ27" s="15"/>
      <c r="AK27" s="22"/>
      <c r="AL27" s="5"/>
      <c r="AM27" s="5"/>
      <c r="AN27" s="4"/>
      <c r="AO27" s="7"/>
      <c r="AP27" s="4"/>
      <c r="AQ27" s="4"/>
      <c r="AR27" s="22"/>
      <c r="AS27" s="5"/>
      <c r="AT27" s="176"/>
      <c r="AU27" s="176"/>
      <c r="AV27" s="7"/>
      <c r="AW27" s="6"/>
      <c r="AX27" s="149"/>
      <c r="AY27" s="33"/>
      <c r="AZ27" s="22"/>
    </row>
    <row r="28" ht="15.0" customHeight="1">
      <c r="A28" s="15" t="str">
        <f>IFERROR(__xludf.DUMMYFUNCTION("""COMPUTED_VALUE"""),"ITA")</f>
        <v>ITA</v>
      </c>
      <c r="B28" s="7">
        <v>1.0</v>
      </c>
      <c r="C28" s="7">
        <v>0.0</v>
      </c>
      <c r="D28" s="17" t="str">
        <f>IFERROR(__xludf.DUMMYFUNCTION("""COMPUTED_VALUE"""),"ALB")</f>
        <v>ALB</v>
      </c>
      <c r="E28" s="22">
        <f t="shared" si="14"/>
        <v>3</v>
      </c>
      <c r="F28" s="22">
        <f t="shared" si="15"/>
        <v>0</v>
      </c>
      <c r="G28" s="117" t="str">
        <f>IFERROR(__xludf.DUMMYFUNCTION("query({teamInfo}, ""select Col2, Col1 where Col3 = '""&amp;AB28&amp;""'"", 0)"),"ESP")</f>
        <v>ESP</v>
      </c>
      <c r="H28" s="128" t="str">
        <f>IFERROR(__xludf.DUMMYFUNCTION("""COMPUTED_VALUE"""),"Spain")</f>
        <v>Spain</v>
      </c>
      <c r="I28" s="49">
        <f t="shared" ref="I28:I31" si="16">sum(J28:L28)</f>
        <v>3</v>
      </c>
      <c r="J28" s="48">
        <f>IFERROR(__xludf.DUMMYFUNCTION("sum(query(indirect(""Group""&amp;$AB28),""select count(E) where A = '""&amp;$G28&amp;""' and E = 3"",0), query(indirect(""Group""&amp;$AB28),""select count(F) where D = '""&amp;$G28&amp;""' and F = 3"",0))"),2.0)</f>
        <v>2</v>
      </c>
      <c r="K28" s="49">
        <f>IFERROR(__xludf.DUMMYFUNCTION("sum(query(indirect(""Group""&amp;$AB28),""select count(E) where A = '""&amp;$G28&amp;""' and E = 1"",0), query(indirect(""Group""&amp;$AB28),""select count(F) where D = '""&amp;$G28&amp;""' and F = 1"",0))"),0.0)</f>
        <v>0</v>
      </c>
      <c r="L28" s="49">
        <f>IFERROR(__xludf.DUMMYFUNCTION("sum(query(indirect(""Group""&amp;$AB28),""select count(E) where A = '""&amp;$G28&amp;""' and E = 0"",0), query(indirect(""Group""&amp;$AB28),""select count(F) where D = '""&amp;$G28&amp;""' and F = 0"",0))"),1.0)</f>
        <v>1</v>
      </c>
      <c r="M28" s="49">
        <f>IFERROR(__xludf.DUMMYFUNCTION("ifna(sum(query(indirect(""Group""&amp;$AB28),""select B where A = '""&amp;$G28&amp;""'"",0), query(indirect(""Group""&amp;$AB28),""select C where D = '""&amp;$G28&amp;""'"",0)),0)"),2.0)</f>
        <v>2</v>
      </c>
      <c r="N28" s="49">
        <f>IFERROR(__xludf.DUMMYFUNCTION("ifna(sum(query(indirect(""Group""&amp;$AB28),""select C where A = '""&amp;$G28&amp;""'"",0), query(indirect(""Group""&amp;$AB28),""select B where D = '""&amp;$G28&amp;""'"",0)), 0)"),1.0)</f>
        <v>1</v>
      </c>
      <c r="O28" s="49">
        <f t="shared" ref="O28:O31" si="17">M28-N28</f>
        <v>1</v>
      </c>
      <c r="P28" s="49">
        <f t="shared" ref="P28:P31" si="18">J28*3+K28-abs(Q28)</f>
        <v>6</v>
      </c>
      <c r="Q28" s="140"/>
      <c r="R28" s="129" t="str">
        <f>$R$3</f>
        <v>The last column will only be used if points have been deducted.</v>
      </c>
      <c r="U28" s="177"/>
      <c r="V28" s="177"/>
      <c r="W28" s="177"/>
      <c r="X28" s="177"/>
      <c r="Y28" s="177"/>
      <c r="Z28" s="177"/>
      <c r="AA28" s="177"/>
      <c r="AB28" s="8" t="str">
        <f t="shared" si="1"/>
        <v>B</v>
      </c>
      <c r="AC28" s="131"/>
      <c r="AD28" s="117" t="str">
        <f>IFERROR(__xludf.DUMMYFUNCTION("""COMPUTED_VALUE"""),"ITA")</f>
        <v>ITA</v>
      </c>
      <c r="AE28" s="49">
        <f>IFERROR(__xludf.DUMMYFUNCTION("ifna(query({indirect(""Group""&amp;$AB28)},""select Col5 where Col1 = '""&amp;$AD28&amp;""' and Col4 = '""&amp;indirect(address(CHAR2NUM($AB28)*$AK$13 + 1, column()))&amp;""'"",0),
      query({INDIRECT(""Group""&amp;$AB28)},""select Col6 where Col1 = '""&amp;indirect(address(CHAR2N"&amp;"UM($AB28)*$AK$13  + 1, column()))&amp;""' and Col4 = '""&amp;$AD28&amp;""'"",0))"),0.0)</f>
        <v>0</v>
      </c>
      <c r="AF28" s="118"/>
      <c r="AG28" s="49">
        <f>IFERROR(__xludf.DUMMYFUNCTION("ifna(query({indirect(""Group""&amp;$AB28)},""select Col5 where Col1 = '""&amp;$AD28&amp;""' and Col4 = '""&amp;indirect(address(CHAR2NUM($AB28)*$AK$13 + 1, column()))&amp;""'"",0),
      query({INDIRECT(""Group""&amp;$AB28)},""select Col6 where Col1 = '""&amp;indirect(address(CHAR2N"&amp;"UM($AB28)*$AK$13  + 1, column()))&amp;""' and Col4 = '""&amp;$AD28&amp;""'"",0))"),0.0)</f>
        <v>0</v>
      </c>
      <c r="AH28" s="49">
        <f>IFERROR(__xludf.DUMMYFUNCTION("ifna(query({indirect(""Group""&amp;$AB28)},""select Col5 where Col1 = '""&amp;$AD28&amp;""' and Col4 = '""&amp;indirect(address(CHAR2NUM($AB28)*$AK$13 + 1, column()))&amp;""'"",0),
      query({INDIRECT(""Group""&amp;$AB28)},""select Col6 where Col1 = '""&amp;indirect(address(CHAR2N"&amp;"UM($AB28)*$AK$13  + 1, column()))&amp;""' and Col4 = '""&amp;$AD28&amp;""'"",0))"),3.0)</f>
        <v>3</v>
      </c>
      <c r="AI28" s="6">
        <v>1.0</v>
      </c>
      <c r="AJ28" s="21"/>
      <c r="AK28" s="22"/>
      <c r="AL28" s="6"/>
      <c r="AM28" s="5"/>
      <c r="AN28" s="4"/>
      <c r="AO28" s="7"/>
      <c r="AP28" s="7"/>
      <c r="AQ28" s="4"/>
      <c r="AR28" s="22"/>
      <c r="AS28" s="5"/>
      <c r="AT28" s="6"/>
      <c r="AU28" s="6"/>
      <c r="AV28" s="22"/>
      <c r="AW28" s="6"/>
      <c r="AX28" s="149"/>
      <c r="AY28" s="33"/>
      <c r="AZ28" s="22"/>
    </row>
    <row r="29" ht="15.0" customHeight="1">
      <c r="A29" s="15" t="str">
        <f>IFERROR(__xludf.DUMMYFUNCTION("""COMPUTED_VALUE"""),"CRO")</f>
        <v>CRO</v>
      </c>
      <c r="B29" s="7">
        <v>1.0</v>
      </c>
      <c r="C29" s="7">
        <v>0.0</v>
      </c>
      <c r="D29" s="17" t="str">
        <f>IFERROR(__xludf.DUMMYFUNCTION("""COMPUTED_VALUE"""),"ALB")</f>
        <v>ALB</v>
      </c>
      <c r="E29" s="22">
        <f t="shared" si="14"/>
        <v>3</v>
      </c>
      <c r="F29" s="22">
        <f t="shared" si="15"/>
        <v>0</v>
      </c>
      <c r="G29" s="117" t="str">
        <f>IFERROR(__xludf.DUMMYFUNCTION("""COMPUTED_VALUE"""),"ITA")</f>
        <v>ITA</v>
      </c>
      <c r="H29" s="144" t="str">
        <f>IFERROR(__xludf.DUMMYFUNCTION("""COMPUTED_VALUE"""),"Italy")</f>
        <v>Italy</v>
      </c>
      <c r="I29" s="49">
        <f t="shared" si="16"/>
        <v>3</v>
      </c>
      <c r="J29" s="48">
        <f>IFERROR(__xludf.DUMMYFUNCTION("sum(query(indirect(""Group""&amp;$AB29),""select count(E) where A = '""&amp;$G29&amp;""' and E = 3"",0), query(indirect(""Group""&amp;$AB29),""select count(F) where D = '""&amp;$G29&amp;""' and F = 3"",0))"),1.0)</f>
        <v>1</v>
      </c>
      <c r="K29" s="49">
        <f>IFERROR(__xludf.DUMMYFUNCTION("sum(query(indirect(""Group""&amp;$AB29),""select count(E) where A = '""&amp;$G29&amp;""' and E = 1"",0), query(indirect(""Group""&amp;$AB29),""select count(F) where D = '""&amp;$G29&amp;""' and F = 1"",0))"),0.0)</f>
        <v>0</v>
      </c>
      <c r="L29" s="49">
        <f>IFERROR(__xludf.DUMMYFUNCTION("sum(query(indirect(""Group""&amp;$AB29),""select count(E) where A = '""&amp;$G29&amp;""' and E = 0"",0), query(indirect(""Group""&amp;$AB29),""select count(F) where D = '""&amp;$G29&amp;""' and F = 0"",0))"),2.0)</f>
        <v>2</v>
      </c>
      <c r="M29" s="49">
        <f>IFERROR(__xludf.DUMMYFUNCTION("ifna(sum(query(indirect(""Group""&amp;$AB29),""select B where A = '""&amp;$G29&amp;""'"",0), query(indirect(""Group""&amp;$AB29),""select C where D = '""&amp;$G29&amp;""'"",0)),0)"),1.0)</f>
        <v>1</v>
      </c>
      <c r="N29" s="49">
        <f>IFERROR(__xludf.DUMMYFUNCTION("ifna(sum(query(indirect(""Group""&amp;$AB29),""select C where A = '""&amp;$G29&amp;""'"",0), query(indirect(""Group""&amp;$AB29),""select B where D = '""&amp;$G29&amp;""'"",0)), 0)"),2.0)</f>
        <v>2</v>
      </c>
      <c r="O29" s="49">
        <f t="shared" si="17"/>
        <v>-1</v>
      </c>
      <c r="P29" s="49">
        <f t="shared" si="18"/>
        <v>3</v>
      </c>
      <c r="Q29" s="140"/>
      <c r="U29" s="177"/>
      <c r="V29" s="177"/>
      <c r="W29" s="177"/>
      <c r="X29" s="177"/>
      <c r="Y29" s="177"/>
      <c r="Z29" s="177"/>
      <c r="AA29" s="177"/>
      <c r="AB29" s="8" t="str">
        <f t="shared" si="1"/>
        <v>B</v>
      </c>
      <c r="AC29" s="131"/>
      <c r="AD29" s="117" t="str">
        <f>IFERROR(__xludf.DUMMYFUNCTION("""COMPUTED_VALUE"""),"CRO")</f>
        <v>CRO</v>
      </c>
      <c r="AE29" s="49">
        <f>IFERROR(__xludf.DUMMYFUNCTION("ifna(query({indirect(""Group""&amp;$AB29)},""select Col5 where Col1 = '""&amp;$AD29&amp;""' and Col4 = '""&amp;indirect(address(CHAR2NUM($AB29)*$AK$13 + 1, column()))&amp;""'"",0),
      query({INDIRECT(""Group""&amp;$AB29)},""select Col6 where Col1 = '""&amp;indirect(address(CHAR2N"&amp;"UM($AB29)*$AK$13  + 1, column()))&amp;""' and Col4 = '""&amp;$AD29&amp;""'"",0))"),0.0)</f>
        <v>0</v>
      </c>
      <c r="AF29" s="49">
        <f>IFERROR(__xludf.DUMMYFUNCTION("ifna(query({indirect(""Group""&amp;$AB29)},""select Col5 where Col1 = '""&amp;$AD29&amp;""' and Col4 = '""&amp;indirect(address(CHAR2NUM($AB29)*$AK$13 + 1, column()))&amp;""'"",0),
      query({INDIRECT(""Group""&amp;$AB29)},""select Col6 where Col1 = '""&amp;indirect(address(CHAR2N"&amp;"UM($AB29)*$AK$13  + 1, column()))&amp;""' and Col4 = '""&amp;$AD29&amp;""'"",0))"),3.0)</f>
        <v>3</v>
      </c>
      <c r="AG29" s="118"/>
      <c r="AH29" s="49">
        <f>IFERROR(__xludf.DUMMYFUNCTION("ifna(query({indirect(""Group""&amp;$AB29)},""select Col5 where Col1 = '""&amp;$AD29&amp;""' and Col4 = '""&amp;indirect(address(CHAR2NUM($AB29)*$AK$13 + 1, column()))&amp;""'"",0),
      query({INDIRECT(""Group""&amp;$AB29)},""select Col6 where Col1 = '""&amp;indirect(address(CHAR2N"&amp;"UM($AB29)*$AK$13  + 1, column()))&amp;""' and Col4 = '""&amp;$AD29&amp;""'"",0))"),3.0)</f>
        <v>3</v>
      </c>
      <c r="AI29" s="6">
        <v>1.0</v>
      </c>
      <c r="AJ29" s="21"/>
      <c r="AK29" s="22"/>
      <c r="AL29" s="6"/>
      <c r="AM29" s="5"/>
      <c r="AN29" s="4"/>
      <c r="AO29" s="7"/>
      <c r="AP29" s="22"/>
      <c r="AQ29" s="4"/>
      <c r="AR29" s="22"/>
      <c r="AS29" s="5"/>
      <c r="AT29" s="5"/>
      <c r="AU29" s="5"/>
      <c r="AV29" s="7"/>
      <c r="AW29" s="6"/>
      <c r="AX29" s="149"/>
      <c r="AY29" s="33"/>
      <c r="AZ29" s="22"/>
    </row>
    <row r="30" ht="15.0" customHeight="1">
      <c r="A30" s="15" t="str">
        <f>IFERROR(__xludf.DUMMYFUNCTION("""COMPUTED_VALUE"""),"ESP")</f>
        <v>ESP</v>
      </c>
      <c r="B30" s="7">
        <v>1.0</v>
      </c>
      <c r="C30" s="7">
        <v>0.0</v>
      </c>
      <c r="D30" s="17" t="str">
        <f>IFERROR(__xludf.DUMMYFUNCTION("""COMPUTED_VALUE"""),"ITA")</f>
        <v>ITA</v>
      </c>
      <c r="E30" s="22">
        <f t="shared" si="14"/>
        <v>3</v>
      </c>
      <c r="F30" s="22">
        <f t="shared" si="15"/>
        <v>0</v>
      </c>
      <c r="G30" s="117" t="str">
        <f>IFERROR(__xludf.DUMMYFUNCTION("""COMPUTED_VALUE"""),"CRO")</f>
        <v>CRO</v>
      </c>
      <c r="H30" s="144" t="str">
        <f>IFERROR(__xludf.DUMMYFUNCTION("""COMPUTED_VALUE"""),"Croatia")</f>
        <v>Croatia</v>
      </c>
      <c r="I30" s="49">
        <f t="shared" si="16"/>
        <v>3</v>
      </c>
      <c r="J30" s="48">
        <f>IFERROR(__xludf.DUMMYFUNCTION("sum(query(indirect(""Group""&amp;$AB30),""select count(E) where A = '""&amp;$G30&amp;""' and E = 3"",0), query(indirect(""Group""&amp;$AB30),""select count(F) where D = '""&amp;$G30&amp;""' and F = 3"",0))"),2.0)</f>
        <v>2</v>
      </c>
      <c r="K30" s="49">
        <f>IFERROR(__xludf.DUMMYFUNCTION("sum(query(indirect(""Group""&amp;$AB30),""select count(E) where A = '""&amp;$G30&amp;""' and E = 1"",0), query(indirect(""Group""&amp;$AB30),""select count(F) where D = '""&amp;$G30&amp;""' and F = 1"",0))"),0.0)</f>
        <v>0</v>
      </c>
      <c r="L30" s="49">
        <f>IFERROR(__xludf.DUMMYFUNCTION("sum(query(indirect(""Group""&amp;$AB30),""select count(E) where A = '""&amp;$G30&amp;""' and E = 0"",0), query(indirect(""Group""&amp;$AB30),""select count(F) where D = '""&amp;$G30&amp;""' and F = 0"",0))"),1.0)</f>
        <v>1</v>
      </c>
      <c r="M30" s="49">
        <f>IFERROR(__xludf.DUMMYFUNCTION("ifna(sum(query(indirect(""Group""&amp;$AB30),""select B where A = '""&amp;$G30&amp;""'"",0), query(indirect(""Group""&amp;$AB30),""select C where D = '""&amp;$G30&amp;""'"",0)),0)"),2.0)</f>
        <v>2</v>
      </c>
      <c r="N30" s="49">
        <f>IFERROR(__xludf.DUMMYFUNCTION("ifna(sum(query(indirect(""Group""&amp;$AB30),""select C where A = '""&amp;$G30&amp;""'"",0), query(indirect(""Group""&amp;$AB30),""select B where D = '""&amp;$G30&amp;""'"",0)), 0)"),1.0)</f>
        <v>1</v>
      </c>
      <c r="O30" s="49">
        <f t="shared" si="17"/>
        <v>1</v>
      </c>
      <c r="P30" s="49">
        <f t="shared" si="18"/>
        <v>6</v>
      </c>
      <c r="Q30" s="16"/>
      <c r="U30" s="177"/>
      <c r="V30" s="177"/>
      <c r="W30" s="177"/>
      <c r="X30" s="177"/>
      <c r="Y30" s="177"/>
      <c r="Z30" s="177"/>
      <c r="AA30" s="177"/>
      <c r="AB30" s="8" t="str">
        <f t="shared" si="1"/>
        <v>B</v>
      </c>
      <c r="AC30" s="133"/>
      <c r="AD30" s="117" t="str">
        <f>IFERROR(__xludf.DUMMYFUNCTION("""COMPUTED_VALUE"""),"ALB")</f>
        <v>ALB</v>
      </c>
      <c r="AE30" s="49">
        <f>IFERROR(__xludf.DUMMYFUNCTION("ifna(query({indirect(""Group""&amp;$AB30)},""select Col5 where Col1 = '""&amp;$AD30&amp;""' and Col4 = '""&amp;indirect(address(CHAR2NUM($AB30)*$AK$13 + 1, column()))&amp;""'"",0),
      query({INDIRECT(""Group""&amp;$AB30)},""select Col6 where Col1 = '""&amp;indirect(address(CHAR2N"&amp;"UM($AB30)*$AK$13  + 1, column()))&amp;""' and Col4 = '""&amp;$AD30&amp;""'"",0))"),3.0)</f>
        <v>3</v>
      </c>
      <c r="AF30" s="49">
        <f>IFERROR(__xludf.DUMMYFUNCTION("ifna(query({indirect(""Group""&amp;$AB30)},""select Col5 where Col1 = '""&amp;$AD30&amp;""' and Col4 = '""&amp;indirect(address(CHAR2NUM($AB30)*$AK$13 + 1, column()))&amp;""'"",0),
      query({INDIRECT(""Group""&amp;$AB30)},""select Col6 where Col1 = '""&amp;indirect(address(CHAR2N"&amp;"UM($AB30)*$AK$13  + 1, column()))&amp;""' and Col4 = '""&amp;$AD30&amp;""'"",0))"),0.0)</f>
        <v>0</v>
      </c>
      <c r="AG30" s="49">
        <f>IFERROR(__xludf.DUMMYFUNCTION("ifna(query({indirect(""Group""&amp;$AB30)},""select Col5 where Col1 = '""&amp;$AD30&amp;""' and Col4 = '""&amp;indirect(address(CHAR2NUM($AB30)*$AK$13 + 1, column()))&amp;""'"",0),
      query({INDIRECT(""Group""&amp;$AB30)},""select Col6 where Col1 = '""&amp;indirect(address(CHAR2N"&amp;"UM($AB30)*$AK$13  + 1, column()))&amp;""' and Col4 = '""&amp;$AD30&amp;""'"",0))"),0.0)</f>
        <v>0</v>
      </c>
      <c r="AH30" s="118"/>
      <c r="AI30" s="6">
        <v>1.0</v>
      </c>
      <c r="AJ30" s="21"/>
      <c r="AK30" s="22"/>
      <c r="AL30" s="6"/>
      <c r="AM30" s="5"/>
      <c r="AN30" s="4"/>
      <c r="AO30" s="7"/>
      <c r="AP30" s="4"/>
      <c r="AQ30" s="4"/>
      <c r="AR30" s="22"/>
      <c r="AS30" s="5"/>
      <c r="AT30" s="5"/>
      <c r="AU30" s="5"/>
      <c r="AV30" s="7"/>
      <c r="AW30" s="6"/>
      <c r="AX30" s="149"/>
      <c r="AY30" s="33"/>
      <c r="AZ30" s="22"/>
    </row>
    <row r="31" ht="15.0" customHeight="1">
      <c r="A31" s="15" t="str">
        <f>IFERROR(__xludf.DUMMYFUNCTION("""COMPUTED_VALUE"""),"ALB")</f>
        <v>ALB</v>
      </c>
      <c r="B31" s="7">
        <v>1.0</v>
      </c>
      <c r="C31" s="7">
        <v>0.0</v>
      </c>
      <c r="D31" s="17" t="str">
        <f>IFERROR(__xludf.DUMMYFUNCTION("""COMPUTED_VALUE"""),"ESP")</f>
        <v>ESP</v>
      </c>
      <c r="E31" s="22">
        <f t="shared" si="14"/>
        <v>3</v>
      </c>
      <c r="F31" s="22">
        <f t="shared" si="15"/>
        <v>0</v>
      </c>
      <c r="G31" s="117" t="str">
        <f>IFERROR(__xludf.DUMMYFUNCTION("""COMPUTED_VALUE"""),"ALB")</f>
        <v>ALB</v>
      </c>
      <c r="H31" s="144" t="str">
        <f>IFERROR(__xludf.DUMMYFUNCTION("""COMPUTED_VALUE"""),"Albania")</f>
        <v>Albania</v>
      </c>
      <c r="I31" s="49">
        <f t="shared" si="16"/>
        <v>3</v>
      </c>
      <c r="J31" s="48">
        <f>IFERROR(__xludf.DUMMYFUNCTION("sum(query(indirect(""Group""&amp;$AB31),""select count(E) where A = '""&amp;$G31&amp;""' and E = 3"",0), query(indirect(""Group""&amp;$AB31),""select count(F) where D = '""&amp;$G31&amp;""' and F = 3"",0))"),1.0)</f>
        <v>1</v>
      </c>
      <c r="K31" s="49">
        <f>IFERROR(__xludf.DUMMYFUNCTION("sum(query(indirect(""Group""&amp;$AB31),""select count(E) where A = '""&amp;$G31&amp;""' and E = 1"",0), query(indirect(""Group""&amp;$AB31),""select count(F) where D = '""&amp;$G31&amp;""' and F = 1"",0))"),0.0)</f>
        <v>0</v>
      </c>
      <c r="L31" s="49">
        <f>IFERROR(__xludf.DUMMYFUNCTION("sum(query(indirect(""Group""&amp;$AB31),""select count(E) where A = '""&amp;$G31&amp;""' and E = 0"",0), query(indirect(""Group""&amp;$AB31),""select count(F) where D = '""&amp;$G31&amp;""' and F = 0"",0))"),2.0)</f>
        <v>2</v>
      </c>
      <c r="M31" s="49">
        <f>IFERROR(__xludf.DUMMYFUNCTION("ifna(sum(query(indirect(""Group""&amp;$AB31),""select B where A = '""&amp;$G31&amp;""'"",0), query(indirect(""Group""&amp;$AB31),""select C where D = '""&amp;$G31&amp;""'"",0)),0)"),1.0)</f>
        <v>1</v>
      </c>
      <c r="N31" s="49">
        <f>IFERROR(__xludf.DUMMYFUNCTION("ifna(sum(query(indirect(""Group""&amp;$AB31),""select C where A = '""&amp;$G31&amp;""'"",0), query(indirect(""Group""&amp;$AB31),""select B where D = '""&amp;$G31&amp;""'"",0)), 0)"),2.0)</f>
        <v>2</v>
      </c>
      <c r="O31" s="49">
        <f t="shared" si="17"/>
        <v>-1</v>
      </c>
      <c r="P31" s="49">
        <f t="shared" si="18"/>
        <v>3</v>
      </c>
      <c r="Q31" s="140"/>
      <c r="U31" s="177"/>
      <c r="V31" s="177"/>
      <c r="W31" s="177"/>
      <c r="X31" s="177"/>
      <c r="Y31" s="177"/>
      <c r="Z31" s="177"/>
      <c r="AA31" s="177"/>
      <c r="AB31" s="8" t="str">
        <f t="shared" si="1"/>
        <v>B</v>
      </c>
      <c r="AC31" s="116" t="s">
        <v>13</v>
      </c>
      <c r="AD31" s="117" t="str">
        <f>IFERROR(__xludf.DUMMYFUNCTION("""COMPUTED_VALUE"""),"ESP")</f>
        <v>ESP</v>
      </c>
      <c r="AE31" s="118"/>
      <c r="AF31" s="49">
        <f>IFERROR(__xludf.DUMMYFUNCTION("sum(iferror(query({indirect(""Group""&amp;$AB31)},""select Col2-Col3 where Col1 = '""&amp;$AD31&amp;""' and Col4 = '""&amp;indirect(address(CHAR2NUM($AB31)*$AK$13 + 1, column()))&amp;""'""),0),
     iferror(query({INDIRECT(""Group""&amp;$AB31)},""select Col3-Col2 where Col1 = '"&amp;"""&amp;indirect(address(CHAR2NUM($AB31)*$AK$13 + 1, column()))&amp;""' and Col4 = '""&amp;$AD31&amp;""'""),0))"),1.0)</f>
        <v>1</v>
      </c>
      <c r="AG31" s="49">
        <f>IFERROR(__xludf.DUMMYFUNCTION("sum(iferror(query({indirect(""Group""&amp;$AB31)},""select Col2-Col3 where Col1 = '""&amp;$AD31&amp;""' and Col4 = '""&amp;indirect(address(CHAR2NUM($AB31)*$AK$13 + 1, column()))&amp;""'""),0),
     iferror(query({INDIRECT(""Group""&amp;$AB31)},""select Col3-Col2 where Col1 = '"&amp;"""&amp;indirect(address(CHAR2NUM($AB31)*$AK$13 + 1, column()))&amp;""' and Col4 = '""&amp;$AD31&amp;""'""),0))"),1.0)</f>
        <v>1</v>
      </c>
      <c r="AH31" s="49">
        <f>IFERROR(__xludf.DUMMYFUNCTION("sum(iferror(query({indirect(""Group""&amp;$AB31)},""select Col2-Col3 where Col1 = '""&amp;$AD31&amp;""' and Col4 = '""&amp;indirect(address(CHAR2NUM($AB31)*$AK$13 + 1, column()))&amp;""'""),0),
     iferror(query({INDIRECT(""Group""&amp;$AB31)},""select Col3-Col2 where Col1 = '"&amp;"""&amp;indirect(address(CHAR2NUM($AB31)*$AK$13 + 1, column()))&amp;""' and Col4 = '""&amp;$AD31&amp;""'""),0))"),-1.0)</f>
        <v>-1</v>
      </c>
      <c r="AI31" s="6">
        <v>2.0</v>
      </c>
      <c r="AJ31" s="21"/>
      <c r="AK31" s="22"/>
      <c r="AL31" s="178"/>
      <c r="AM31" s="6"/>
      <c r="AN31" s="4"/>
      <c r="AO31" s="22"/>
      <c r="AP31" s="22"/>
      <c r="AQ31" s="22"/>
      <c r="AR31" s="22"/>
      <c r="AS31" s="6"/>
      <c r="AT31" s="6"/>
      <c r="AU31" s="6"/>
      <c r="AV31" s="22"/>
      <c r="AW31" s="6"/>
      <c r="AX31" s="149"/>
      <c r="AY31" s="33"/>
      <c r="AZ31" s="22"/>
    </row>
    <row r="32" ht="15.0" customHeight="1">
      <c r="A32" s="15" t="str">
        <f>IFERROR(__xludf.DUMMYFUNCTION("""COMPUTED_VALUE"""),"CRO")</f>
        <v>CRO</v>
      </c>
      <c r="B32" s="7">
        <v>1.0</v>
      </c>
      <c r="C32" s="7">
        <v>0.0</v>
      </c>
      <c r="D32" s="17" t="str">
        <f>IFERROR(__xludf.DUMMYFUNCTION("""COMPUTED_VALUE"""),"ITA")</f>
        <v>ITA</v>
      </c>
      <c r="E32" s="22">
        <f t="shared" si="14"/>
        <v>3</v>
      </c>
      <c r="F32" s="22">
        <f t="shared" si="15"/>
        <v>0</v>
      </c>
      <c r="G32" s="22"/>
      <c r="H32" s="33"/>
      <c r="I32" s="22">
        <f t="array" ref="I32:P32">$I$7:$P$7</f>
        <v>3</v>
      </c>
      <c r="J32" s="22">
        <v>4.0</v>
      </c>
      <c r="K32" s="22">
        <v>5.0</v>
      </c>
      <c r="L32" s="22">
        <v>6.0</v>
      </c>
      <c r="M32" s="22">
        <v>7.0</v>
      </c>
      <c r="N32" s="22">
        <v>8.0</v>
      </c>
      <c r="O32" s="22">
        <v>9.0</v>
      </c>
      <c r="P32" s="22">
        <v>10.0</v>
      </c>
      <c r="Q32" s="22"/>
      <c r="R32" s="22"/>
      <c r="S32" s="22"/>
      <c r="T32" s="22"/>
      <c r="U32" s="22"/>
      <c r="V32" s="22"/>
      <c r="W32" s="22"/>
      <c r="X32" s="22"/>
      <c r="Y32" s="22"/>
      <c r="Z32" s="22"/>
      <c r="AA32" s="22"/>
      <c r="AB32" s="8" t="str">
        <f t="shared" si="1"/>
        <v>B</v>
      </c>
      <c r="AC32" s="131"/>
      <c r="AD32" s="117" t="str">
        <f>IFERROR(__xludf.DUMMYFUNCTION("""COMPUTED_VALUE"""),"ITA")</f>
        <v>ITA</v>
      </c>
      <c r="AE32" s="49">
        <f>IFERROR(__xludf.DUMMYFUNCTION("sum(iferror(query({indirect(""Group""&amp;$AB32)},""select Col2-Col3 where Col1 = '""&amp;$AD32&amp;""' and Col4 = '""&amp;indirect(address(CHAR2NUM($AB32)*$AK$13 + 1, column()))&amp;""'""),0),
     iferror(query({INDIRECT(""Group""&amp;$AB32)},""select Col3-Col2 where Col1 = '"&amp;"""&amp;indirect(address(CHAR2NUM($AB32)*$AK$13 + 1, column()))&amp;""' and Col4 = '""&amp;$AD32&amp;""'""),0))"),-1.0)</f>
        <v>-1</v>
      </c>
      <c r="AF32" s="118"/>
      <c r="AG32" s="49">
        <f>IFERROR(__xludf.DUMMYFUNCTION("sum(iferror(query({indirect(""Group""&amp;$AB32)},""select Col2-Col3 where Col1 = '""&amp;$AD32&amp;""' and Col4 = '""&amp;indirect(address(CHAR2NUM($AB32)*$AK$13 + 1, column()))&amp;""'""),0),
     iferror(query({INDIRECT(""Group""&amp;$AB32)},""select Col3-Col2 where Col1 = '"&amp;"""&amp;indirect(address(CHAR2NUM($AB32)*$AK$13 + 1, column()))&amp;""' and Col4 = '""&amp;$AD32&amp;""'""),0))"),-1.0)</f>
        <v>-1</v>
      </c>
      <c r="AH32" s="49">
        <f>IFERROR(__xludf.DUMMYFUNCTION("sum(iferror(query({indirect(""Group""&amp;$AB32)},""select Col2-Col3 where Col1 = '""&amp;$AD32&amp;""' and Col4 = '""&amp;indirect(address(CHAR2NUM($AB32)*$AK$13 + 1, column()))&amp;""'""),0),
     iferror(query({INDIRECT(""Group""&amp;$AB32)},""select Col3-Col2 where Col1 = '"&amp;"""&amp;indirect(address(CHAR2NUM($AB32)*$AK$13 + 1, column()))&amp;""' and Col4 = '""&amp;$AD32&amp;""'""),0))"),1.0)</f>
        <v>1</v>
      </c>
      <c r="AI32" s="6">
        <v>2.0</v>
      </c>
      <c r="AJ32" s="21"/>
      <c r="AK32" s="22"/>
      <c r="AL32" s="178"/>
      <c r="AM32" s="6"/>
      <c r="AN32" s="7"/>
      <c r="AO32" s="7"/>
      <c r="AP32" s="22"/>
      <c r="AQ32" s="22"/>
      <c r="AR32" s="22"/>
      <c r="AS32" s="6"/>
      <c r="AT32" s="6"/>
      <c r="AU32" s="6"/>
      <c r="AV32" s="22"/>
      <c r="AW32" s="6"/>
      <c r="AX32" s="149"/>
      <c r="AY32" s="33"/>
      <c r="AZ32" s="22"/>
    </row>
    <row r="33" ht="15.0" customHeight="1">
      <c r="A33" s="99" t="str">
        <f>$A$8</f>
        <v>Teams are sorted by points. If teams are tied then the following tie-breaking criteria are applied:
1) Head-to-head: a) points b) goal difference c) goals scored
2) If teams are still tied, use 1) with tied teams
3) Overall: a) goal difference b) goals scored
4) Penalties: If two teams face-off in the last round of the group stage, have the same number of points, goals scored and conceded, and their score finishes level then their ranking is determined by a penalty shoot-out (not used if more than two teams have equal points)</v>
      </c>
      <c r="G33" s="114" t="str">
        <f t="array" ref="G33:T33">$G$8:$T$8</f>
        <v>Code</v>
      </c>
      <c r="H33" s="115" t="s">
        <v>26</v>
      </c>
      <c r="I33" s="114" t="s">
        <v>7</v>
      </c>
      <c r="J33" s="175" t="s">
        <v>8</v>
      </c>
      <c r="K33" s="114" t="s">
        <v>9</v>
      </c>
      <c r="L33" s="114" t="s">
        <v>10</v>
      </c>
      <c r="M33" s="114" t="s">
        <v>11</v>
      </c>
      <c r="N33" s="114" t="s">
        <v>12</v>
      </c>
      <c r="O33" s="114" t="s">
        <v>13</v>
      </c>
      <c r="P33" s="114" t="s">
        <v>14</v>
      </c>
      <c r="Q33" s="108" t="s">
        <v>99</v>
      </c>
      <c r="R33" s="108" t="s">
        <v>100</v>
      </c>
      <c r="S33" s="108" t="s">
        <v>101</v>
      </c>
      <c r="T33" s="108" t="s">
        <v>102</v>
      </c>
      <c r="U33" s="22"/>
      <c r="V33" s="22"/>
      <c r="W33" s="22"/>
      <c r="X33" s="22"/>
      <c r="Y33" s="22"/>
      <c r="Z33" s="22"/>
      <c r="AA33" s="22"/>
      <c r="AB33" s="8" t="str">
        <f t="shared" si="1"/>
        <v>B</v>
      </c>
      <c r="AC33" s="131"/>
      <c r="AD33" s="117" t="str">
        <f>IFERROR(__xludf.DUMMYFUNCTION("""COMPUTED_VALUE"""),"CRO")</f>
        <v>CRO</v>
      </c>
      <c r="AE33" s="49">
        <f>IFERROR(__xludf.DUMMYFUNCTION("sum(iferror(query({indirect(""Group""&amp;$AB33)},""select Col2-Col3 where Col1 = '""&amp;$AD33&amp;""' and Col4 = '""&amp;indirect(address(CHAR2NUM($AB33)*$AK$13 + 1, column()))&amp;""'""),0),
     iferror(query({INDIRECT(""Group""&amp;$AB33)},""select Col3-Col2 where Col1 = '"&amp;"""&amp;indirect(address(CHAR2NUM($AB33)*$AK$13 + 1, column()))&amp;""' and Col4 = '""&amp;$AD33&amp;""'""),0))"),-1.0)</f>
        <v>-1</v>
      </c>
      <c r="AF33" s="49">
        <f>IFERROR(__xludf.DUMMYFUNCTION("sum(iferror(query({indirect(""Group""&amp;$AB33)},""select Col2-Col3 where Col1 = '""&amp;$AD33&amp;""' and Col4 = '""&amp;indirect(address(CHAR2NUM($AB33)*$AK$13 + 1, column()))&amp;""'""),0),
     iferror(query({INDIRECT(""Group""&amp;$AB33)},""select Col3-Col2 where Col1 = '"&amp;"""&amp;indirect(address(CHAR2NUM($AB33)*$AK$13 + 1, column()))&amp;""' and Col4 = '""&amp;$AD33&amp;""'""),0))"),1.0)</f>
        <v>1</v>
      </c>
      <c r="AG33" s="118"/>
      <c r="AH33" s="49">
        <f>IFERROR(__xludf.DUMMYFUNCTION("sum(iferror(query({indirect(""Group""&amp;$AB33)},""select Col2-Col3 where Col1 = '""&amp;$AD33&amp;""' and Col4 = '""&amp;indirect(address(CHAR2NUM($AB33)*$AK$13 + 1, column()))&amp;""'""),0),
     iferror(query({INDIRECT(""Group""&amp;$AB33)},""select Col3-Col2 where Col1 = '"&amp;"""&amp;indirect(address(CHAR2NUM($AB33)*$AK$13 + 1, column()))&amp;""' and Col4 = '""&amp;$AD33&amp;""'""),0))"),1.0)</f>
        <v>1</v>
      </c>
      <c r="AI33" s="6">
        <v>2.0</v>
      </c>
      <c r="AJ33" s="21"/>
      <c r="AK33" s="22"/>
      <c r="AL33" s="5"/>
      <c r="AM33" s="5"/>
      <c r="AN33" s="4"/>
      <c r="AO33" s="7"/>
      <c r="AP33" s="4"/>
      <c r="AQ33" s="4"/>
      <c r="AR33" s="22"/>
      <c r="AS33" s="5"/>
      <c r="AT33" s="5"/>
      <c r="AU33" s="5"/>
      <c r="AV33" s="22"/>
      <c r="AW33" s="6"/>
      <c r="AX33" s="149"/>
      <c r="AY33" s="33"/>
      <c r="AZ33" s="22"/>
    </row>
    <row r="34" ht="15.0" customHeight="1">
      <c r="G34" s="49" t="str">
        <f t="array" ref="G34:P37">sort(G28:P31, xlookup("Pts", $I$2:$P$2, $I$7:$P$7), false)</f>
        <v>ESP</v>
      </c>
      <c r="H34" s="144" t="s">
        <v>17</v>
      </c>
      <c r="I34" s="49">
        <v>3.0</v>
      </c>
      <c r="J34" s="49">
        <v>2.0</v>
      </c>
      <c r="K34" s="49">
        <v>0.0</v>
      </c>
      <c r="L34" s="49">
        <v>1.0</v>
      </c>
      <c r="M34" s="49">
        <v>2.0</v>
      </c>
      <c r="N34" s="49">
        <v>1.0</v>
      </c>
      <c r="O34" s="49">
        <v>1.0</v>
      </c>
      <c r="P34" s="49">
        <v>6.0</v>
      </c>
      <c r="Q34" s="145" t="str">
        <f>if(and(I34 &gt; 0, P34=P35),"A","")</f>
        <v>A</v>
      </c>
      <c r="R34" s="145">
        <f t="shared" ref="R34:R37" si="19">H2H($Q34,$G34,$AB34,{$G$34:$G$37,$Q$34:$Q$37},1)</f>
        <v>3</v>
      </c>
      <c r="S34" s="146">
        <f t="shared" ref="S34:S37" si="20">H2H($Q34,$G34,$AB34,{$G$34:$G$37,$Q$34:$Q$37},2)</f>
        <v>1</v>
      </c>
      <c r="T34" s="145">
        <f t="shared" ref="T34:T37" si="21">H2H($Q34,$G34,$AB34,{$G$34:$G$37,$Q$34:$Q$37},3)</f>
        <v>1</v>
      </c>
      <c r="U34" s="22"/>
      <c r="V34" s="22"/>
      <c r="W34" s="22"/>
      <c r="X34" s="22"/>
      <c r="Y34" s="22"/>
      <c r="Z34" s="22"/>
      <c r="AA34" s="22"/>
      <c r="AB34" s="8" t="str">
        <f t="shared" si="1"/>
        <v>B</v>
      </c>
      <c r="AC34" s="133"/>
      <c r="AD34" s="117" t="str">
        <f>IFERROR(__xludf.DUMMYFUNCTION("""COMPUTED_VALUE"""),"ALB")</f>
        <v>ALB</v>
      </c>
      <c r="AE34" s="49">
        <f>IFERROR(__xludf.DUMMYFUNCTION("sum(iferror(query({indirect(""Group""&amp;$AB34)},""select Col2-Col3 where Col1 = '""&amp;$AD34&amp;""' and Col4 = '""&amp;indirect(address(CHAR2NUM($AB34)*$AK$13 + 1, column()))&amp;""'""),0),
     iferror(query({INDIRECT(""Group""&amp;$AB34)},""select Col3-Col2 where Col1 = '"&amp;"""&amp;indirect(address(CHAR2NUM($AB34)*$AK$13 + 1, column()))&amp;""' and Col4 = '""&amp;$AD34&amp;""'""),0))"),1.0)</f>
        <v>1</v>
      </c>
      <c r="AF34" s="49">
        <f>IFERROR(__xludf.DUMMYFUNCTION("sum(iferror(query({indirect(""Group""&amp;$AB34)},""select Col2-Col3 where Col1 = '""&amp;$AD34&amp;""' and Col4 = '""&amp;indirect(address(CHAR2NUM($AB34)*$AK$13 + 1, column()))&amp;""'""),0),
     iferror(query({INDIRECT(""Group""&amp;$AB34)},""select Col3-Col2 where Col1 = '"&amp;"""&amp;indirect(address(CHAR2NUM($AB34)*$AK$13 + 1, column()))&amp;""' and Col4 = '""&amp;$AD34&amp;""'""),0))"),-1.0)</f>
        <v>-1</v>
      </c>
      <c r="AG34" s="49">
        <f>IFERROR(__xludf.DUMMYFUNCTION("sum(iferror(query({indirect(""Group""&amp;$AB34)},""select Col2-Col3 where Col1 = '""&amp;$AD34&amp;""' and Col4 = '""&amp;indirect(address(CHAR2NUM($AB34)*$AK$13 + 1, column()))&amp;""'""),0),
     iferror(query({INDIRECT(""Group""&amp;$AB34)},""select Col3-Col2 where Col1 = '"&amp;"""&amp;indirect(address(CHAR2NUM($AB34)*$AK$13 + 1, column()))&amp;""' and Col4 = '""&amp;$AD34&amp;""'""),0))"),-1.0)</f>
        <v>-1</v>
      </c>
      <c r="AH34" s="118"/>
      <c r="AI34" s="6">
        <v>2.0</v>
      </c>
      <c r="AJ34" s="21"/>
      <c r="AK34" s="22"/>
      <c r="AL34" s="5"/>
      <c r="AM34" s="5"/>
      <c r="AN34" s="4"/>
      <c r="AO34" s="4"/>
      <c r="AP34" s="4"/>
      <c r="AQ34" s="4"/>
      <c r="AR34" s="22"/>
      <c r="AS34" s="5"/>
      <c r="AT34" s="176"/>
      <c r="AU34" s="176"/>
      <c r="AV34" s="22"/>
      <c r="AW34" s="6"/>
      <c r="AX34" s="149"/>
      <c r="AY34" s="33"/>
      <c r="AZ34" s="22"/>
    </row>
    <row r="35" ht="15.0" customHeight="1">
      <c r="G35" s="49" t="s">
        <v>104</v>
      </c>
      <c r="H35" s="144" t="s">
        <v>18</v>
      </c>
      <c r="I35" s="49">
        <v>3.0</v>
      </c>
      <c r="J35" s="49">
        <v>2.0</v>
      </c>
      <c r="K35" s="49">
        <v>0.0</v>
      </c>
      <c r="L35" s="49">
        <v>1.0</v>
      </c>
      <c r="M35" s="49">
        <v>2.0</v>
      </c>
      <c r="N35" s="49">
        <v>1.0</v>
      </c>
      <c r="O35" s="49">
        <v>1.0</v>
      </c>
      <c r="P35" s="49">
        <v>6.0</v>
      </c>
      <c r="Q35" s="145" t="str">
        <f>ifs(I35 = 0, "", not(Q34 = ""), Q34, P35 = P36, "A", TRUE, "")</f>
        <v>A</v>
      </c>
      <c r="R35" s="145">
        <f t="shared" si="19"/>
        <v>0</v>
      </c>
      <c r="S35" s="146">
        <f t="shared" si="20"/>
        <v>-1</v>
      </c>
      <c r="T35" s="145">
        <f t="shared" si="21"/>
        <v>0</v>
      </c>
      <c r="U35" s="22"/>
      <c r="V35" s="22"/>
      <c r="W35" s="22"/>
      <c r="X35" s="22"/>
      <c r="Y35" s="22"/>
      <c r="Z35" s="22"/>
      <c r="AA35" s="22"/>
      <c r="AB35" s="8" t="str">
        <f t="shared" si="1"/>
        <v>B</v>
      </c>
      <c r="AC35" s="116" t="s">
        <v>110</v>
      </c>
      <c r="AD35" s="117" t="str">
        <f>IFERROR(__xludf.DUMMYFUNCTION("""COMPUTED_VALUE"""),"ESP")</f>
        <v>ESP</v>
      </c>
      <c r="AE35" s="118"/>
      <c r="AF35" s="49">
        <f>IFERROR(__xludf.DUMMYFUNCTION("ifna(query({indirect(""Group""&amp;$AB35)},""select Col2 where Col1 = '""&amp;$AD35&amp;""' and Col4 = '""&amp;indirect(address(CHAR2NUM($AB35)*$AK$13 + 1, column()))&amp;""'"",0),
      query({INDIRECT(""Group""&amp;$AB35)},""select Col3 where Col1 = '""&amp;indirect(address(CHAR2N"&amp;"UM($AB35)*$AK$13 + 1, column()))&amp;""' and Col4 = '""&amp;$AD35&amp;""'"",0))"),1.0)</f>
        <v>1</v>
      </c>
      <c r="AG35" s="49">
        <f>IFERROR(__xludf.DUMMYFUNCTION("ifna(query({indirect(""Group""&amp;$AB35)},""select Col2 where Col1 = '""&amp;$AD35&amp;""' and Col4 = '""&amp;indirect(address(CHAR2NUM($AB35)*$AK$13 + 1, column()))&amp;""'"",0),
      query({INDIRECT(""Group""&amp;$AB35)},""select Col3 where Col1 = '""&amp;indirect(address(CHAR2N"&amp;"UM($AB35)*$AK$13 + 1, column()))&amp;""' and Col4 = '""&amp;$AD35&amp;""'"",0))"),1.0)</f>
        <v>1</v>
      </c>
      <c r="AH35" s="49">
        <f>IFERROR(__xludf.DUMMYFUNCTION("ifna(query({indirect(""Group""&amp;$AB35)},""select Col2 where Col1 = '""&amp;$AD35&amp;""' and Col4 = '""&amp;indirect(address(CHAR2NUM($AB35)*$AK$13 + 1, column()))&amp;""'"",0),
      query({INDIRECT(""Group""&amp;$AB35)},""select Col3 where Col1 = '""&amp;indirect(address(CHAR2N"&amp;"UM($AB35)*$AK$13 + 1, column()))&amp;""' and Col4 = '""&amp;$AD35&amp;""'"",0))"),0.0)</f>
        <v>0</v>
      </c>
      <c r="AI35" s="6">
        <v>3.0</v>
      </c>
      <c r="AJ35" s="21"/>
      <c r="AK35" s="22"/>
      <c r="AL35" s="6"/>
      <c r="AM35" s="6"/>
      <c r="AN35" s="22"/>
      <c r="AO35" s="22"/>
      <c r="AP35" s="22"/>
      <c r="AQ35" s="22"/>
      <c r="AR35" s="22"/>
      <c r="AS35" s="6"/>
      <c r="AT35" s="6"/>
      <c r="AU35" s="6"/>
      <c r="AV35" s="22"/>
      <c r="AW35" s="6"/>
      <c r="AX35" s="149"/>
      <c r="AY35" s="33"/>
      <c r="AZ35" s="22"/>
    </row>
    <row r="36" ht="15.0" customHeight="1">
      <c r="G36" s="49" t="s">
        <v>95</v>
      </c>
      <c r="H36" s="144" t="s">
        <v>19</v>
      </c>
      <c r="I36" s="49">
        <v>3.0</v>
      </c>
      <c r="J36" s="49">
        <v>1.0</v>
      </c>
      <c r="K36" s="49">
        <v>0.0</v>
      </c>
      <c r="L36" s="49">
        <v>2.0</v>
      </c>
      <c r="M36" s="49">
        <v>1.0</v>
      </c>
      <c r="N36" s="49">
        <v>2.0</v>
      </c>
      <c r="O36" s="49">
        <v>-1.0</v>
      </c>
      <c r="P36" s="49">
        <v>3.0</v>
      </c>
      <c r="Q36" s="145" t="str">
        <f>ifs(I36 = 0, "", P35 = P36, Q35, P36 = P37, if(Q35 = "A", "B", "A"), TRUE, "")</f>
        <v>B</v>
      </c>
      <c r="R36" s="145">
        <f t="shared" si="19"/>
        <v>3</v>
      </c>
      <c r="S36" s="146">
        <f t="shared" si="20"/>
        <v>1</v>
      </c>
      <c r="T36" s="145">
        <f t="shared" si="21"/>
        <v>1</v>
      </c>
      <c r="U36" s="22"/>
      <c r="V36" s="22"/>
      <c r="W36" s="22"/>
      <c r="X36" s="22"/>
      <c r="Y36" s="22"/>
      <c r="Z36" s="22"/>
      <c r="AA36" s="22"/>
      <c r="AB36" s="8" t="str">
        <f t="shared" si="1"/>
        <v>B</v>
      </c>
      <c r="AC36" s="131"/>
      <c r="AD36" s="117" t="str">
        <f>IFERROR(__xludf.DUMMYFUNCTION("""COMPUTED_VALUE"""),"ITA")</f>
        <v>ITA</v>
      </c>
      <c r="AE36" s="49">
        <f>IFERROR(__xludf.DUMMYFUNCTION("ifna(query({indirect(""Group""&amp;$AB36)},""select Col2 where Col1 = '""&amp;$AD36&amp;""' and Col4 = '""&amp;indirect(address(CHAR2NUM($AB36)*$AK$13 + 1, column()))&amp;""'"",0),
      query({INDIRECT(""Group""&amp;$AB36)},""select Col3 where Col1 = '""&amp;indirect(address(CHAR2N"&amp;"UM($AB36)*$AK$13 + 1, column()))&amp;""' and Col4 = '""&amp;$AD36&amp;""'"",0))"),0.0)</f>
        <v>0</v>
      </c>
      <c r="AF36" s="118"/>
      <c r="AG36" s="49">
        <f>IFERROR(__xludf.DUMMYFUNCTION("ifna(query({indirect(""Group""&amp;$AB36)},""select Col2 where Col1 = '""&amp;$AD36&amp;""' and Col4 = '""&amp;indirect(address(CHAR2NUM($AB36)*$AK$13 + 1, column()))&amp;""'"",0),
      query({INDIRECT(""Group""&amp;$AB36)},""select Col3 where Col1 = '""&amp;indirect(address(CHAR2N"&amp;"UM($AB36)*$AK$13 + 1, column()))&amp;""' and Col4 = '""&amp;$AD36&amp;""'"",0))"),0.0)</f>
        <v>0</v>
      </c>
      <c r="AH36" s="49">
        <f>IFERROR(__xludf.DUMMYFUNCTION("ifna(query({indirect(""Group""&amp;$AB36)},""select Col2 where Col1 = '""&amp;$AD36&amp;""' and Col4 = '""&amp;indirect(address(CHAR2NUM($AB36)*$AK$13 + 1, column()))&amp;""'"",0),
      query({INDIRECT(""Group""&amp;$AB36)},""select Col3 where Col1 = '""&amp;indirect(address(CHAR2N"&amp;"UM($AB36)*$AK$13 + 1, column()))&amp;""' and Col4 = '""&amp;$AD36&amp;""'"",0))"),1.0)</f>
        <v>1</v>
      </c>
      <c r="AI36" s="6">
        <v>3.0</v>
      </c>
      <c r="AJ36" s="21"/>
      <c r="AK36" s="22"/>
      <c r="AL36" s="6"/>
      <c r="AM36" s="6"/>
      <c r="AN36" s="22"/>
      <c r="AO36" s="22"/>
      <c r="AP36" s="22"/>
      <c r="AQ36" s="22"/>
      <c r="AR36" s="22"/>
      <c r="AS36" s="6"/>
      <c r="AT36" s="6"/>
      <c r="AU36" s="6"/>
      <c r="AV36" s="22"/>
      <c r="AW36" s="6"/>
      <c r="AX36" s="149"/>
      <c r="AY36" s="33"/>
      <c r="AZ36" s="22"/>
    </row>
    <row r="37" ht="15.0" customHeight="1">
      <c r="G37" s="49" t="s">
        <v>107</v>
      </c>
      <c r="H37" s="144" t="s">
        <v>20</v>
      </c>
      <c r="I37" s="49">
        <v>3.0</v>
      </c>
      <c r="J37" s="49">
        <v>1.0</v>
      </c>
      <c r="K37" s="49">
        <v>0.0</v>
      </c>
      <c r="L37" s="49">
        <v>2.0</v>
      </c>
      <c r="M37" s="49">
        <v>1.0</v>
      </c>
      <c r="N37" s="49">
        <v>2.0</v>
      </c>
      <c r="O37" s="49">
        <v>-1.0</v>
      </c>
      <c r="P37" s="49">
        <v>3.0</v>
      </c>
      <c r="Q37" s="145" t="str">
        <f>if(and(I37 &gt; 0, P36 = P37), Q36, "")</f>
        <v>B</v>
      </c>
      <c r="R37" s="145">
        <f t="shared" si="19"/>
        <v>0</v>
      </c>
      <c r="S37" s="146">
        <f t="shared" si="20"/>
        <v>-1</v>
      </c>
      <c r="T37" s="145">
        <f t="shared" si="21"/>
        <v>0</v>
      </c>
      <c r="U37" s="22"/>
      <c r="V37" s="22"/>
      <c r="W37" s="22"/>
      <c r="X37" s="22"/>
      <c r="Y37" s="22"/>
      <c r="Z37" s="22"/>
      <c r="AA37" s="22"/>
      <c r="AB37" s="8" t="str">
        <f t="shared" si="1"/>
        <v>B</v>
      </c>
      <c r="AC37" s="131"/>
      <c r="AD37" s="117" t="str">
        <f>IFERROR(__xludf.DUMMYFUNCTION("""COMPUTED_VALUE"""),"CRO")</f>
        <v>CRO</v>
      </c>
      <c r="AE37" s="49">
        <f>IFERROR(__xludf.DUMMYFUNCTION("ifna(query({indirect(""Group""&amp;$AB37)},""select Col2 where Col1 = '""&amp;$AD37&amp;""' and Col4 = '""&amp;indirect(address(CHAR2NUM($AB37)*$AK$13 + 1, column()))&amp;""'"",0),
      query({INDIRECT(""Group""&amp;$AB37)},""select Col3 where Col1 = '""&amp;indirect(address(CHAR2N"&amp;"UM($AB37)*$AK$13 + 1, column()))&amp;""' and Col4 = '""&amp;$AD37&amp;""'"",0))"),0.0)</f>
        <v>0</v>
      </c>
      <c r="AF37" s="49">
        <f>IFERROR(__xludf.DUMMYFUNCTION("ifna(query({indirect(""Group""&amp;$AB37)},""select Col2 where Col1 = '""&amp;$AD37&amp;""' and Col4 = '""&amp;indirect(address(CHAR2NUM($AB37)*$AK$13 + 1, column()))&amp;""'"",0),
      query({INDIRECT(""Group""&amp;$AB37)},""select Col3 where Col1 = '""&amp;indirect(address(CHAR2N"&amp;"UM($AB37)*$AK$13 + 1, column()))&amp;""' and Col4 = '""&amp;$AD37&amp;""'"",0))"),1.0)</f>
        <v>1</v>
      </c>
      <c r="AG37" s="118"/>
      <c r="AH37" s="49">
        <f>IFERROR(__xludf.DUMMYFUNCTION("ifna(query({indirect(""Group""&amp;$AB37)},""select Col2 where Col1 = '""&amp;$AD37&amp;""' and Col4 = '""&amp;indirect(address(CHAR2NUM($AB37)*$AK$13 + 1, column()))&amp;""'"",0),
      query({INDIRECT(""Group""&amp;$AB37)},""select Col3 where Col1 = '""&amp;indirect(address(CHAR2N"&amp;"UM($AB37)*$AK$13 + 1, column()))&amp;""' and Col4 = '""&amp;$AD37&amp;""'"",0))"),1.0)</f>
        <v>1</v>
      </c>
      <c r="AI37" s="6">
        <v>3.0</v>
      </c>
      <c r="AJ37" s="21"/>
      <c r="AK37" s="22"/>
      <c r="AL37" s="6"/>
      <c r="AM37" s="6"/>
      <c r="AN37" s="22"/>
      <c r="AO37" s="22"/>
      <c r="AP37" s="22"/>
      <c r="AQ37" s="22"/>
      <c r="AR37" s="22"/>
      <c r="AS37" s="6"/>
      <c r="AT37" s="6"/>
      <c r="AU37" s="6"/>
      <c r="AV37" s="22"/>
      <c r="AW37" s="5"/>
      <c r="AX37" s="150"/>
      <c r="AY37" s="151"/>
      <c r="AZ37" s="4"/>
    </row>
    <row r="38" ht="15.0" customHeight="1">
      <c r="G38" s="22"/>
      <c r="H38" s="33"/>
      <c r="I38" s="22">
        <f t="array" ref="I38:T38">$I$13:$T$13</f>
        <v>3</v>
      </c>
      <c r="J38" s="22">
        <v>4.0</v>
      </c>
      <c r="K38" s="22">
        <v>5.0</v>
      </c>
      <c r="L38" s="22">
        <v>6.0</v>
      </c>
      <c r="M38" s="22">
        <v>7.0</v>
      </c>
      <c r="N38" s="22">
        <v>8.0</v>
      </c>
      <c r="O38" s="22">
        <v>9.0</v>
      </c>
      <c r="P38" s="22">
        <v>10.0</v>
      </c>
      <c r="Q38" s="22">
        <v>11.0</v>
      </c>
      <c r="R38" s="22">
        <v>12.0</v>
      </c>
      <c r="S38" s="22">
        <v>13.0</v>
      </c>
      <c r="T38" s="22">
        <v>14.0</v>
      </c>
      <c r="U38" s="22"/>
      <c r="V38" s="22"/>
      <c r="W38" s="22"/>
      <c r="X38" s="22"/>
      <c r="Y38" s="22"/>
      <c r="Z38" s="22"/>
      <c r="AA38" s="22"/>
      <c r="AB38" s="8" t="str">
        <f t="shared" si="1"/>
        <v>B</v>
      </c>
      <c r="AC38" s="133"/>
      <c r="AD38" s="117" t="str">
        <f>IFERROR(__xludf.DUMMYFUNCTION("""COMPUTED_VALUE"""),"ALB")</f>
        <v>ALB</v>
      </c>
      <c r="AE38" s="49">
        <f>IFERROR(__xludf.DUMMYFUNCTION("ifna(query({indirect(""Group""&amp;$AB38)},""select Col2 where Col1 = '""&amp;$AD38&amp;""' and Col4 = '""&amp;indirect(address(CHAR2NUM($AB38)*$AK$13 + 1, column()))&amp;""'"",0),
      query({INDIRECT(""Group""&amp;$AB38)},""select Col3 where Col1 = '""&amp;indirect(address(CHAR2N"&amp;"UM($AB38)*$AK$13 + 1, column()))&amp;""' and Col4 = '""&amp;$AD38&amp;""'"",0))"),1.0)</f>
        <v>1</v>
      </c>
      <c r="AF38" s="49">
        <f>IFERROR(__xludf.DUMMYFUNCTION("ifna(query({indirect(""Group""&amp;$AB38)},""select Col2 where Col1 = '""&amp;$AD38&amp;""' and Col4 = '""&amp;indirect(address(CHAR2NUM($AB38)*$AK$13 + 1, column()))&amp;""'"",0),
      query({INDIRECT(""Group""&amp;$AB38)},""select Col3 where Col1 = '""&amp;indirect(address(CHAR2N"&amp;"UM($AB38)*$AK$13 + 1, column()))&amp;""' and Col4 = '""&amp;$AD38&amp;""'"",0))"),0.0)</f>
        <v>0</v>
      </c>
      <c r="AG38" s="49">
        <f>IFERROR(__xludf.DUMMYFUNCTION("ifna(query({indirect(""Group""&amp;$AB38)},""select Col2 where Col1 = '""&amp;$AD38&amp;""' and Col4 = '""&amp;indirect(address(CHAR2NUM($AB38)*$AK$13 + 1, column()))&amp;""'"",0),
      query({INDIRECT(""Group""&amp;$AB38)},""select Col3 where Col1 = '""&amp;indirect(address(CHAR2N"&amp;"UM($AB38)*$AK$13 + 1, column()))&amp;""' and Col4 = '""&amp;$AD38&amp;""'"",0))"),0.0)</f>
        <v>0</v>
      </c>
      <c r="AH38" s="118"/>
      <c r="AI38" s="6">
        <v>3.0</v>
      </c>
      <c r="AJ38" s="21"/>
      <c r="AK38" s="22"/>
      <c r="AL38" s="6"/>
      <c r="AM38" s="6"/>
      <c r="AN38" s="22"/>
      <c r="AO38" s="22"/>
      <c r="AP38" s="22"/>
      <c r="AQ38" s="22"/>
      <c r="AR38" s="22"/>
      <c r="AS38" s="6"/>
      <c r="AT38" s="6"/>
      <c r="AU38" s="6"/>
      <c r="AV38" s="22"/>
      <c r="AW38" s="5"/>
      <c r="AX38" s="150"/>
      <c r="AY38" s="151"/>
      <c r="AZ38" s="4"/>
    </row>
    <row r="39" ht="15.0" customHeight="1">
      <c r="G39" s="114" t="str">
        <f t="array" ref="G39:AA39">$G$14:$AA$14</f>
        <v>Code</v>
      </c>
      <c r="H39" s="128" t="s">
        <v>26</v>
      </c>
      <c r="I39" s="114" t="s">
        <v>7</v>
      </c>
      <c r="J39" s="114" t="s">
        <v>8</v>
      </c>
      <c r="K39" s="114" t="s">
        <v>9</v>
      </c>
      <c r="L39" s="114" t="s">
        <v>10</v>
      </c>
      <c r="M39" s="114" t="s">
        <v>11</v>
      </c>
      <c r="N39" s="114" t="s">
        <v>12</v>
      </c>
      <c r="O39" s="114" t="s">
        <v>13</v>
      </c>
      <c r="P39" s="114" t="s">
        <v>14</v>
      </c>
      <c r="Q39" s="114" t="s">
        <v>99</v>
      </c>
      <c r="R39" s="162" t="s">
        <v>100</v>
      </c>
      <c r="S39" s="162" t="s">
        <v>101</v>
      </c>
      <c r="T39" s="162" t="s">
        <v>102</v>
      </c>
      <c r="U39" s="108" t="s">
        <v>121</v>
      </c>
      <c r="V39" s="108" t="s">
        <v>122</v>
      </c>
      <c r="W39" s="153" t="s">
        <v>123</v>
      </c>
      <c r="X39" s="108" t="s">
        <v>124</v>
      </c>
      <c r="Y39" s="154" t="s">
        <v>125</v>
      </c>
      <c r="Z39" s="154" t="s">
        <v>126</v>
      </c>
      <c r="AA39" s="154" t="s">
        <v>127</v>
      </c>
      <c r="AB39" s="8" t="str">
        <f t="shared" si="1"/>
        <v>B</v>
      </c>
      <c r="AC39" s="6"/>
      <c r="AD39" s="6"/>
      <c r="AE39" s="6"/>
      <c r="AF39" s="6"/>
      <c r="AG39" s="6"/>
      <c r="AH39" s="6"/>
      <c r="AI39" s="6"/>
      <c r="AJ39" s="21"/>
      <c r="AK39" s="22"/>
      <c r="AL39" s="6"/>
      <c r="AM39" s="6"/>
      <c r="AN39" s="22"/>
      <c r="AO39" s="22"/>
      <c r="AP39" s="22"/>
      <c r="AQ39" s="22"/>
      <c r="AR39" s="22"/>
      <c r="AS39" s="6"/>
      <c r="AT39" s="6"/>
      <c r="AU39" s="6"/>
      <c r="AV39" s="22"/>
      <c r="AW39" s="5"/>
      <c r="AX39" s="150"/>
      <c r="AY39" s="151"/>
      <c r="AZ39" s="4"/>
    </row>
    <row r="40" ht="15.0" customHeight="1">
      <c r="G40" s="49" t="str">
        <f t="array" ref="G40:T43">sort(G34:T37, xlookup("Pts", $I$8:$T$8, $I$13:$T$13), false,
              xlookup("P1", $I$8:$T$8, $I$13:$T$13), false, xlookup("G1", $I$8:$T$8, $I$13:$T$13), false, xlookup("F1", $I$8:$T$8, $I$13:$T$13), false,
              xlookup("GD", $I$8:$T$8, $I$13:$T$13), false, xlookup("F", $I$8:$T$8, $I$13:$T$13), false)</f>
        <v>ESP</v>
      </c>
      <c r="H40" s="144" t="s">
        <v>17</v>
      </c>
      <c r="I40" s="49">
        <v>3.0</v>
      </c>
      <c r="J40" s="49">
        <v>2.0</v>
      </c>
      <c r="K40" s="49">
        <v>0.0</v>
      </c>
      <c r="L40" s="49">
        <v>1.0</v>
      </c>
      <c r="M40" s="49">
        <v>2.0</v>
      </c>
      <c r="N40" s="49">
        <v>1.0</v>
      </c>
      <c r="O40" s="49">
        <v>1.0</v>
      </c>
      <c r="P40" s="49">
        <v>6.0</v>
      </c>
      <c r="Q40" s="49" t="s">
        <v>12</v>
      </c>
      <c r="R40" s="49">
        <v>3.0</v>
      </c>
      <c r="S40" s="50">
        <v>1.0</v>
      </c>
      <c r="T40" s="49">
        <v>1.0</v>
      </c>
      <c r="U40" s="145" t="str">
        <f>if(not(Q40=""),if(and(R40=R41,S40=S41,T40=T41),Q40,""),"")</f>
        <v/>
      </c>
      <c r="V40" s="145" t="str">
        <f t="shared" ref="V40:V43" si="22">H2H($U40,$G40,$AB40,{$G$40:$G$43,$U$40:$U$43},1)</f>
        <v/>
      </c>
      <c r="W40" s="146" t="str">
        <f t="shared" ref="W40:W43" si="23">H2H($U40,$G40,$AB40,{$G$40:$G$43,$U$40:$U$43},2)</f>
        <v/>
      </c>
      <c r="X40" s="145" t="str">
        <f t="shared" ref="X40:X43" si="24">H2H($U40,$G40,$AB40,{$G$40:$G$43,$U$40:$U$43},3)</f>
        <v/>
      </c>
      <c r="Y40" s="155" t="str">
        <f>IFERROR(__xludf.DUMMYFUNCTION("ifna(query({indirect(""Penalties""&amp;$AB40)},""select Col2 where Col1 = '""&amp;G40&amp;""'"",0), query({indirect(""Penalties""&amp;$AB40)},""select Col3 where Col4 = '""&amp;G40&amp;""'"",0))"),"")</f>
        <v/>
      </c>
      <c r="Z40" s="155">
        <f t="array" ref="Z40:Z43">xlookup(indirect(address(row(), column($G:$G), 4)&amp;":"&amp;address(row() + $AK$3 - 1, column($G:$G))), index(teamInfo,,2), index(teamInfo,,7))</f>
        <v>0</v>
      </c>
      <c r="AA40" s="155">
        <f>IFERROR(__xludf.DUMMYFUNCTION("if(xlookup($G40, index(teamInfo,,2), index(teamInfo,,11)) = """",
    xlookup($G40, index(teamInfo,,2), index(teamInfo,,8)), query({teamInfo}, ""select Col11 where Col2 = '""&amp;$G40&amp;""'"", 0))"),3.0)</f>
        <v>3</v>
      </c>
      <c r="AB40" s="8" t="str">
        <f t="shared" si="1"/>
        <v>B</v>
      </c>
      <c r="AC40" s="7" t="str">
        <f>"Group "&amp;AB39&amp;" Ranking Explanation"</f>
        <v>Group B Ranking Explanation</v>
      </c>
      <c r="AI40" s="6"/>
      <c r="AJ40" s="21"/>
      <c r="AK40" s="22"/>
      <c r="AL40" s="6"/>
      <c r="AM40" s="6"/>
      <c r="AN40" s="22"/>
      <c r="AO40" s="22"/>
      <c r="AP40" s="22"/>
      <c r="AQ40" s="22"/>
      <c r="AR40" s="22"/>
      <c r="AS40" s="6"/>
      <c r="AT40" s="6"/>
      <c r="AU40" s="6"/>
      <c r="AV40" s="22"/>
      <c r="AW40" s="5"/>
      <c r="AX40" s="150"/>
      <c r="AY40" s="151"/>
      <c r="AZ40" s="4"/>
    </row>
    <row r="41" ht="15.0" customHeight="1">
      <c r="G41" s="49" t="s">
        <v>104</v>
      </c>
      <c r="H41" s="144" t="s">
        <v>18</v>
      </c>
      <c r="I41" s="49">
        <v>3.0</v>
      </c>
      <c r="J41" s="49">
        <v>2.0</v>
      </c>
      <c r="K41" s="49">
        <v>0.0</v>
      </c>
      <c r="L41" s="49">
        <v>1.0</v>
      </c>
      <c r="M41" s="49">
        <v>2.0</v>
      </c>
      <c r="N41" s="49">
        <v>1.0</v>
      </c>
      <c r="O41" s="49">
        <v>1.0</v>
      </c>
      <c r="P41" s="49">
        <v>6.0</v>
      </c>
      <c r="Q41" s="49" t="s">
        <v>12</v>
      </c>
      <c r="R41" s="49">
        <v>0.0</v>
      </c>
      <c r="S41" s="50">
        <v>-1.0</v>
      </c>
      <c r="T41" s="49">
        <v>0.0</v>
      </c>
      <c r="U41" s="145" t="str">
        <f>if(not(Q41=""),if(and(R40=R41,S40=S41,T40=T41),Q40,if(and(R41=R42,S41=S42,T41=T42),Q41,"")),"")</f>
        <v/>
      </c>
      <c r="V41" s="145" t="str">
        <f t="shared" si="22"/>
        <v/>
      </c>
      <c r="W41" s="146" t="str">
        <f t="shared" si="23"/>
        <v/>
      </c>
      <c r="X41" s="145" t="str">
        <f t="shared" si="24"/>
        <v/>
      </c>
      <c r="Y41" s="155" t="str">
        <f>IFERROR(__xludf.DUMMYFUNCTION("ifna(query({indirect(""Penalties""&amp;$AB41)},""select Col2 where Col1 = '""&amp;G41&amp;""'"",0), query({indirect(""Penalties""&amp;$AB41)},""select Col3 where Col4 = '""&amp;G41&amp;""'"",0))"),"")</f>
        <v/>
      </c>
      <c r="Z41" s="155">
        <v>0.0</v>
      </c>
      <c r="AA41" s="155">
        <f>IFERROR(__xludf.DUMMYFUNCTION("if(xlookup($G41, index(teamInfo,,2), index(teamInfo,,11)) = """",
    xlookup($G41, index(teamInfo,,2), index(teamInfo,,8)), query({teamInfo}, ""select Col11 where Col2 = '""&amp;$G41&amp;""'"", 0))"),14.0)</f>
        <v>14</v>
      </c>
      <c r="AB41" s="8" t="str">
        <f t="shared" si="1"/>
        <v>B</v>
      </c>
      <c r="AC41" s="156"/>
      <c r="AD41" s="59"/>
      <c r="AE41" s="59"/>
      <c r="AF41" s="59"/>
      <c r="AG41" s="59"/>
      <c r="AH41" s="60"/>
      <c r="AI41" s="6"/>
      <c r="AJ41" s="21"/>
      <c r="AK41" s="22"/>
      <c r="AL41" s="6"/>
      <c r="AM41" s="6"/>
      <c r="AN41" s="22"/>
      <c r="AO41" s="22"/>
      <c r="AP41" s="22"/>
      <c r="AQ41" s="22"/>
      <c r="AR41" s="22"/>
      <c r="AS41" s="6"/>
      <c r="AT41" s="6"/>
      <c r="AU41" s="6"/>
      <c r="AV41" s="22"/>
      <c r="AW41" s="5"/>
      <c r="AX41" s="150"/>
      <c r="AY41" s="151"/>
      <c r="AZ41" s="4"/>
    </row>
    <row r="42" ht="15.0" customHeight="1">
      <c r="G42" s="49" t="s">
        <v>95</v>
      </c>
      <c r="H42" s="144" t="s">
        <v>19</v>
      </c>
      <c r="I42" s="49">
        <v>3.0</v>
      </c>
      <c r="J42" s="49">
        <v>1.0</v>
      </c>
      <c r="K42" s="49">
        <v>0.0</v>
      </c>
      <c r="L42" s="49">
        <v>2.0</v>
      </c>
      <c r="M42" s="49">
        <v>1.0</v>
      </c>
      <c r="N42" s="49">
        <v>2.0</v>
      </c>
      <c r="O42" s="49">
        <v>-1.0</v>
      </c>
      <c r="P42" s="49">
        <v>3.0</v>
      </c>
      <c r="Q42" s="49" t="s">
        <v>34</v>
      </c>
      <c r="R42" s="49">
        <v>3.0</v>
      </c>
      <c r="S42" s="50">
        <v>1.0</v>
      </c>
      <c r="T42" s="49">
        <v>1.0</v>
      </c>
      <c r="U42" s="145" t="str">
        <f>if(not(Q42=""),if(and(R41=R42,S41=S42,T41=T42),Q42,if(and(R42=R43,S42=S43,T42=T43),Q42,"")),"")</f>
        <v/>
      </c>
      <c r="V42" s="145" t="str">
        <f t="shared" si="22"/>
        <v/>
      </c>
      <c r="W42" s="146" t="str">
        <f t="shared" si="23"/>
        <v/>
      </c>
      <c r="X42" s="145" t="str">
        <f t="shared" si="24"/>
        <v/>
      </c>
      <c r="Y42" s="155" t="str">
        <f>IFERROR(__xludf.DUMMYFUNCTION("ifna(query({indirect(""Penalties""&amp;$AB42)},""select Col2 where Col1 = '""&amp;G42&amp;""'"",0), query({indirect(""Penalties""&amp;$AB42)},""select Col3 where Col4 = '""&amp;G42&amp;""'"",0))"),"")</f>
        <v/>
      </c>
      <c r="Z42" s="155">
        <v>0.0</v>
      </c>
      <c r="AA42" s="155">
        <f>IFERROR(__xludf.DUMMYFUNCTION("if(xlookup($G42, index(teamInfo,,2), index(teamInfo,,11)) = """",
    xlookup($G42, index(teamInfo,,2), index(teamInfo,,8)), query({teamInfo}, ""select Col11 where Col2 = '""&amp;$G42&amp;""'"", 0))"),18.0)</f>
        <v>18</v>
      </c>
      <c r="AB42" s="8" t="str">
        <f t="shared" si="1"/>
        <v>B</v>
      </c>
      <c r="AC42" s="157"/>
      <c r="AH42" s="158"/>
      <c r="AI42" s="6"/>
      <c r="AJ42" s="21"/>
      <c r="AK42" s="22"/>
      <c r="AL42" s="6"/>
      <c r="AM42" s="6"/>
      <c r="AN42" s="22"/>
      <c r="AO42" s="22"/>
      <c r="AP42" s="22"/>
      <c r="AQ42" s="22"/>
      <c r="AR42" s="22"/>
      <c r="AS42" s="6"/>
      <c r="AT42" s="6"/>
      <c r="AU42" s="6"/>
      <c r="AV42" s="22"/>
      <c r="AW42" s="5"/>
      <c r="AX42" s="150"/>
      <c r="AY42" s="151"/>
      <c r="AZ42" s="4"/>
    </row>
    <row r="43" ht="15.0" customHeight="1">
      <c r="G43" s="49" t="s">
        <v>107</v>
      </c>
      <c r="H43" s="144" t="s">
        <v>20</v>
      </c>
      <c r="I43" s="49">
        <v>3.0</v>
      </c>
      <c r="J43" s="49">
        <v>1.0</v>
      </c>
      <c r="K43" s="49">
        <v>0.0</v>
      </c>
      <c r="L43" s="49">
        <v>2.0</v>
      </c>
      <c r="M43" s="49">
        <v>1.0</v>
      </c>
      <c r="N43" s="49">
        <v>2.0</v>
      </c>
      <c r="O43" s="49">
        <v>-1.0</v>
      </c>
      <c r="P43" s="49">
        <v>3.0</v>
      </c>
      <c r="Q43" s="49" t="s">
        <v>34</v>
      </c>
      <c r="R43" s="49">
        <v>0.0</v>
      </c>
      <c r="S43" s="50">
        <v>-1.0</v>
      </c>
      <c r="T43" s="49">
        <v>0.0</v>
      </c>
      <c r="U43" s="145" t="str">
        <f>if(not(Q43=""),if(and(R42=R43,S42=S43,T42=T43),Q43,""),"")</f>
        <v/>
      </c>
      <c r="V43" s="145" t="str">
        <f t="shared" si="22"/>
        <v/>
      </c>
      <c r="W43" s="146" t="str">
        <f t="shared" si="23"/>
        <v/>
      </c>
      <c r="X43" s="145" t="str">
        <f t="shared" si="24"/>
        <v/>
      </c>
      <c r="Y43" s="155" t="str">
        <f>IFERROR(__xludf.DUMMYFUNCTION("ifna(query({indirect(""Penalties""&amp;$AB43)},""select Col2 where Col1 = '""&amp;G43&amp;""'"",0), query({indirect(""Penalties""&amp;$AB43)},""select Col3 where Col4 = '""&amp;G43&amp;""'"",0))"),"")</f>
        <v/>
      </c>
      <c r="Z43" s="155">
        <v>0.0</v>
      </c>
      <c r="AA43" s="155">
        <f>IFERROR(__xludf.DUMMYFUNCTION("if(xlookup($G43, index(teamInfo,,2), index(teamInfo,,11)) = """",
    xlookup($G43, index(teamInfo,,2), index(teamInfo,,8)), query({teamInfo}, ""select Col11 where Col2 = '""&amp;$G43&amp;""'"", 0))"),10.0)</f>
        <v>10</v>
      </c>
      <c r="AB43" s="8" t="str">
        <f t="shared" si="1"/>
        <v>B</v>
      </c>
      <c r="AC43" s="157"/>
      <c r="AH43" s="158"/>
      <c r="AI43" s="5"/>
      <c r="AJ43" s="165"/>
      <c r="AK43" s="4"/>
      <c r="AL43" s="5"/>
      <c r="AM43" s="5"/>
      <c r="AN43" s="4"/>
      <c r="AO43" s="4"/>
      <c r="AP43" s="4"/>
      <c r="AQ43" s="4"/>
      <c r="AR43" s="22"/>
      <c r="AS43" s="5"/>
      <c r="AT43" s="5"/>
      <c r="AU43" s="5"/>
      <c r="AV43" s="22"/>
      <c r="AW43" s="6"/>
      <c r="AX43" s="149"/>
      <c r="AY43" s="33"/>
      <c r="AZ43" s="22"/>
    </row>
    <row r="44" ht="15.0" customHeight="1">
      <c r="A44" s="21" t="str">
        <f>IFERROR(__xludf.DUMMYFUNCTION("query({indirect(""Group""&amp;$AB44)}, ""select Col""&amp;column()&amp;"" offset 4"")"),"ALB")</f>
        <v>ALB</v>
      </c>
      <c r="B44" s="16"/>
      <c r="C44" s="16"/>
      <c r="D44" s="6" t="str">
        <f>IFERROR(__xludf.DUMMYFUNCTION("query({indirect(""Group""&amp;$AB44)}, ""select Col""&amp;column()&amp;"" offset 4"")"),"ESP")</f>
        <v>ESP</v>
      </c>
      <c r="E44" s="99"/>
      <c r="F44" s="159"/>
      <c r="G44" s="22"/>
      <c r="H44" s="33"/>
      <c r="I44" s="22">
        <f t="array" ref="I44:AA44">$I$19:$AA$19</f>
        <v>2</v>
      </c>
      <c r="J44" s="22">
        <v>3.0</v>
      </c>
      <c r="K44" s="22">
        <v>4.0</v>
      </c>
      <c r="L44" s="22">
        <v>5.0</v>
      </c>
      <c r="M44" s="22">
        <v>6.0</v>
      </c>
      <c r="N44" s="22">
        <v>7.0</v>
      </c>
      <c r="O44" s="22">
        <v>8.0</v>
      </c>
      <c r="P44" s="22">
        <v>9.0</v>
      </c>
      <c r="Q44" s="22">
        <v>10.0</v>
      </c>
      <c r="R44" s="22">
        <v>11.0</v>
      </c>
      <c r="S44" s="22">
        <v>12.0</v>
      </c>
      <c r="T44" s="22">
        <v>13.0</v>
      </c>
      <c r="U44" s="22">
        <v>14.0</v>
      </c>
      <c r="V44" s="22">
        <v>15.0</v>
      </c>
      <c r="W44" s="22">
        <v>16.0</v>
      </c>
      <c r="X44" s="22">
        <v>17.0</v>
      </c>
      <c r="Y44" s="22">
        <v>18.0</v>
      </c>
      <c r="Z44" s="22">
        <v>19.0</v>
      </c>
      <c r="AA44" s="22">
        <v>20.0</v>
      </c>
      <c r="AB44" s="8" t="str">
        <f t="shared" si="1"/>
        <v>B</v>
      </c>
      <c r="AC44" s="157"/>
      <c r="AH44" s="158"/>
      <c r="AI44" s="5"/>
      <c r="AJ44" s="165"/>
      <c r="AK44" s="4"/>
      <c r="AL44" s="5"/>
      <c r="AM44" s="5"/>
      <c r="AN44" s="4"/>
      <c r="AO44" s="4"/>
      <c r="AP44" s="4"/>
      <c r="AQ44" s="4"/>
      <c r="AR44" s="22"/>
      <c r="AS44" s="5"/>
      <c r="AT44" s="5"/>
      <c r="AU44" s="5"/>
      <c r="AV44" s="4"/>
      <c r="AW44" s="5"/>
      <c r="AX44" s="150"/>
      <c r="AY44" s="151"/>
      <c r="AZ44" s="4"/>
    </row>
    <row r="45" ht="15.0" customHeight="1">
      <c r="A45" s="21" t="str">
        <f>IFERROR(__xludf.DUMMYFUNCTION("""COMPUTED_VALUE"""),"CRO")</f>
        <v>CRO</v>
      </c>
      <c r="B45" s="16"/>
      <c r="C45" s="16"/>
      <c r="D45" s="6" t="str">
        <f>IFERROR(__xludf.DUMMYFUNCTION("""COMPUTED_VALUE"""),"ITA")</f>
        <v>ITA</v>
      </c>
      <c r="E45" s="99"/>
      <c r="F45" s="159"/>
      <c r="G45" s="160" t="str">
        <f>H39</f>
        <v>Team</v>
      </c>
      <c r="H45" s="3"/>
      <c r="I45" s="161" t="str">
        <f t="array" ref="I45:AA45">$I$14:$AA$14</f>
        <v>P</v>
      </c>
      <c r="J45" s="161" t="s">
        <v>8</v>
      </c>
      <c r="K45" s="161" t="s">
        <v>9</v>
      </c>
      <c r="L45" s="161" t="s">
        <v>10</v>
      </c>
      <c r="M45" s="161" t="s">
        <v>11</v>
      </c>
      <c r="N45" s="161" t="s">
        <v>12</v>
      </c>
      <c r="O45" s="161" t="s">
        <v>13</v>
      </c>
      <c r="P45" s="161" t="s">
        <v>14</v>
      </c>
      <c r="Q45" s="114" t="s">
        <v>99</v>
      </c>
      <c r="R45" s="162" t="s">
        <v>100</v>
      </c>
      <c r="S45" s="162" t="s">
        <v>101</v>
      </c>
      <c r="T45" s="162" t="s">
        <v>102</v>
      </c>
      <c r="U45" s="114" t="s">
        <v>121</v>
      </c>
      <c r="V45" s="162" t="s">
        <v>122</v>
      </c>
      <c r="W45" s="163" t="s">
        <v>123</v>
      </c>
      <c r="X45" s="162" t="s">
        <v>124</v>
      </c>
      <c r="Y45" s="162" t="s">
        <v>125</v>
      </c>
      <c r="Z45" s="114" t="s">
        <v>126</v>
      </c>
      <c r="AA45" s="162" t="s">
        <v>127</v>
      </c>
      <c r="AB45" s="8" t="str">
        <f t="shared" si="1"/>
        <v>B</v>
      </c>
      <c r="AC45" s="157"/>
      <c r="AH45" s="158"/>
      <c r="AI45" s="5"/>
      <c r="AJ45" s="165"/>
      <c r="AK45" s="4"/>
      <c r="AL45" s="5"/>
      <c r="AM45" s="5"/>
      <c r="AN45" s="4"/>
      <c r="AO45" s="4"/>
      <c r="AP45" s="4"/>
      <c r="AQ45" s="4"/>
      <c r="AR45" s="22"/>
      <c r="AS45" s="5"/>
      <c r="AT45" s="5"/>
      <c r="AU45" s="5"/>
      <c r="AV45" s="4"/>
      <c r="AW45" s="6"/>
      <c r="AX45" s="149"/>
      <c r="AY45" s="33"/>
      <c r="AZ45" s="22"/>
    </row>
    <row r="46" ht="15.0" customHeight="1">
      <c r="A46" s="179" t="str">
        <f>IFERROR(__xludf.DUMMYFUNCTION("""5) Discipline
6) European qualifiers ranking""&amp;
if(ISNA(query({teamInfo}, ""select Col1 where Col3 = '""&amp;AB46&amp;""' and Col1 matches '""&amp;IF(counta(Hosts) &gt; 1, ""(""&amp;join(""|"", filter(Hosts,Hosts&lt;&gt;""""))&amp;"")"", ""(""&amp;{Hosts}&amp;"")"")&amp;""'"")),"""",
char(10)&amp;"&amp;"""Unless the comparison involves hosts ""&amp;query({teamInfo}, ""select Col1 where Col3 = '""&amp;AB46&amp;""' and Col1 matches '""&amp;IF(counta(Hosts) &gt; 1, ""(""&amp;join(""|"", filter(Hosts,Hosts&lt;&gt;""""))&amp;"")"", ""(""&amp;{Hosts}&amp;"")"")&amp;""'"")&amp;"", in which case a drawing of l"&amp;"ots will take place (see note in cell ""&amp;regexextract(address(1,match(""DoL"",$1:$1,0),4), ""[A-Z]+"")&amp;""1)"")"),"5) Discipline
6) European qualifiers ranking")</f>
        <v>5) Discipline
6) European qualifiers ranking</v>
      </c>
      <c r="G46" s="23" t="str">
        <f t="array" ref="G46:G49">xlookup(H46:H49,index(teamInfo,,1),index(teamInfo,,9),"")</f>
        <v/>
      </c>
      <c r="H46" s="164" t="str">
        <f t="array" ref="H46:AA49">sort(H40:AA43, xlookup("Pts", $I$14:$AA$14, $I$19:$AA$19), false,
                xlookup("P1", $I$14:$AA$14, $I$19:$AA$19), false, xlookup("G1", $I$14:$AA$14, $I$19:$AA$19), false, xlookup("F1", $I$14:$AA$14, $I$19:$AA$19), false,
                xlookup("P2", $I$14:$AA$14, $I$19:$AA$19), false, xlookup("G2", $I$14:$AA$14, $I$19:$AA$19), false, xlookup("F2", $I$14:$AA$14, $I$19:$AA$19), false,
                xlookup("GD", $I$14:$AA$14, $I$19:$AA$19), false, xlookup("F", $I$14:$AA$14, $I$19:$AA$19), false,
                xlookup("Pn", $I$14:$AA$14, $I$19:$AA$19), false, xlookup("Ds", $I$14:$AA$14, $I$19:$AA$19), false, xlookup("R", $I$14:$AA$14, $I$19:$AA$19), true)</f>
        <v>Spain</v>
      </c>
      <c r="I46" s="36">
        <v>3.0</v>
      </c>
      <c r="J46" s="36">
        <v>2.0</v>
      </c>
      <c r="K46" s="36">
        <v>0.0</v>
      </c>
      <c r="L46" s="36">
        <v>1.0</v>
      </c>
      <c r="M46" s="36">
        <v>2.0</v>
      </c>
      <c r="N46" s="36">
        <v>1.0</v>
      </c>
      <c r="O46" s="36">
        <v>1.0</v>
      </c>
      <c r="P46" s="36">
        <v>6.0</v>
      </c>
      <c r="Q46" s="49" t="s">
        <v>12</v>
      </c>
      <c r="R46" s="49">
        <v>3.0</v>
      </c>
      <c r="S46" s="50">
        <v>1.0</v>
      </c>
      <c r="T46" s="49">
        <v>1.0</v>
      </c>
      <c r="U46" s="49" t="s">
        <v>77</v>
      </c>
      <c r="V46" s="49" t="s">
        <v>77</v>
      </c>
      <c r="W46" s="50" t="s">
        <v>77</v>
      </c>
      <c r="X46" s="49" t="s">
        <v>77</v>
      </c>
      <c r="Y46" s="49"/>
      <c r="Z46" s="49">
        <v>0.0</v>
      </c>
      <c r="AA46" s="49">
        <v>3.0</v>
      </c>
      <c r="AB46" s="8" t="str">
        <f t="shared" si="1"/>
        <v>B</v>
      </c>
      <c r="AC46" s="157"/>
      <c r="AH46" s="158"/>
      <c r="AI46" s="5"/>
      <c r="AJ46" s="165"/>
      <c r="AK46" s="4"/>
      <c r="AL46" s="5"/>
      <c r="AM46" s="5"/>
      <c r="AN46" s="4"/>
      <c r="AO46" s="4"/>
      <c r="AP46" s="4"/>
      <c r="AQ46" s="4"/>
      <c r="AR46" s="22"/>
      <c r="AS46" s="5"/>
      <c r="AT46" s="5"/>
      <c r="AU46" s="5"/>
      <c r="AV46" s="4"/>
      <c r="AW46" s="6"/>
      <c r="AX46" s="149"/>
      <c r="AY46" s="33"/>
      <c r="AZ46" s="22"/>
    </row>
    <row r="47" ht="15.0" customHeight="1">
      <c r="G47" s="166"/>
      <c r="H47" s="164" t="s">
        <v>18</v>
      </c>
      <c r="I47" s="36">
        <v>3.0</v>
      </c>
      <c r="J47" s="36">
        <v>2.0</v>
      </c>
      <c r="K47" s="36">
        <v>0.0</v>
      </c>
      <c r="L47" s="36">
        <v>1.0</v>
      </c>
      <c r="M47" s="36">
        <v>2.0</v>
      </c>
      <c r="N47" s="36">
        <v>1.0</v>
      </c>
      <c r="O47" s="36">
        <v>1.0</v>
      </c>
      <c r="P47" s="36">
        <v>6.0</v>
      </c>
      <c r="Q47" s="49" t="s">
        <v>12</v>
      </c>
      <c r="R47" s="49">
        <v>0.0</v>
      </c>
      <c r="S47" s="50">
        <v>-1.0</v>
      </c>
      <c r="T47" s="49">
        <v>0.0</v>
      </c>
      <c r="U47" s="49" t="s">
        <v>77</v>
      </c>
      <c r="V47" s="49" t="s">
        <v>77</v>
      </c>
      <c r="W47" s="50" t="s">
        <v>77</v>
      </c>
      <c r="X47" s="49" t="s">
        <v>77</v>
      </c>
      <c r="Y47" s="49"/>
      <c r="Z47" s="49">
        <v>0.0</v>
      </c>
      <c r="AA47" s="49">
        <v>14.0</v>
      </c>
      <c r="AB47" s="8" t="str">
        <f t="shared" si="1"/>
        <v>B</v>
      </c>
      <c r="AC47" s="157"/>
      <c r="AH47" s="158"/>
      <c r="AI47" s="5"/>
      <c r="AJ47" s="165"/>
      <c r="AK47" s="4"/>
      <c r="AL47" s="5"/>
      <c r="AM47" s="5"/>
      <c r="AN47" s="4"/>
      <c r="AO47" s="4"/>
      <c r="AP47" s="4"/>
      <c r="AQ47" s="4"/>
      <c r="AR47" s="22"/>
      <c r="AS47" s="5"/>
      <c r="AT47" s="5"/>
      <c r="AU47" s="5"/>
      <c r="AV47" s="4"/>
      <c r="AW47" s="6"/>
      <c r="AX47" s="149"/>
      <c r="AY47" s="33"/>
      <c r="AZ47" s="22"/>
    </row>
    <row r="48" ht="15.0" customHeight="1">
      <c r="G48" s="167"/>
      <c r="H48" s="168" t="s">
        <v>19</v>
      </c>
      <c r="I48" s="169">
        <v>3.0</v>
      </c>
      <c r="J48" s="169">
        <v>1.0</v>
      </c>
      <c r="K48" s="169">
        <v>0.0</v>
      </c>
      <c r="L48" s="169">
        <v>2.0</v>
      </c>
      <c r="M48" s="169">
        <v>1.0</v>
      </c>
      <c r="N48" s="169">
        <v>2.0</v>
      </c>
      <c r="O48" s="169">
        <v>-1.0</v>
      </c>
      <c r="P48" s="169">
        <v>3.0</v>
      </c>
      <c r="Q48" s="49" t="s">
        <v>34</v>
      </c>
      <c r="R48" s="49">
        <v>3.0</v>
      </c>
      <c r="S48" s="50">
        <v>1.0</v>
      </c>
      <c r="T48" s="49">
        <v>1.0</v>
      </c>
      <c r="U48" s="49" t="s">
        <v>77</v>
      </c>
      <c r="V48" s="49" t="s">
        <v>77</v>
      </c>
      <c r="W48" s="50" t="s">
        <v>77</v>
      </c>
      <c r="X48" s="49" t="s">
        <v>77</v>
      </c>
      <c r="Y48" s="49"/>
      <c r="Z48" s="49">
        <v>0.0</v>
      </c>
      <c r="AA48" s="49">
        <v>18.0</v>
      </c>
      <c r="AB48" s="8" t="str">
        <f t="shared" si="1"/>
        <v>B</v>
      </c>
      <c r="AC48" s="157"/>
      <c r="AH48" s="158"/>
      <c r="AI48" s="5"/>
      <c r="AJ48" s="165"/>
      <c r="AK48" s="4"/>
      <c r="AL48" s="5"/>
      <c r="AM48" s="5"/>
      <c r="AN48" s="4"/>
      <c r="AO48" s="4"/>
      <c r="AP48" s="4"/>
      <c r="AQ48" s="4"/>
      <c r="AR48" s="22"/>
      <c r="AS48" s="5"/>
      <c r="AT48" s="5"/>
      <c r="AU48" s="5"/>
      <c r="AV48" s="4"/>
      <c r="AW48" s="6"/>
      <c r="AX48" s="149"/>
      <c r="AY48" s="33"/>
      <c r="AZ48" s="22"/>
    </row>
    <row r="49" ht="15.0" customHeight="1">
      <c r="G49" s="170"/>
      <c r="H49" s="171" t="s">
        <v>20</v>
      </c>
      <c r="I49" s="49">
        <v>3.0</v>
      </c>
      <c r="J49" s="49">
        <v>1.0</v>
      </c>
      <c r="K49" s="49">
        <v>0.0</v>
      </c>
      <c r="L49" s="49">
        <v>2.0</v>
      </c>
      <c r="M49" s="49">
        <v>1.0</v>
      </c>
      <c r="N49" s="49">
        <v>2.0</v>
      </c>
      <c r="O49" s="49">
        <v>-1.0</v>
      </c>
      <c r="P49" s="49">
        <v>3.0</v>
      </c>
      <c r="Q49" s="49" t="s">
        <v>34</v>
      </c>
      <c r="R49" s="49">
        <v>0.0</v>
      </c>
      <c r="S49" s="50">
        <v>-1.0</v>
      </c>
      <c r="T49" s="49">
        <v>0.0</v>
      </c>
      <c r="U49" s="49" t="s">
        <v>77</v>
      </c>
      <c r="V49" s="49" t="s">
        <v>77</v>
      </c>
      <c r="W49" s="50" t="s">
        <v>77</v>
      </c>
      <c r="X49" s="49" t="s">
        <v>77</v>
      </c>
      <c r="Y49" s="49"/>
      <c r="Z49" s="49">
        <v>0.0</v>
      </c>
      <c r="AA49" s="49">
        <v>10.0</v>
      </c>
      <c r="AB49" s="8" t="str">
        <f t="shared" si="1"/>
        <v>B</v>
      </c>
      <c r="AC49" s="172"/>
      <c r="AD49" s="173"/>
      <c r="AE49" s="173"/>
      <c r="AF49" s="173"/>
      <c r="AG49" s="173"/>
      <c r="AH49" s="174"/>
      <c r="AI49" s="6"/>
      <c r="AJ49" s="21"/>
      <c r="AK49" s="22"/>
      <c r="AL49" s="6"/>
      <c r="AM49" s="6"/>
      <c r="AN49" s="22"/>
      <c r="AO49" s="22"/>
      <c r="AP49" s="22"/>
      <c r="AQ49" s="22"/>
      <c r="AR49" s="22"/>
      <c r="AS49" s="6"/>
      <c r="AT49" s="6"/>
      <c r="AU49" s="6"/>
      <c r="AV49" s="4"/>
      <c r="AW49" s="6"/>
      <c r="AX49" s="149"/>
      <c r="AY49" s="33"/>
      <c r="AZ49" s="22"/>
    </row>
    <row r="50" ht="15.0" customHeight="1">
      <c r="A50" s="6"/>
      <c r="B50" s="6"/>
      <c r="C50" s="6"/>
      <c r="D50" s="6"/>
      <c r="E50" s="6"/>
      <c r="F50" s="22"/>
      <c r="G50" s="7"/>
      <c r="H50" s="33"/>
      <c r="I50" s="22" t="str">
        <f t="array" ref="I50:AA50">$I$25:$AA$25</f>
        <v/>
      </c>
      <c r="J50" s="22"/>
      <c r="K50" s="22"/>
      <c r="L50" s="22"/>
      <c r="M50" s="22"/>
      <c r="N50" s="22"/>
      <c r="O50" s="22"/>
      <c r="P50" s="22"/>
      <c r="Q50" s="22"/>
      <c r="R50" s="22"/>
      <c r="S50" s="22"/>
      <c r="T50" s="22"/>
      <c r="U50" s="22"/>
      <c r="V50" s="22"/>
      <c r="W50" s="22"/>
      <c r="X50" s="22"/>
      <c r="Y50" s="22"/>
      <c r="Z50" s="22"/>
      <c r="AA50" s="22"/>
      <c r="AB50" s="8" t="str">
        <f t="shared" si="1"/>
        <v>B</v>
      </c>
      <c r="AC50" s="22"/>
      <c r="AD50" s="6"/>
      <c r="AE50" s="6"/>
      <c r="AF50" s="6"/>
      <c r="AG50" s="6"/>
      <c r="AH50" s="6"/>
      <c r="AI50" s="5"/>
      <c r="AJ50" s="165"/>
      <c r="AK50" s="4"/>
      <c r="AL50" s="5"/>
      <c r="AM50" s="5"/>
      <c r="AN50" s="4"/>
      <c r="AO50" s="4"/>
      <c r="AP50" s="4"/>
      <c r="AQ50" s="4"/>
      <c r="AR50" s="22"/>
      <c r="AS50" s="5"/>
      <c r="AT50" s="5"/>
      <c r="AU50" s="5"/>
      <c r="AV50" s="22"/>
      <c r="AW50" s="6"/>
      <c r="AX50" s="149"/>
      <c r="AY50" s="33"/>
      <c r="AZ50" s="22"/>
    </row>
    <row r="51" ht="15.0" customHeight="1">
      <c r="A51" s="104" t="str">
        <f>char(code(right(A26)) + 1)</f>
        <v>C</v>
      </c>
      <c r="B51" s="105"/>
      <c r="C51" s="105"/>
      <c r="D51" s="105"/>
      <c r="E51" s="105"/>
      <c r="F51" s="105"/>
      <c r="G51" s="105"/>
      <c r="H51" s="106"/>
      <c r="I51" s="105"/>
      <c r="J51" s="105"/>
      <c r="K51" s="105"/>
      <c r="L51" s="105"/>
      <c r="M51" s="105"/>
      <c r="N51" s="105"/>
      <c r="O51" s="105"/>
      <c r="P51" s="105"/>
      <c r="Q51" s="105"/>
      <c r="R51" s="105"/>
      <c r="S51" s="105"/>
      <c r="T51" s="105"/>
      <c r="U51" s="105"/>
      <c r="V51" s="105"/>
      <c r="W51" s="105"/>
      <c r="X51" s="105"/>
      <c r="Y51" s="105"/>
      <c r="Z51" s="105"/>
      <c r="AA51" s="107"/>
      <c r="AB51" s="8" t="str">
        <f t="shared" si="1"/>
        <v>C</v>
      </c>
      <c r="AC51" s="66"/>
      <c r="AD51" s="108" t="str">
        <f>AD26</f>
        <v>H2H</v>
      </c>
      <c r="AE51" s="109" t="str">
        <f>IFERROR(__xludf.DUMMYFUNCTION("transpose(query({teamInfo}, ""select Col2 where Col3 = '""&amp;AB51&amp;""'"", 0))"),"SVN")</f>
        <v>SVN</v>
      </c>
      <c r="AF51" s="109" t="str">
        <f>IFERROR(__xludf.DUMMYFUNCTION("""COMPUTED_VALUE"""),"SRB")</f>
        <v>SRB</v>
      </c>
      <c r="AG51" s="109" t="str">
        <f>IFERROR(__xludf.DUMMYFUNCTION("""COMPUTED_VALUE"""),"DEN")</f>
        <v>DEN</v>
      </c>
      <c r="AH51" s="109" t="str">
        <f>IFERROR(__xludf.DUMMYFUNCTION("""COMPUTED_VALUE"""),"ENG")</f>
        <v>ENG</v>
      </c>
      <c r="AI51" s="6"/>
      <c r="AJ51" s="21"/>
      <c r="AK51" s="22"/>
      <c r="AL51" s="6"/>
      <c r="AM51" s="6"/>
      <c r="AN51" s="22"/>
      <c r="AO51" s="22"/>
      <c r="AP51" s="22"/>
      <c r="AQ51" s="22"/>
      <c r="AR51" s="22"/>
      <c r="AS51" s="6"/>
      <c r="AT51" s="6"/>
      <c r="AU51" s="6"/>
      <c r="AV51" s="4"/>
      <c r="AW51" s="6"/>
      <c r="AX51" s="149"/>
      <c r="AY51" s="33"/>
      <c r="AZ51" s="22"/>
    </row>
    <row r="52" ht="15.0" customHeight="1">
      <c r="A52" s="15" t="str">
        <f>IFERROR(__xludf.DUMMYFUNCTION("arrayformula(ifna(vlookup(QUERY({index(Wallchart,, COLUMN() + 1)}, ""where Col1 &lt;&gt; '' limit ""&amp;$AK$12&amp;"" offset ""&amp;CHAR2NUM($AB52) * $AK$12,0), teamInfo, 2, 0), """"))"),"SVN")</f>
        <v>SVN</v>
      </c>
      <c r="B52" s="7">
        <f>indirect("Wallchart!R"&amp;row() - $AK$11 * CHAR2NUM($AB52)&amp;"C"&amp;column() + 1&amp;":R"&amp;row() - $AK$11 * CHAR2NUM($AB52) + $AK$12 - 1&amp;"C"&amp;column() + 2, false)</f>
        <v>1</v>
      </c>
      <c r="C52" s="7">
        <v>0.0</v>
      </c>
      <c r="D52" s="17" t="str">
        <f>IFERROR(__xludf.DUMMYFUNCTION("arrayformula(ifna(vlookup(QUERY({index(Wallchart,, COLUMN() + 1)}, ""where Col1 &lt;&gt; '' limit ""&amp;$AK$12&amp;"" offset ""&amp;CHAR2NUM($AB52) * $AK$12,0), teamInfo, 2, 0), """"))"),"DEN")</f>
        <v>DEN</v>
      </c>
      <c r="E52" s="22">
        <f t="shared" ref="E52:E57" si="25">ifs(or($B52 = "", $C52 = ""), "", $B52 &gt; $C52, 3, $B52 = $C52, 1, $B52 &lt; $C52, 0)</f>
        <v>3</v>
      </c>
      <c r="F52" s="22">
        <f t="shared" ref="F52:F57" si="26">ifs(or($B52 = "", $C52 = ""), "", $B52 &lt; $C52, 3, $B52 = $C52, 1, $B52 &gt; $C52, 0)</f>
        <v>0</v>
      </c>
      <c r="G52" s="114" t="str">
        <f t="array" ref="G52:Q52">$G$2:$Q$2</f>
        <v>Code</v>
      </c>
      <c r="H52" s="115" t="s">
        <v>26</v>
      </c>
      <c r="I52" s="114" t="s">
        <v>7</v>
      </c>
      <c r="J52" s="175" t="s">
        <v>8</v>
      </c>
      <c r="K52" s="114" t="s">
        <v>9</v>
      </c>
      <c r="L52" s="114" t="s">
        <v>10</v>
      </c>
      <c r="M52" s="114" t="s">
        <v>11</v>
      </c>
      <c r="N52" s="114" t="s">
        <v>12</v>
      </c>
      <c r="O52" s="114" t="s">
        <v>13</v>
      </c>
      <c r="P52" s="114" t="s">
        <v>14</v>
      </c>
      <c r="Q52" s="114" t="s">
        <v>73</v>
      </c>
      <c r="R52" s="177"/>
      <c r="S52" s="177"/>
      <c r="T52" s="177"/>
      <c r="U52" s="177"/>
      <c r="V52" s="177"/>
      <c r="W52" s="177"/>
      <c r="X52" s="177"/>
      <c r="Y52" s="177"/>
      <c r="Z52" s="177"/>
      <c r="AA52" s="177"/>
      <c r="AB52" s="8" t="str">
        <f t="shared" si="1"/>
        <v>C</v>
      </c>
      <c r="AC52" s="116" t="s">
        <v>74</v>
      </c>
      <c r="AD52" s="117" t="str">
        <f>IFERROR(__xludf.DUMMYFUNCTION("arrayformula(transpose(split(rept(concatenate(query({teamInfo}, ""select Col2 where Col3 = '""&amp;AB51&amp;""'"",0)&amp;""~""), 3), ""~"")))"),"SVN")</f>
        <v>SVN</v>
      </c>
      <c r="AE52" s="118"/>
      <c r="AF52" s="49">
        <f>IFERROR(__xludf.DUMMYFUNCTION("ifna(query({indirect(""Group""&amp;$AB52)},""select Col5 where Col1 = '""&amp;$AD52&amp;""' and Col4 = '""&amp;indirect(address(CHAR2NUM($AB52)*$AK$13 + 1, column()))&amp;""'"",0),
      query({INDIRECT(""Group""&amp;$AB52)},""select Col6 where Col1 = '""&amp;indirect(address(CHAR2N"&amp;"UM($AB52)*$AK$13  + 1, column()))&amp;""' and Col4 = '""&amp;$AD52&amp;""'"",0))"),3.0)</f>
        <v>3</v>
      </c>
      <c r="AG52" s="49">
        <f>IFERROR(__xludf.DUMMYFUNCTION("ifna(query({indirect(""Group""&amp;$AB52)},""select Col5 where Col1 = '""&amp;$AD52&amp;""' and Col4 = '""&amp;indirect(address(CHAR2NUM($AB52)*$AK$13 + 1, column()))&amp;""'"",0),
      query({INDIRECT(""Group""&amp;$AB52)},""select Col6 where Col1 = '""&amp;indirect(address(CHAR2N"&amp;"UM($AB52)*$AK$13  + 1, column()))&amp;""' and Col4 = '""&amp;$AD52&amp;""'"",0))"),3.0)</f>
        <v>3</v>
      </c>
      <c r="AH52" s="49">
        <f>IFERROR(__xludf.DUMMYFUNCTION("ifna(query({indirect(""Group""&amp;$AB52)},""select Col5 where Col1 = '""&amp;$AD52&amp;""' and Col4 = '""&amp;indirect(address(CHAR2NUM($AB52)*$AK$13 + 1, column()))&amp;""'"",0),
      query({INDIRECT(""Group""&amp;$AB52)},""select Col6 where Col1 = '""&amp;indirect(address(CHAR2N"&amp;"UM($AB52)*$AK$13  + 1, column()))&amp;""' and Col4 = '""&amp;$AD52&amp;""'"",0))"),0.0)</f>
        <v>0</v>
      </c>
      <c r="AI52" s="15">
        <f t="array" ref="AI52:AI63">ROUNDUP(sequence($AK$3*3)/$AK$3,0)</f>
        <v>1</v>
      </c>
      <c r="AJ52" s="21"/>
      <c r="AK52" s="22"/>
      <c r="AL52" s="6"/>
      <c r="AM52" s="6"/>
      <c r="AN52" s="22"/>
      <c r="AO52" s="22"/>
      <c r="AP52" s="22"/>
      <c r="AQ52" s="22"/>
      <c r="AR52" s="22"/>
      <c r="AS52" s="6"/>
      <c r="AT52" s="6"/>
      <c r="AU52" s="6"/>
      <c r="AV52" s="22"/>
      <c r="AW52" s="6"/>
      <c r="AX52" s="149"/>
      <c r="AY52" s="33"/>
      <c r="AZ52" s="22"/>
    </row>
    <row r="53" ht="15.0" customHeight="1">
      <c r="A53" s="15" t="str">
        <f>IFERROR(__xludf.DUMMYFUNCTION("""COMPUTED_VALUE"""),"SRB")</f>
        <v>SRB</v>
      </c>
      <c r="B53" s="7">
        <v>1.0</v>
      </c>
      <c r="C53" s="7">
        <v>0.0</v>
      </c>
      <c r="D53" s="17" t="str">
        <f>IFERROR(__xludf.DUMMYFUNCTION("""COMPUTED_VALUE"""),"ENG")</f>
        <v>ENG</v>
      </c>
      <c r="E53" s="22">
        <f t="shared" si="25"/>
        <v>3</v>
      </c>
      <c r="F53" s="22">
        <f t="shared" si="26"/>
        <v>0</v>
      </c>
      <c r="G53" s="117" t="str">
        <f>IFERROR(__xludf.DUMMYFUNCTION("query({teamInfo}, ""select Col2, Col1 where Col3 = '""&amp;AB53&amp;""'"", 0)"),"SVN")</f>
        <v>SVN</v>
      </c>
      <c r="H53" s="128" t="str">
        <f>IFERROR(__xludf.DUMMYFUNCTION("""COMPUTED_VALUE"""),"Slovenia")</f>
        <v>Slovenia</v>
      </c>
      <c r="I53" s="49">
        <f t="shared" ref="I53:I56" si="27">sum(J53:L53)</f>
        <v>3</v>
      </c>
      <c r="J53" s="48">
        <f>IFERROR(__xludf.DUMMYFUNCTION("sum(query(indirect(""Group""&amp;$AB53),""select count(E) where A = '""&amp;$G53&amp;""' and E = 3"",0), query(indirect(""Group""&amp;$AB53),""select count(F) where D = '""&amp;$G53&amp;""' and F = 3"",0))"),2.0)</f>
        <v>2</v>
      </c>
      <c r="K53" s="49">
        <f>IFERROR(__xludf.DUMMYFUNCTION("sum(query(indirect(""Group""&amp;$AB53),""select count(E) where A = '""&amp;$G53&amp;""' and E = 1"",0), query(indirect(""Group""&amp;$AB53),""select count(F) where D = '""&amp;$G53&amp;""' and F = 1"",0))"),0.0)</f>
        <v>0</v>
      </c>
      <c r="L53" s="49">
        <f>IFERROR(__xludf.DUMMYFUNCTION("sum(query(indirect(""Group""&amp;$AB53),""select count(E) where A = '""&amp;$G53&amp;""' and E = 0"",0), query(indirect(""Group""&amp;$AB53),""select count(F) where D = '""&amp;$G53&amp;""' and F = 0"",0))"),1.0)</f>
        <v>1</v>
      </c>
      <c r="M53" s="49">
        <f>IFERROR(__xludf.DUMMYFUNCTION("ifna(sum(query(indirect(""Group""&amp;$AB53),""select B where A = '""&amp;$G53&amp;""'"",0), query(indirect(""Group""&amp;$AB53),""select C where D = '""&amp;$G53&amp;""'"",0)),0)"),2.0)</f>
        <v>2</v>
      </c>
      <c r="N53" s="49">
        <f>IFERROR(__xludf.DUMMYFUNCTION("ifna(sum(query(indirect(""Group""&amp;$AB53),""select C where A = '""&amp;$G53&amp;""'"",0), query(indirect(""Group""&amp;$AB53),""select B where D = '""&amp;$G53&amp;""'"",0)), 0)"),1.0)</f>
        <v>1</v>
      </c>
      <c r="O53" s="49">
        <f t="shared" ref="O53:O56" si="28">M53-N53</f>
        <v>1</v>
      </c>
      <c r="P53" s="49">
        <f t="shared" ref="P53:P56" si="29">J53*3+K53-abs(Q53)</f>
        <v>6</v>
      </c>
      <c r="Q53" s="140"/>
      <c r="R53" s="129" t="str">
        <f>$R$3</f>
        <v>The last column will only be used if points have been deducted.</v>
      </c>
      <c r="U53" s="177"/>
      <c r="V53" s="177"/>
      <c r="W53" s="177"/>
      <c r="X53" s="177"/>
      <c r="Y53" s="177"/>
      <c r="Z53" s="177"/>
      <c r="AA53" s="177"/>
      <c r="AB53" s="8" t="str">
        <f t="shared" si="1"/>
        <v>C</v>
      </c>
      <c r="AC53" s="131"/>
      <c r="AD53" s="117" t="str">
        <f>IFERROR(__xludf.DUMMYFUNCTION("""COMPUTED_VALUE"""),"SRB")</f>
        <v>SRB</v>
      </c>
      <c r="AE53" s="49">
        <f>IFERROR(__xludf.DUMMYFUNCTION("ifna(query({indirect(""Group""&amp;$AB53)},""select Col5 where Col1 = '""&amp;$AD53&amp;""' and Col4 = '""&amp;indirect(address(CHAR2NUM($AB53)*$AK$13 + 1, column()))&amp;""'"",0),
      query({INDIRECT(""Group""&amp;$AB53)},""select Col6 where Col1 = '""&amp;indirect(address(CHAR2N"&amp;"UM($AB53)*$AK$13  + 1, column()))&amp;""' and Col4 = '""&amp;$AD53&amp;""'"",0))"),0.0)</f>
        <v>0</v>
      </c>
      <c r="AF53" s="118"/>
      <c r="AG53" s="49">
        <f>IFERROR(__xludf.DUMMYFUNCTION("ifna(query({indirect(""Group""&amp;$AB53)},""select Col5 where Col1 = '""&amp;$AD53&amp;""' and Col4 = '""&amp;indirect(address(CHAR2NUM($AB53)*$AK$13 + 1, column()))&amp;""'"",0),
      query({INDIRECT(""Group""&amp;$AB53)},""select Col6 where Col1 = '""&amp;indirect(address(CHAR2N"&amp;"UM($AB53)*$AK$13  + 1, column()))&amp;""' and Col4 = '""&amp;$AD53&amp;""'"",0))"),0.0)</f>
        <v>0</v>
      </c>
      <c r="AH53" s="49">
        <f>IFERROR(__xludf.DUMMYFUNCTION("ifna(query({indirect(""Group""&amp;$AB53)},""select Col5 where Col1 = '""&amp;$AD53&amp;""' and Col4 = '""&amp;indirect(address(CHAR2NUM($AB53)*$AK$13 + 1, column()))&amp;""'"",0),
      query({INDIRECT(""Group""&amp;$AB53)},""select Col6 where Col1 = '""&amp;indirect(address(CHAR2N"&amp;"UM($AB53)*$AK$13  + 1, column()))&amp;""' and Col4 = '""&amp;$AD53&amp;""'"",0))"),3.0)</f>
        <v>3</v>
      </c>
      <c r="AI53" s="6">
        <v>1.0</v>
      </c>
      <c r="AJ53" s="21"/>
      <c r="AK53" s="22"/>
      <c r="AL53" s="6"/>
      <c r="AM53" s="6"/>
      <c r="AN53" s="22"/>
      <c r="AO53" s="22"/>
      <c r="AP53" s="22"/>
      <c r="AQ53" s="22"/>
      <c r="AR53" s="22"/>
      <c r="AS53" s="6"/>
      <c r="AT53" s="6"/>
      <c r="AU53" s="6"/>
      <c r="AV53" s="22"/>
      <c r="AW53" s="6"/>
      <c r="AX53" s="149"/>
      <c r="AY53" s="33"/>
      <c r="AZ53" s="22"/>
    </row>
    <row r="54" ht="15.0" customHeight="1">
      <c r="A54" s="15" t="str">
        <f>IFERROR(__xludf.DUMMYFUNCTION("""COMPUTED_VALUE"""),"SVN")</f>
        <v>SVN</v>
      </c>
      <c r="B54" s="7">
        <v>1.0</v>
      </c>
      <c r="C54" s="7">
        <v>0.0</v>
      </c>
      <c r="D54" s="17" t="str">
        <f>IFERROR(__xludf.DUMMYFUNCTION("""COMPUTED_VALUE"""),"SRB")</f>
        <v>SRB</v>
      </c>
      <c r="E54" s="22">
        <f t="shared" si="25"/>
        <v>3</v>
      </c>
      <c r="F54" s="22">
        <f t="shared" si="26"/>
        <v>0</v>
      </c>
      <c r="G54" s="117" t="str">
        <f>IFERROR(__xludf.DUMMYFUNCTION("""COMPUTED_VALUE"""),"SRB")</f>
        <v>SRB</v>
      </c>
      <c r="H54" s="144" t="str">
        <f>IFERROR(__xludf.DUMMYFUNCTION("""COMPUTED_VALUE"""),"Serbia")</f>
        <v>Serbia</v>
      </c>
      <c r="I54" s="49">
        <f t="shared" si="27"/>
        <v>3</v>
      </c>
      <c r="J54" s="48">
        <f>IFERROR(__xludf.DUMMYFUNCTION("sum(query(indirect(""Group""&amp;$AB54),""select count(E) where A = '""&amp;$G54&amp;""' and E = 3"",0), query(indirect(""Group""&amp;$AB54),""select count(F) where D = '""&amp;$G54&amp;""' and F = 3"",0))"),1.0)</f>
        <v>1</v>
      </c>
      <c r="K54" s="49">
        <f>IFERROR(__xludf.DUMMYFUNCTION("sum(query(indirect(""Group""&amp;$AB54),""select count(E) where A = '""&amp;$G54&amp;""' and E = 1"",0), query(indirect(""Group""&amp;$AB54),""select count(F) where D = '""&amp;$G54&amp;""' and F = 1"",0))"),0.0)</f>
        <v>0</v>
      </c>
      <c r="L54" s="49">
        <f>IFERROR(__xludf.DUMMYFUNCTION("sum(query(indirect(""Group""&amp;$AB54),""select count(E) where A = '""&amp;$G54&amp;""' and E = 0"",0), query(indirect(""Group""&amp;$AB54),""select count(F) where D = '""&amp;$G54&amp;""' and F = 0"",0))"),2.0)</f>
        <v>2</v>
      </c>
      <c r="M54" s="49">
        <f>IFERROR(__xludf.DUMMYFUNCTION("ifna(sum(query(indirect(""Group""&amp;$AB54),""select B where A = '""&amp;$G54&amp;""'"",0), query(indirect(""Group""&amp;$AB54),""select C where D = '""&amp;$G54&amp;""'"",0)),0)"),1.0)</f>
        <v>1</v>
      </c>
      <c r="N54" s="49">
        <f>IFERROR(__xludf.DUMMYFUNCTION("ifna(sum(query(indirect(""Group""&amp;$AB54),""select C where A = '""&amp;$G54&amp;""'"",0), query(indirect(""Group""&amp;$AB54),""select B where D = '""&amp;$G54&amp;""'"",0)), 0)"),2.0)</f>
        <v>2</v>
      </c>
      <c r="O54" s="49">
        <f t="shared" si="28"/>
        <v>-1</v>
      </c>
      <c r="P54" s="49">
        <f t="shared" si="29"/>
        <v>3</v>
      </c>
      <c r="Q54" s="140"/>
      <c r="U54" s="177"/>
      <c r="V54" s="177"/>
      <c r="W54" s="177"/>
      <c r="X54" s="177"/>
      <c r="Y54" s="177"/>
      <c r="Z54" s="177"/>
      <c r="AA54" s="177"/>
      <c r="AB54" s="8" t="str">
        <f t="shared" si="1"/>
        <v>C</v>
      </c>
      <c r="AC54" s="131"/>
      <c r="AD54" s="117" t="str">
        <f>IFERROR(__xludf.DUMMYFUNCTION("""COMPUTED_VALUE"""),"DEN")</f>
        <v>DEN</v>
      </c>
      <c r="AE54" s="49">
        <f>IFERROR(__xludf.DUMMYFUNCTION("ifna(query({indirect(""Group""&amp;$AB54)},""select Col5 where Col1 = '""&amp;$AD54&amp;""' and Col4 = '""&amp;indirect(address(CHAR2NUM($AB54)*$AK$13 + 1, column()))&amp;""'"",0),
      query({INDIRECT(""Group""&amp;$AB54)},""select Col6 where Col1 = '""&amp;indirect(address(CHAR2N"&amp;"UM($AB54)*$AK$13  + 1, column()))&amp;""' and Col4 = '""&amp;$AD54&amp;""'"",0))"),0.0)</f>
        <v>0</v>
      </c>
      <c r="AF54" s="49">
        <f>IFERROR(__xludf.DUMMYFUNCTION("ifna(query({indirect(""Group""&amp;$AB54)},""select Col5 where Col1 = '""&amp;$AD54&amp;""' and Col4 = '""&amp;indirect(address(CHAR2NUM($AB54)*$AK$13 + 1, column()))&amp;""'"",0),
      query({INDIRECT(""Group""&amp;$AB54)},""select Col6 where Col1 = '""&amp;indirect(address(CHAR2N"&amp;"UM($AB54)*$AK$13  + 1, column()))&amp;""' and Col4 = '""&amp;$AD54&amp;""'"",0))"),3.0)</f>
        <v>3</v>
      </c>
      <c r="AG54" s="118"/>
      <c r="AH54" s="49">
        <f>IFERROR(__xludf.DUMMYFUNCTION("ifna(query({indirect(""Group""&amp;$AB54)},""select Col5 where Col1 = '""&amp;$AD54&amp;""' and Col4 = '""&amp;indirect(address(CHAR2NUM($AB54)*$AK$13 + 1, column()))&amp;""'"",0),
      query({INDIRECT(""Group""&amp;$AB54)},""select Col6 where Col1 = '""&amp;indirect(address(CHAR2N"&amp;"UM($AB54)*$AK$13  + 1, column()))&amp;""' and Col4 = '""&amp;$AD54&amp;""'"",0))"),3.0)</f>
        <v>3</v>
      </c>
      <c r="AI54" s="6">
        <v>1.0</v>
      </c>
      <c r="AJ54" s="21"/>
      <c r="AK54" s="22"/>
      <c r="AL54" s="6"/>
      <c r="AM54" s="6"/>
      <c r="AN54" s="22"/>
      <c r="AO54" s="22"/>
      <c r="AP54" s="22"/>
      <c r="AQ54" s="22"/>
      <c r="AR54" s="22"/>
      <c r="AS54" s="6"/>
      <c r="AT54" s="6"/>
      <c r="AU54" s="6"/>
      <c r="AV54" s="22"/>
      <c r="AW54" s="6"/>
      <c r="AX54" s="149"/>
      <c r="AY54" s="33"/>
      <c r="AZ54" s="22"/>
    </row>
    <row r="55" ht="15.0" customHeight="1">
      <c r="A55" s="15" t="str">
        <f>IFERROR(__xludf.DUMMYFUNCTION("""COMPUTED_VALUE"""),"DEN")</f>
        <v>DEN</v>
      </c>
      <c r="B55" s="7">
        <v>1.0</v>
      </c>
      <c r="C55" s="7">
        <v>0.0</v>
      </c>
      <c r="D55" s="17" t="str">
        <f>IFERROR(__xludf.DUMMYFUNCTION("""COMPUTED_VALUE"""),"ENG")</f>
        <v>ENG</v>
      </c>
      <c r="E55" s="22">
        <f t="shared" si="25"/>
        <v>3</v>
      </c>
      <c r="F55" s="22">
        <f t="shared" si="26"/>
        <v>0</v>
      </c>
      <c r="G55" s="117" t="str">
        <f>IFERROR(__xludf.DUMMYFUNCTION("""COMPUTED_VALUE"""),"DEN")</f>
        <v>DEN</v>
      </c>
      <c r="H55" s="144" t="str">
        <f>IFERROR(__xludf.DUMMYFUNCTION("""COMPUTED_VALUE"""),"Denmark")</f>
        <v>Denmark</v>
      </c>
      <c r="I55" s="49">
        <f t="shared" si="27"/>
        <v>3</v>
      </c>
      <c r="J55" s="48">
        <f>IFERROR(__xludf.DUMMYFUNCTION("sum(query(indirect(""Group""&amp;$AB55),""select count(E) where A = '""&amp;$G55&amp;""' and E = 3"",0), query(indirect(""Group""&amp;$AB55),""select count(F) where D = '""&amp;$G55&amp;""' and F = 3"",0))"),2.0)</f>
        <v>2</v>
      </c>
      <c r="K55" s="49">
        <f>IFERROR(__xludf.DUMMYFUNCTION("sum(query(indirect(""Group""&amp;$AB55),""select count(E) where A = '""&amp;$G55&amp;""' and E = 1"",0), query(indirect(""Group""&amp;$AB55),""select count(F) where D = '""&amp;$G55&amp;""' and F = 1"",0))"),0.0)</f>
        <v>0</v>
      </c>
      <c r="L55" s="49">
        <f>IFERROR(__xludf.DUMMYFUNCTION("sum(query(indirect(""Group""&amp;$AB55),""select count(E) where A = '""&amp;$G55&amp;""' and E = 0"",0), query(indirect(""Group""&amp;$AB55),""select count(F) where D = '""&amp;$G55&amp;""' and F = 0"",0))"),1.0)</f>
        <v>1</v>
      </c>
      <c r="M55" s="49">
        <f>IFERROR(__xludf.DUMMYFUNCTION("ifna(sum(query(indirect(""Group""&amp;$AB55),""select B where A = '""&amp;$G55&amp;""'"",0), query(indirect(""Group""&amp;$AB55),""select C where D = '""&amp;$G55&amp;""'"",0)),0)"),2.0)</f>
        <v>2</v>
      </c>
      <c r="N55" s="49">
        <f>IFERROR(__xludf.DUMMYFUNCTION("ifna(sum(query(indirect(""Group""&amp;$AB55),""select C where A = '""&amp;$G55&amp;""'"",0), query(indirect(""Group""&amp;$AB55),""select B where D = '""&amp;$G55&amp;""'"",0)), 0)"),1.0)</f>
        <v>1</v>
      </c>
      <c r="O55" s="49">
        <f t="shared" si="28"/>
        <v>1</v>
      </c>
      <c r="P55" s="49">
        <f t="shared" si="29"/>
        <v>6</v>
      </c>
      <c r="Q55" s="16"/>
      <c r="U55" s="177"/>
      <c r="V55" s="177"/>
      <c r="W55" s="177"/>
      <c r="X55" s="177"/>
      <c r="Y55" s="177"/>
      <c r="Z55" s="177"/>
      <c r="AA55" s="177"/>
      <c r="AB55" s="8" t="str">
        <f t="shared" si="1"/>
        <v>C</v>
      </c>
      <c r="AC55" s="133"/>
      <c r="AD55" s="117" t="str">
        <f>IFERROR(__xludf.DUMMYFUNCTION("""COMPUTED_VALUE"""),"ENG")</f>
        <v>ENG</v>
      </c>
      <c r="AE55" s="49">
        <f>IFERROR(__xludf.DUMMYFUNCTION("ifna(query({indirect(""Group""&amp;$AB55)},""select Col5 where Col1 = '""&amp;$AD55&amp;""' and Col4 = '""&amp;indirect(address(CHAR2NUM($AB55)*$AK$13 + 1, column()))&amp;""'"",0),
      query({INDIRECT(""Group""&amp;$AB55)},""select Col6 where Col1 = '""&amp;indirect(address(CHAR2N"&amp;"UM($AB55)*$AK$13  + 1, column()))&amp;""' and Col4 = '""&amp;$AD55&amp;""'"",0))"),3.0)</f>
        <v>3</v>
      </c>
      <c r="AF55" s="49">
        <f>IFERROR(__xludf.DUMMYFUNCTION("ifna(query({indirect(""Group""&amp;$AB55)},""select Col5 where Col1 = '""&amp;$AD55&amp;""' and Col4 = '""&amp;indirect(address(CHAR2NUM($AB55)*$AK$13 + 1, column()))&amp;""'"",0),
      query({INDIRECT(""Group""&amp;$AB55)},""select Col6 where Col1 = '""&amp;indirect(address(CHAR2N"&amp;"UM($AB55)*$AK$13  + 1, column()))&amp;""' and Col4 = '""&amp;$AD55&amp;""'"",0))"),0.0)</f>
        <v>0</v>
      </c>
      <c r="AG55" s="49">
        <f>IFERROR(__xludf.DUMMYFUNCTION("ifna(query({indirect(""Group""&amp;$AB55)},""select Col5 where Col1 = '""&amp;$AD55&amp;""' and Col4 = '""&amp;indirect(address(CHAR2NUM($AB55)*$AK$13 + 1, column()))&amp;""'"",0),
      query({INDIRECT(""Group""&amp;$AB55)},""select Col6 where Col1 = '""&amp;indirect(address(CHAR2N"&amp;"UM($AB55)*$AK$13  + 1, column()))&amp;""' and Col4 = '""&amp;$AD55&amp;""'"",0))"),0.0)</f>
        <v>0</v>
      </c>
      <c r="AH55" s="118"/>
      <c r="AI55" s="6">
        <v>1.0</v>
      </c>
      <c r="AJ55" s="21"/>
      <c r="AK55" s="22"/>
      <c r="AL55" s="6"/>
      <c r="AM55" s="6"/>
      <c r="AN55" s="22"/>
      <c r="AO55" s="22"/>
      <c r="AP55" s="22"/>
      <c r="AQ55" s="22"/>
      <c r="AR55" s="22"/>
      <c r="AS55" s="6"/>
      <c r="AT55" s="6"/>
      <c r="AU55" s="6"/>
      <c r="AV55" s="22"/>
      <c r="AW55" s="6"/>
      <c r="AX55" s="149"/>
      <c r="AY55" s="33"/>
      <c r="AZ55" s="22"/>
    </row>
    <row r="56" ht="15.0" customHeight="1">
      <c r="A56" s="15" t="str">
        <f>IFERROR(__xludf.DUMMYFUNCTION("""COMPUTED_VALUE"""),"ENG")</f>
        <v>ENG</v>
      </c>
      <c r="B56" s="7">
        <v>1.0</v>
      </c>
      <c r="C56" s="7">
        <v>0.0</v>
      </c>
      <c r="D56" s="17" t="str">
        <f>IFERROR(__xludf.DUMMYFUNCTION("""COMPUTED_VALUE"""),"SVN")</f>
        <v>SVN</v>
      </c>
      <c r="E56" s="22">
        <f t="shared" si="25"/>
        <v>3</v>
      </c>
      <c r="F56" s="22">
        <f t="shared" si="26"/>
        <v>0</v>
      </c>
      <c r="G56" s="117" t="str">
        <f>IFERROR(__xludf.DUMMYFUNCTION("""COMPUTED_VALUE"""),"ENG")</f>
        <v>ENG</v>
      </c>
      <c r="H56" s="144" t="str">
        <f>IFERROR(__xludf.DUMMYFUNCTION("""COMPUTED_VALUE"""),"England")</f>
        <v>England</v>
      </c>
      <c r="I56" s="49">
        <f t="shared" si="27"/>
        <v>3</v>
      </c>
      <c r="J56" s="48">
        <f>IFERROR(__xludf.DUMMYFUNCTION("sum(query(indirect(""Group""&amp;$AB56),""select count(E) where A = '""&amp;$G56&amp;""' and E = 3"",0), query(indirect(""Group""&amp;$AB56),""select count(F) where D = '""&amp;$G56&amp;""' and F = 3"",0))"),1.0)</f>
        <v>1</v>
      </c>
      <c r="K56" s="49">
        <f>IFERROR(__xludf.DUMMYFUNCTION("sum(query(indirect(""Group""&amp;$AB56),""select count(E) where A = '""&amp;$G56&amp;""' and E = 1"",0), query(indirect(""Group""&amp;$AB56),""select count(F) where D = '""&amp;$G56&amp;""' and F = 1"",0))"),0.0)</f>
        <v>0</v>
      </c>
      <c r="L56" s="49">
        <f>IFERROR(__xludf.DUMMYFUNCTION("sum(query(indirect(""Group""&amp;$AB56),""select count(E) where A = '""&amp;$G56&amp;""' and E = 0"",0), query(indirect(""Group""&amp;$AB56),""select count(F) where D = '""&amp;$G56&amp;""' and F = 0"",0))"),2.0)</f>
        <v>2</v>
      </c>
      <c r="M56" s="49">
        <f>IFERROR(__xludf.DUMMYFUNCTION("ifna(sum(query(indirect(""Group""&amp;$AB56),""select B where A = '""&amp;$G56&amp;""'"",0), query(indirect(""Group""&amp;$AB56),""select C where D = '""&amp;$G56&amp;""'"",0)),0)"),1.0)</f>
        <v>1</v>
      </c>
      <c r="N56" s="49">
        <f>IFERROR(__xludf.DUMMYFUNCTION("ifna(sum(query(indirect(""Group""&amp;$AB56),""select C where A = '""&amp;$G56&amp;""'"",0), query(indirect(""Group""&amp;$AB56),""select B where D = '""&amp;$G56&amp;""'"",0)), 0)"),2.0)</f>
        <v>2</v>
      </c>
      <c r="O56" s="49">
        <f t="shared" si="28"/>
        <v>-1</v>
      </c>
      <c r="P56" s="49">
        <f t="shared" si="29"/>
        <v>3</v>
      </c>
      <c r="Q56" s="140"/>
      <c r="U56" s="177"/>
      <c r="V56" s="177"/>
      <c r="W56" s="177"/>
      <c r="X56" s="177"/>
      <c r="Y56" s="177"/>
      <c r="Z56" s="177"/>
      <c r="AA56" s="177"/>
      <c r="AB56" s="8" t="str">
        <f t="shared" si="1"/>
        <v>C</v>
      </c>
      <c r="AC56" s="116" t="s">
        <v>13</v>
      </c>
      <c r="AD56" s="117" t="str">
        <f>IFERROR(__xludf.DUMMYFUNCTION("""COMPUTED_VALUE"""),"SVN")</f>
        <v>SVN</v>
      </c>
      <c r="AE56" s="118"/>
      <c r="AF56" s="49">
        <f>IFERROR(__xludf.DUMMYFUNCTION("sum(iferror(query({indirect(""Group""&amp;$AB56)},""select Col2-Col3 where Col1 = '""&amp;$AD56&amp;""' and Col4 = '""&amp;indirect(address(CHAR2NUM($AB56)*$AK$13 + 1, column()))&amp;""'""),0),
     iferror(query({INDIRECT(""Group""&amp;$AB56)},""select Col3-Col2 where Col1 = '"&amp;"""&amp;indirect(address(CHAR2NUM($AB56)*$AK$13 + 1, column()))&amp;""' and Col4 = '""&amp;$AD56&amp;""'""),0))"),1.0)</f>
        <v>1</v>
      </c>
      <c r="AG56" s="49">
        <f>IFERROR(__xludf.DUMMYFUNCTION("sum(iferror(query({indirect(""Group""&amp;$AB56)},""select Col2-Col3 where Col1 = '""&amp;$AD56&amp;""' and Col4 = '""&amp;indirect(address(CHAR2NUM($AB56)*$AK$13 + 1, column()))&amp;""'""),0),
     iferror(query({INDIRECT(""Group""&amp;$AB56)},""select Col3-Col2 where Col1 = '"&amp;"""&amp;indirect(address(CHAR2NUM($AB56)*$AK$13 + 1, column()))&amp;""' and Col4 = '""&amp;$AD56&amp;""'""),0))"),1.0)</f>
        <v>1</v>
      </c>
      <c r="AH56" s="49">
        <f>IFERROR(__xludf.DUMMYFUNCTION("sum(iferror(query({indirect(""Group""&amp;$AB56)},""select Col2-Col3 where Col1 = '""&amp;$AD56&amp;""' and Col4 = '""&amp;indirect(address(CHAR2NUM($AB56)*$AK$13 + 1, column()))&amp;""'""),0),
     iferror(query({INDIRECT(""Group""&amp;$AB56)},""select Col3-Col2 where Col1 = '"&amp;"""&amp;indirect(address(CHAR2NUM($AB56)*$AK$13 + 1, column()))&amp;""' and Col4 = '""&amp;$AD56&amp;""'""),0))"),-1.0)</f>
        <v>-1</v>
      </c>
      <c r="AI56" s="6">
        <v>2.0</v>
      </c>
      <c r="AJ56" s="21"/>
      <c r="AK56" s="22"/>
      <c r="AL56" s="6"/>
      <c r="AM56" s="6"/>
      <c r="AN56" s="22"/>
      <c r="AO56" s="22"/>
      <c r="AP56" s="22"/>
      <c r="AQ56" s="22"/>
      <c r="AR56" s="6"/>
      <c r="AS56" s="6"/>
      <c r="AT56" s="6"/>
      <c r="AU56" s="6"/>
      <c r="AV56" s="22"/>
      <c r="AW56" s="6"/>
      <c r="AX56" s="149"/>
      <c r="AY56" s="33"/>
      <c r="AZ56" s="22"/>
    </row>
    <row r="57" ht="15.0" customHeight="1">
      <c r="A57" s="15" t="str">
        <f>IFERROR(__xludf.DUMMYFUNCTION("""COMPUTED_VALUE"""),"DEN")</f>
        <v>DEN</v>
      </c>
      <c r="B57" s="7">
        <v>1.0</v>
      </c>
      <c r="C57" s="7">
        <v>0.0</v>
      </c>
      <c r="D57" s="17" t="str">
        <f>IFERROR(__xludf.DUMMYFUNCTION("""COMPUTED_VALUE"""),"SRB")</f>
        <v>SRB</v>
      </c>
      <c r="E57" s="22">
        <f t="shared" si="25"/>
        <v>3</v>
      </c>
      <c r="F57" s="22">
        <f t="shared" si="26"/>
        <v>0</v>
      </c>
      <c r="G57" s="22"/>
      <c r="H57" s="33"/>
      <c r="I57" s="22">
        <f t="array" ref="I57:P57">$I$7:$P$7</f>
        <v>3</v>
      </c>
      <c r="J57" s="22">
        <v>4.0</v>
      </c>
      <c r="K57" s="22">
        <v>5.0</v>
      </c>
      <c r="L57" s="22">
        <v>6.0</v>
      </c>
      <c r="M57" s="22">
        <v>7.0</v>
      </c>
      <c r="N57" s="22">
        <v>8.0</v>
      </c>
      <c r="O57" s="22">
        <v>9.0</v>
      </c>
      <c r="P57" s="22">
        <v>10.0</v>
      </c>
      <c r="Q57" s="22"/>
      <c r="R57" s="22"/>
      <c r="S57" s="22"/>
      <c r="T57" s="22"/>
      <c r="U57" s="22"/>
      <c r="V57" s="22"/>
      <c r="W57" s="22"/>
      <c r="X57" s="22"/>
      <c r="Y57" s="22"/>
      <c r="Z57" s="22"/>
      <c r="AA57" s="22"/>
      <c r="AB57" s="8" t="str">
        <f t="shared" si="1"/>
        <v>C</v>
      </c>
      <c r="AC57" s="131"/>
      <c r="AD57" s="117" t="str">
        <f>IFERROR(__xludf.DUMMYFUNCTION("""COMPUTED_VALUE"""),"SRB")</f>
        <v>SRB</v>
      </c>
      <c r="AE57" s="49">
        <f>IFERROR(__xludf.DUMMYFUNCTION("sum(iferror(query({indirect(""Group""&amp;$AB57)},""select Col2-Col3 where Col1 = '""&amp;$AD57&amp;""' and Col4 = '""&amp;indirect(address(CHAR2NUM($AB57)*$AK$13 + 1, column()))&amp;""'""),0),
     iferror(query({INDIRECT(""Group""&amp;$AB57)},""select Col3-Col2 where Col1 = '"&amp;"""&amp;indirect(address(CHAR2NUM($AB57)*$AK$13 + 1, column()))&amp;""' and Col4 = '""&amp;$AD57&amp;""'""),0))"),-1.0)</f>
        <v>-1</v>
      </c>
      <c r="AF57" s="118"/>
      <c r="AG57" s="49">
        <f>IFERROR(__xludf.DUMMYFUNCTION("sum(iferror(query({indirect(""Group""&amp;$AB57)},""select Col2-Col3 where Col1 = '""&amp;$AD57&amp;""' and Col4 = '""&amp;indirect(address(CHAR2NUM($AB57)*$AK$13 + 1, column()))&amp;""'""),0),
     iferror(query({INDIRECT(""Group""&amp;$AB57)},""select Col3-Col2 where Col1 = '"&amp;"""&amp;indirect(address(CHAR2NUM($AB57)*$AK$13 + 1, column()))&amp;""' and Col4 = '""&amp;$AD57&amp;""'""),0))"),-1.0)</f>
        <v>-1</v>
      </c>
      <c r="AH57" s="49">
        <f>IFERROR(__xludf.DUMMYFUNCTION("sum(iferror(query({indirect(""Group""&amp;$AB57)},""select Col2-Col3 where Col1 = '""&amp;$AD57&amp;""' and Col4 = '""&amp;indirect(address(CHAR2NUM($AB57)*$AK$13 + 1, column()))&amp;""'""),0),
     iferror(query({INDIRECT(""Group""&amp;$AB57)},""select Col3-Col2 where Col1 = '"&amp;"""&amp;indirect(address(CHAR2NUM($AB57)*$AK$13 + 1, column()))&amp;""' and Col4 = '""&amp;$AD57&amp;""'""),0))"),1.0)</f>
        <v>1</v>
      </c>
      <c r="AI57" s="6">
        <v>2.0</v>
      </c>
      <c r="AJ57" s="21"/>
      <c r="AK57" s="22"/>
      <c r="AL57" s="6"/>
      <c r="AM57" s="6"/>
      <c r="AN57" s="22"/>
      <c r="AO57" s="22"/>
      <c r="AP57" s="22"/>
      <c r="AQ57" s="22"/>
      <c r="AR57" s="6"/>
      <c r="AS57" s="6"/>
      <c r="AT57" s="6"/>
      <c r="AU57" s="6"/>
      <c r="AV57" s="22"/>
      <c r="AW57" s="6"/>
      <c r="AX57" s="149"/>
      <c r="AY57" s="33"/>
      <c r="AZ57" s="22"/>
    </row>
    <row r="58" ht="15.0" customHeight="1">
      <c r="A58" s="99" t="str">
        <f>$A$8</f>
        <v>Teams are sorted by points. If teams are tied then the following tie-breaking criteria are applied:
1) Head-to-head: a) points b) goal difference c) goals scored
2) If teams are still tied, use 1) with tied teams
3) Overall: a) goal difference b) goals scored
4) Penalties: If two teams face-off in the last round of the group stage, have the same number of points, goals scored and conceded, and their score finishes level then their ranking is determined by a penalty shoot-out (not used if more than two teams have equal points)</v>
      </c>
      <c r="G58" s="114" t="str">
        <f t="array" ref="G58:T58">$G$8:$T$8</f>
        <v>Code</v>
      </c>
      <c r="H58" s="115" t="s">
        <v>26</v>
      </c>
      <c r="I58" s="114" t="s">
        <v>7</v>
      </c>
      <c r="J58" s="114" t="s">
        <v>8</v>
      </c>
      <c r="K58" s="114" t="s">
        <v>9</v>
      </c>
      <c r="L58" s="114" t="s">
        <v>10</v>
      </c>
      <c r="M58" s="114" t="s">
        <v>11</v>
      </c>
      <c r="N58" s="114" t="s">
        <v>12</v>
      </c>
      <c r="O58" s="114" t="s">
        <v>13</v>
      </c>
      <c r="P58" s="114" t="s">
        <v>14</v>
      </c>
      <c r="Q58" s="108" t="s">
        <v>99</v>
      </c>
      <c r="R58" s="108" t="s">
        <v>100</v>
      </c>
      <c r="S58" s="108" t="s">
        <v>101</v>
      </c>
      <c r="T58" s="108" t="s">
        <v>102</v>
      </c>
      <c r="U58" s="22"/>
      <c r="V58" s="22"/>
      <c r="W58" s="22"/>
      <c r="X58" s="22"/>
      <c r="Y58" s="22"/>
      <c r="Z58" s="22"/>
      <c r="AA58" s="22"/>
      <c r="AB58" s="8" t="str">
        <f t="shared" si="1"/>
        <v>C</v>
      </c>
      <c r="AC58" s="131"/>
      <c r="AD58" s="117" t="str">
        <f>IFERROR(__xludf.DUMMYFUNCTION("""COMPUTED_VALUE"""),"DEN")</f>
        <v>DEN</v>
      </c>
      <c r="AE58" s="49">
        <f>IFERROR(__xludf.DUMMYFUNCTION("sum(iferror(query({indirect(""Group""&amp;$AB58)},""select Col2-Col3 where Col1 = '""&amp;$AD58&amp;""' and Col4 = '""&amp;indirect(address(CHAR2NUM($AB58)*$AK$13 + 1, column()))&amp;""'""),0),
     iferror(query({INDIRECT(""Group""&amp;$AB58)},""select Col3-Col2 where Col1 = '"&amp;"""&amp;indirect(address(CHAR2NUM($AB58)*$AK$13 + 1, column()))&amp;""' and Col4 = '""&amp;$AD58&amp;""'""),0))"),-1.0)</f>
        <v>-1</v>
      </c>
      <c r="AF58" s="49">
        <f>IFERROR(__xludf.DUMMYFUNCTION("sum(iferror(query({indirect(""Group""&amp;$AB58)},""select Col2-Col3 where Col1 = '""&amp;$AD58&amp;""' and Col4 = '""&amp;indirect(address(CHAR2NUM($AB58)*$AK$13 + 1, column()))&amp;""'""),0),
     iferror(query({INDIRECT(""Group""&amp;$AB58)},""select Col3-Col2 where Col1 = '"&amp;"""&amp;indirect(address(CHAR2NUM($AB58)*$AK$13 + 1, column()))&amp;""' and Col4 = '""&amp;$AD58&amp;""'""),0))"),1.0)</f>
        <v>1</v>
      </c>
      <c r="AG58" s="118"/>
      <c r="AH58" s="49">
        <f>IFERROR(__xludf.DUMMYFUNCTION("sum(iferror(query({indirect(""Group""&amp;$AB58)},""select Col2-Col3 where Col1 = '""&amp;$AD58&amp;""' and Col4 = '""&amp;indirect(address(CHAR2NUM($AB58)*$AK$13 + 1, column()))&amp;""'""),0),
     iferror(query({INDIRECT(""Group""&amp;$AB58)},""select Col3-Col2 where Col1 = '"&amp;"""&amp;indirect(address(CHAR2NUM($AB58)*$AK$13 + 1, column()))&amp;""' and Col4 = '""&amp;$AD58&amp;""'""),0))"),1.0)</f>
        <v>1</v>
      </c>
      <c r="AI58" s="6">
        <v>2.0</v>
      </c>
      <c r="AJ58" s="21"/>
      <c r="AK58" s="22"/>
      <c r="AL58" s="6"/>
      <c r="AM58" s="6"/>
      <c r="AN58" s="22"/>
      <c r="AO58" s="22"/>
      <c r="AP58" s="22"/>
      <c r="AQ58" s="22"/>
      <c r="AR58" s="6"/>
      <c r="AS58" s="6"/>
      <c r="AT58" s="6"/>
      <c r="AU58" s="6"/>
      <c r="AV58" s="22"/>
      <c r="AW58" s="6"/>
      <c r="AX58" s="149"/>
      <c r="AY58" s="33"/>
      <c r="AZ58" s="22"/>
    </row>
    <row r="59" ht="15.0" customHeight="1">
      <c r="G59" s="49" t="str">
        <f t="array" ref="G59:P62">sort(G53:P56, xlookup("Pts", $I$2:$P$2, $I$7:$P$7), false)</f>
        <v>SVN</v>
      </c>
      <c r="H59" s="144" t="s">
        <v>21</v>
      </c>
      <c r="I59" s="49">
        <v>3.0</v>
      </c>
      <c r="J59" s="49">
        <v>2.0</v>
      </c>
      <c r="K59" s="49">
        <v>0.0</v>
      </c>
      <c r="L59" s="49">
        <v>1.0</v>
      </c>
      <c r="M59" s="49">
        <v>2.0</v>
      </c>
      <c r="N59" s="49">
        <v>1.0</v>
      </c>
      <c r="O59" s="49">
        <v>1.0</v>
      </c>
      <c r="P59" s="49">
        <v>6.0</v>
      </c>
      <c r="Q59" s="145" t="str">
        <f>if(and(I59 &gt; 0, P59=P60),"A","")</f>
        <v>A</v>
      </c>
      <c r="R59" s="145">
        <f t="shared" ref="R59:R62" si="30">H2H($Q59,$G59,$AB59,{$G$59:$G$62,$Q$59:$Q$62},1)</f>
        <v>3</v>
      </c>
      <c r="S59" s="146">
        <f t="shared" ref="S59:S62" si="31">H2H($Q59,$G59,$AB59,{$G$59:$G$62,$Q$59:$Q$62},2)</f>
        <v>1</v>
      </c>
      <c r="T59" s="145">
        <f t="shared" ref="T59:T62" si="32">H2H($Q59,$G59,$AB59,{$G$59:$G$62,$Q$59:$Q$62},3)</f>
        <v>1</v>
      </c>
      <c r="U59" s="22"/>
      <c r="V59" s="22"/>
      <c r="W59" s="22"/>
      <c r="X59" s="22"/>
      <c r="Y59" s="22"/>
      <c r="Z59" s="22"/>
      <c r="AA59" s="22"/>
      <c r="AB59" s="8" t="str">
        <f t="shared" si="1"/>
        <v>C</v>
      </c>
      <c r="AC59" s="133"/>
      <c r="AD59" s="117" t="str">
        <f>IFERROR(__xludf.DUMMYFUNCTION("""COMPUTED_VALUE"""),"ENG")</f>
        <v>ENG</v>
      </c>
      <c r="AE59" s="49">
        <f>IFERROR(__xludf.DUMMYFUNCTION("sum(iferror(query({indirect(""Group""&amp;$AB59)},""select Col2-Col3 where Col1 = '""&amp;$AD59&amp;""' and Col4 = '""&amp;indirect(address(CHAR2NUM($AB59)*$AK$13 + 1, column()))&amp;""'""),0),
     iferror(query({INDIRECT(""Group""&amp;$AB59)},""select Col3-Col2 where Col1 = '"&amp;"""&amp;indirect(address(CHAR2NUM($AB59)*$AK$13 + 1, column()))&amp;""' and Col4 = '""&amp;$AD59&amp;""'""),0))"),1.0)</f>
        <v>1</v>
      </c>
      <c r="AF59" s="49">
        <f>IFERROR(__xludf.DUMMYFUNCTION("sum(iferror(query({indirect(""Group""&amp;$AB59)},""select Col2-Col3 where Col1 = '""&amp;$AD59&amp;""' and Col4 = '""&amp;indirect(address(CHAR2NUM($AB59)*$AK$13 + 1, column()))&amp;""'""),0),
     iferror(query({INDIRECT(""Group""&amp;$AB59)},""select Col3-Col2 where Col1 = '"&amp;"""&amp;indirect(address(CHAR2NUM($AB59)*$AK$13 + 1, column()))&amp;""' and Col4 = '""&amp;$AD59&amp;""'""),0))"),-1.0)</f>
        <v>-1</v>
      </c>
      <c r="AG59" s="49">
        <f>IFERROR(__xludf.DUMMYFUNCTION("sum(iferror(query({indirect(""Group""&amp;$AB59)},""select Col2-Col3 where Col1 = '""&amp;$AD59&amp;""' and Col4 = '""&amp;indirect(address(CHAR2NUM($AB59)*$AK$13 + 1, column()))&amp;""'""),0),
     iferror(query({INDIRECT(""Group""&amp;$AB59)},""select Col3-Col2 where Col1 = '"&amp;"""&amp;indirect(address(CHAR2NUM($AB59)*$AK$13 + 1, column()))&amp;""' and Col4 = '""&amp;$AD59&amp;""'""),0))"),-1.0)</f>
        <v>-1</v>
      </c>
      <c r="AH59" s="118"/>
      <c r="AI59" s="6">
        <v>2.0</v>
      </c>
      <c r="AJ59" s="21"/>
      <c r="AK59" s="22"/>
      <c r="AL59" s="6"/>
      <c r="AM59" s="6"/>
      <c r="AN59" s="22"/>
      <c r="AO59" s="22"/>
      <c r="AP59" s="22"/>
      <c r="AQ59" s="22"/>
      <c r="AR59" s="6"/>
      <c r="AS59" s="6"/>
      <c r="AT59" s="6"/>
      <c r="AU59" s="6"/>
      <c r="AV59" s="22"/>
      <c r="AW59" s="6"/>
      <c r="AX59" s="149"/>
      <c r="AY59" s="33"/>
      <c r="AZ59" s="22"/>
    </row>
    <row r="60" ht="15.0" customHeight="1">
      <c r="G60" s="49" t="s">
        <v>118</v>
      </c>
      <c r="H60" s="144" t="s">
        <v>22</v>
      </c>
      <c r="I60" s="49">
        <v>3.0</v>
      </c>
      <c r="J60" s="49">
        <v>2.0</v>
      </c>
      <c r="K60" s="49">
        <v>0.0</v>
      </c>
      <c r="L60" s="49">
        <v>1.0</v>
      </c>
      <c r="M60" s="49">
        <v>2.0</v>
      </c>
      <c r="N60" s="49">
        <v>1.0</v>
      </c>
      <c r="O60" s="49">
        <v>1.0</v>
      </c>
      <c r="P60" s="49">
        <v>6.0</v>
      </c>
      <c r="Q60" s="145" t="str">
        <f>ifs(I60 = 0, "", not(Q59 = ""), Q59, P60 = P61, "A", TRUE, "")</f>
        <v>A</v>
      </c>
      <c r="R60" s="145">
        <f t="shared" si="30"/>
        <v>0</v>
      </c>
      <c r="S60" s="146">
        <f t="shared" si="31"/>
        <v>-1</v>
      </c>
      <c r="T60" s="145">
        <f t="shared" si="32"/>
        <v>0</v>
      </c>
      <c r="U60" s="22"/>
      <c r="V60" s="22"/>
      <c r="W60" s="22"/>
      <c r="X60" s="22"/>
      <c r="Y60" s="22"/>
      <c r="Z60" s="22"/>
      <c r="AA60" s="22"/>
      <c r="AB60" s="8" t="str">
        <f t="shared" si="1"/>
        <v>C</v>
      </c>
      <c r="AC60" s="116" t="s">
        <v>110</v>
      </c>
      <c r="AD60" s="117" t="str">
        <f>IFERROR(__xludf.DUMMYFUNCTION("""COMPUTED_VALUE"""),"SVN")</f>
        <v>SVN</v>
      </c>
      <c r="AE60" s="118"/>
      <c r="AF60" s="49">
        <f>IFERROR(__xludf.DUMMYFUNCTION("ifna(query({indirect(""Group""&amp;$AB60)},""select Col2 where Col1 = '""&amp;$AD60&amp;""' and Col4 = '""&amp;indirect(address(CHAR2NUM($AB60)*$AK$13 + 1, column()))&amp;""'"",0),
      query({INDIRECT(""Group""&amp;$AB60)},""select Col3 where Col1 = '""&amp;indirect(address(CHAR2N"&amp;"UM($AB60)*$AK$13 + 1, column()))&amp;""' and Col4 = '""&amp;$AD60&amp;""'"",0))"),1.0)</f>
        <v>1</v>
      </c>
      <c r="AG60" s="49">
        <f>IFERROR(__xludf.DUMMYFUNCTION("ifna(query({indirect(""Group""&amp;$AB60)},""select Col2 where Col1 = '""&amp;$AD60&amp;""' and Col4 = '""&amp;indirect(address(CHAR2NUM($AB60)*$AK$13 + 1, column()))&amp;""'"",0),
      query({INDIRECT(""Group""&amp;$AB60)},""select Col3 where Col1 = '""&amp;indirect(address(CHAR2N"&amp;"UM($AB60)*$AK$13 + 1, column()))&amp;""' and Col4 = '""&amp;$AD60&amp;""'"",0))"),1.0)</f>
        <v>1</v>
      </c>
      <c r="AH60" s="49">
        <f>IFERROR(__xludf.DUMMYFUNCTION("ifna(query({indirect(""Group""&amp;$AB60)},""select Col2 where Col1 = '""&amp;$AD60&amp;""' and Col4 = '""&amp;indirect(address(CHAR2NUM($AB60)*$AK$13 + 1, column()))&amp;""'"",0),
      query({INDIRECT(""Group""&amp;$AB60)},""select Col3 where Col1 = '""&amp;indirect(address(CHAR2N"&amp;"UM($AB60)*$AK$13 + 1, column()))&amp;""' and Col4 = '""&amp;$AD60&amp;""'"",0))"),0.0)</f>
        <v>0</v>
      </c>
      <c r="AI60" s="6">
        <v>3.0</v>
      </c>
      <c r="AJ60" s="21"/>
      <c r="AK60" s="22"/>
      <c r="AL60" s="6"/>
      <c r="AM60" s="6"/>
      <c r="AN60" s="22"/>
      <c r="AO60" s="22"/>
      <c r="AP60" s="22"/>
      <c r="AQ60" s="22"/>
      <c r="AR60" s="6"/>
      <c r="AS60" s="6"/>
      <c r="AT60" s="6"/>
      <c r="AU60" s="6"/>
      <c r="AV60" s="22"/>
      <c r="AW60" s="6"/>
      <c r="AX60" s="149"/>
      <c r="AY60" s="33"/>
      <c r="AZ60" s="22"/>
    </row>
    <row r="61" ht="15.0" customHeight="1">
      <c r="G61" s="49" t="s">
        <v>116</v>
      </c>
      <c r="H61" s="144" t="s">
        <v>23</v>
      </c>
      <c r="I61" s="49">
        <v>3.0</v>
      </c>
      <c r="J61" s="49">
        <v>1.0</v>
      </c>
      <c r="K61" s="49">
        <v>0.0</v>
      </c>
      <c r="L61" s="49">
        <v>2.0</v>
      </c>
      <c r="M61" s="49">
        <v>1.0</v>
      </c>
      <c r="N61" s="49">
        <v>2.0</v>
      </c>
      <c r="O61" s="49">
        <v>-1.0</v>
      </c>
      <c r="P61" s="49">
        <v>3.0</v>
      </c>
      <c r="Q61" s="145" t="str">
        <f>ifs(I61 = 0, "", P60 = P61, Q60, P61 = P62, if(Q60 = "A", "B", "A"), TRUE, "")</f>
        <v>B</v>
      </c>
      <c r="R61" s="145">
        <f t="shared" si="30"/>
        <v>3</v>
      </c>
      <c r="S61" s="146">
        <f t="shared" si="31"/>
        <v>1</v>
      </c>
      <c r="T61" s="145">
        <f t="shared" si="32"/>
        <v>1</v>
      </c>
      <c r="U61" s="22"/>
      <c r="V61" s="22"/>
      <c r="W61" s="22"/>
      <c r="X61" s="22"/>
      <c r="Y61" s="22"/>
      <c r="Z61" s="22"/>
      <c r="AA61" s="22"/>
      <c r="AB61" s="8" t="str">
        <f t="shared" si="1"/>
        <v>C</v>
      </c>
      <c r="AC61" s="131"/>
      <c r="AD61" s="117" t="str">
        <f>IFERROR(__xludf.DUMMYFUNCTION("""COMPUTED_VALUE"""),"SRB")</f>
        <v>SRB</v>
      </c>
      <c r="AE61" s="49">
        <f>IFERROR(__xludf.DUMMYFUNCTION("ifna(query({indirect(""Group""&amp;$AB61)},""select Col2 where Col1 = '""&amp;$AD61&amp;""' and Col4 = '""&amp;indirect(address(CHAR2NUM($AB61)*$AK$13 + 1, column()))&amp;""'"",0),
      query({INDIRECT(""Group""&amp;$AB61)},""select Col3 where Col1 = '""&amp;indirect(address(CHAR2N"&amp;"UM($AB61)*$AK$13 + 1, column()))&amp;""' and Col4 = '""&amp;$AD61&amp;""'"",0))"),0.0)</f>
        <v>0</v>
      </c>
      <c r="AF61" s="118"/>
      <c r="AG61" s="49">
        <f>IFERROR(__xludf.DUMMYFUNCTION("ifna(query({indirect(""Group""&amp;$AB61)},""select Col2 where Col1 = '""&amp;$AD61&amp;""' and Col4 = '""&amp;indirect(address(CHAR2NUM($AB61)*$AK$13 + 1, column()))&amp;""'"",0),
      query({INDIRECT(""Group""&amp;$AB61)},""select Col3 where Col1 = '""&amp;indirect(address(CHAR2N"&amp;"UM($AB61)*$AK$13 + 1, column()))&amp;""' and Col4 = '""&amp;$AD61&amp;""'"",0))"),0.0)</f>
        <v>0</v>
      </c>
      <c r="AH61" s="49">
        <f>IFERROR(__xludf.DUMMYFUNCTION("ifna(query({indirect(""Group""&amp;$AB61)},""select Col2 where Col1 = '""&amp;$AD61&amp;""' and Col4 = '""&amp;indirect(address(CHAR2NUM($AB61)*$AK$13 + 1, column()))&amp;""'"",0),
      query({INDIRECT(""Group""&amp;$AB61)},""select Col3 where Col1 = '""&amp;indirect(address(CHAR2N"&amp;"UM($AB61)*$AK$13 + 1, column()))&amp;""' and Col4 = '""&amp;$AD61&amp;""'"",0))"),1.0)</f>
        <v>1</v>
      </c>
      <c r="AI61" s="6">
        <v>3.0</v>
      </c>
      <c r="AJ61" s="21"/>
      <c r="AK61" s="22"/>
      <c r="AL61" s="6"/>
      <c r="AM61" s="6"/>
      <c r="AN61" s="22"/>
      <c r="AO61" s="22"/>
      <c r="AP61" s="22"/>
      <c r="AQ61" s="22"/>
      <c r="AR61" s="6"/>
      <c r="AS61" s="6"/>
      <c r="AT61" s="6"/>
      <c r="AU61" s="6"/>
      <c r="AV61" s="22"/>
      <c r="AW61" s="6"/>
      <c r="AX61" s="149"/>
      <c r="AY61" s="33"/>
      <c r="AZ61" s="22"/>
    </row>
    <row r="62" ht="15.0" customHeight="1">
      <c r="G62" s="49" t="s">
        <v>120</v>
      </c>
      <c r="H62" s="144" t="s">
        <v>24</v>
      </c>
      <c r="I62" s="49">
        <v>3.0</v>
      </c>
      <c r="J62" s="49">
        <v>1.0</v>
      </c>
      <c r="K62" s="49">
        <v>0.0</v>
      </c>
      <c r="L62" s="49">
        <v>2.0</v>
      </c>
      <c r="M62" s="49">
        <v>1.0</v>
      </c>
      <c r="N62" s="49">
        <v>2.0</v>
      </c>
      <c r="O62" s="49">
        <v>-1.0</v>
      </c>
      <c r="P62" s="49">
        <v>3.0</v>
      </c>
      <c r="Q62" s="145" t="str">
        <f>if(and(I62 &gt; 0, P61 = P62), Q61, "")</f>
        <v>B</v>
      </c>
      <c r="R62" s="145">
        <f t="shared" si="30"/>
        <v>0</v>
      </c>
      <c r="S62" s="146">
        <f t="shared" si="31"/>
        <v>-1</v>
      </c>
      <c r="T62" s="145">
        <f t="shared" si="32"/>
        <v>0</v>
      </c>
      <c r="U62" s="22"/>
      <c r="V62" s="22"/>
      <c r="W62" s="22"/>
      <c r="X62" s="22"/>
      <c r="Y62" s="22"/>
      <c r="Z62" s="22"/>
      <c r="AA62" s="22"/>
      <c r="AB62" s="8" t="str">
        <f t="shared" si="1"/>
        <v>C</v>
      </c>
      <c r="AC62" s="131"/>
      <c r="AD62" s="117" t="str">
        <f>IFERROR(__xludf.DUMMYFUNCTION("""COMPUTED_VALUE"""),"DEN")</f>
        <v>DEN</v>
      </c>
      <c r="AE62" s="49">
        <f>IFERROR(__xludf.DUMMYFUNCTION("ifna(query({indirect(""Group""&amp;$AB62)},""select Col2 where Col1 = '""&amp;$AD62&amp;""' and Col4 = '""&amp;indirect(address(CHAR2NUM($AB62)*$AK$13 + 1, column()))&amp;""'"",0),
      query({INDIRECT(""Group""&amp;$AB62)},""select Col3 where Col1 = '""&amp;indirect(address(CHAR2N"&amp;"UM($AB62)*$AK$13 + 1, column()))&amp;""' and Col4 = '""&amp;$AD62&amp;""'"",0))"),0.0)</f>
        <v>0</v>
      </c>
      <c r="AF62" s="49">
        <f>IFERROR(__xludf.DUMMYFUNCTION("ifna(query({indirect(""Group""&amp;$AB62)},""select Col2 where Col1 = '""&amp;$AD62&amp;""' and Col4 = '""&amp;indirect(address(CHAR2NUM($AB62)*$AK$13 + 1, column()))&amp;""'"",0),
      query({INDIRECT(""Group""&amp;$AB62)},""select Col3 where Col1 = '""&amp;indirect(address(CHAR2N"&amp;"UM($AB62)*$AK$13 + 1, column()))&amp;""' and Col4 = '""&amp;$AD62&amp;""'"",0))"),1.0)</f>
        <v>1</v>
      </c>
      <c r="AG62" s="118"/>
      <c r="AH62" s="49">
        <f>IFERROR(__xludf.DUMMYFUNCTION("ifna(query({indirect(""Group""&amp;$AB62)},""select Col2 where Col1 = '""&amp;$AD62&amp;""' and Col4 = '""&amp;indirect(address(CHAR2NUM($AB62)*$AK$13 + 1, column()))&amp;""'"",0),
      query({INDIRECT(""Group""&amp;$AB62)},""select Col3 where Col1 = '""&amp;indirect(address(CHAR2N"&amp;"UM($AB62)*$AK$13 + 1, column()))&amp;""' and Col4 = '""&amp;$AD62&amp;""'"",0))"),1.0)</f>
        <v>1</v>
      </c>
      <c r="AI62" s="6">
        <v>3.0</v>
      </c>
      <c r="AJ62" s="21"/>
      <c r="AK62" s="22"/>
      <c r="AL62" s="6"/>
      <c r="AM62" s="6"/>
      <c r="AN62" s="22"/>
      <c r="AO62" s="22"/>
      <c r="AP62" s="22"/>
      <c r="AQ62" s="22"/>
      <c r="AR62" s="6"/>
      <c r="AS62" s="6"/>
      <c r="AT62" s="6"/>
      <c r="AU62" s="6"/>
      <c r="AV62" s="22"/>
      <c r="AW62" s="5"/>
      <c r="AX62" s="150"/>
      <c r="AY62" s="151"/>
      <c r="AZ62" s="4"/>
    </row>
    <row r="63" ht="15.0" customHeight="1">
      <c r="G63" s="22"/>
      <c r="H63" s="33"/>
      <c r="I63" s="22">
        <f t="array" ref="I63:T63">$I$13:$T$13</f>
        <v>3</v>
      </c>
      <c r="J63" s="22">
        <v>4.0</v>
      </c>
      <c r="K63" s="22">
        <v>5.0</v>
      </c>
      <c r="L63" s="22">
        <v>6.0</v>
      </c>
      <c r="M63" s="22">
        <v>7.0</v>
      </c>
      <c r="N63" s="22">
        <v>8.0</v>
      </c>
      <c r="O63" s="22">
        <v>9.0</v>
      </c>
      <c r="P63" s="22">
        <v>10.0</v>
      </c>
      <c r="Q63" s="22">
        <v>11.0</v>
      </c>
      <c r="R63" s="22">
        <v>12.0</v>
      </c>
      <c r="S63" s="22">
        <v>13.0</v>
      </c>
      <c r="T63" s="22">
        <v>14.0</v>
      </c>
      <c r="U63" s="22"/>
      <c r="V63" s="22"/>
      <c r="W63" s="22"/>
      <c r="X63" s="22"/>
      <c r="Y63" s="22"/>
      <c r="Z63" s="22"/>
      <c r="AA63" s="22"/>
      <c r="AB63" s="8" t="str">
        <f t="shared" si="1"/>
        <v>C</v>
      </c>
      <c r="AC63" s="133"/>
      <c r="AD63" s="117" t="str">
        <f>IFERROR(__xludf.DUMMYFUNCTION("""COMPUTED_VALUE"""),"ENG")</f>
        <v>ENG</v>
      </c>
      <c r="AE63" s="49">
        <f>IFERROR(__xludf.DUMMYFUNCTION("ifna(query({indirect(""Group""&amp;$AB63)},""select Col2 where Col1 = '""&amp;$AD63&amp;""' and Col4 = '""&amp;indirect(address(CHAR2NUM($AB63)*$AK$13 + 1, column()))&amp;""'"",0),
      query({INDIRECT(""Group""&amp;$AB63)},""select Col3 where Col1 = '""&amp;indirect(address(CHAR2N"&amp;"UM($AB63)*$AK$13 + 1, column()))&amp;""' and Col4 = '""&amp;$AD63&amp;""'"",0))"),1.0)</f>
        <v>1</v>
      </c>
      <c r="AF63" s="49">
        <f>IFERROR(__xludf.DUMMYFUNCTION("ifna(query({indirect(""Group""&amp;$AB63)},""select Col2 where Col1 = '""&amp;$AD63&amp;""' and Col4 = '""&amp;indirect(address(CHAR2NUM($AB63)*$AK$13 + 1, column()))&amp;""'"",0),
      query({INDIRECT(""Group""&amp;$AB63)},""select Col3 where Col1 = '""&amp;indirect(address(CHAR2N"&amp;"UM($AB63)*$AK$13 + 1, column()))&amp;""' and Col4 = '""&amp;$AD63&amp;""'"",0))"),0.0)</f>
        <v>0</v>
      </c>
      <c r="AG63" s="49">
        <f>IFERROR(__xludf.DUMMYFUNCTION("ifna(query({indirect(""Group""&amp;$AB63)},""select Col2 where Col1 = '""&amp;$AD63&amp;""' and Col4 = '""&amp;indirect(address(CHAR2NUM($AB63)*$AK$13 + 1, column()))&amp;""'"",0),
      query({INDIRECT(""Group""&amp;$AB63)},""select Col3 where Col1 = '""&amp;indirect(address(CHAR2N"&amp;"UM($AB63)*$AK$13 + 1, column()))&amp;""' and Col4 = '""&amp;$AD63&amp;""'"",0))"),0.0)</f>
        <v>0</v>
      </c>
      <c r="AH63" s="118"/>
      <c r="AI63" s="6">
        <v>3.0</v>
      </c>
      <c r="AJ63" s="21"/>
      <c r="AK63" s="22"/>
      <c r="AL63" s="6"/>
      <c r="AM63" s="6"/>
      <c r="AN63" s="22"/>
      <c r="AO63" s="22"/>
      <c r="AP63" s="22"/>
      <c r="AQ63" s="22"/>
      <c r="AR63" s="6"/>
      <c r="AS63" s="6"/>
      <c r="AT63" s="6"/>
      <c r="AU63" s="6"/>
      <c r="AV63" s="22"/>
      <c r="AW63" s="5"/>
      <c r="AX63" s="150"/>
      <c r="AY63" s="151"/>
      <c r="AZ63" s="4"/>
    </row>
    <row r="64" ht="15.0" customHeight="1">
      <c r="G64" s="114" t="str">
        <f t="array" ref="G64:AA64">$G$14:$AA$14</f>
        <v>Code</v>
      </c>
      <c r="H64" s="115" t="s">
        <v>26</v>
      </c>
      <c r="I64" s="114" t="s">
        <v>7</v>
      </c>
      <c r="J64" s="114" t="s">
        <v>8</v>
      </c>
      <c r="K64" s="114" t="s">
        <v>9</v>
      </c>
      <c r="L64" s="114" t="s">
        <v>10</v>
      </c>
      <c r="M64" s="114" t="s">
        <v>11</v>
      </c>
      <c r="N64" s="114" t="s">
        <v>12</v>
      </c>
      <c r="O64" s="114" t="s">
        <v>13</v>
      </c>
      <c r="P64" s="114" t="s">
        <v>14</v>
      </c>
      <c r="Q64" s="114" t="s">
        <v>99</v>
      </c>
      <c r="R64" s="162" t="s">
        <v>100</v>
      </c>
      <c r="S64" s="162" t="s">
        <v>101</v>
      </c>
      <c r="T64" s="162" t="s">
        <v>102</v>
      </c>
      <c r="U64" s="108" t="s">
        <v>121</v>
      </c>
      <c r="V64" s="108" t="s">
        <v>122</v>
      </c>
      <c r="W64" s="153" t="s">
        <v>123</v>
      </c>
      <c r="X64" s="108" t="s">
        <v>124</v>
      </c>
      <c r="Y64" s="154" t="s">
        <v>125</v>
      </c>
      <c r="Z64" s="154" t="s">
        <v>126</v>
      </c>
      <c r="AA64" s="154" t="s">
        <v>127</v>
      </c>
      <c r="AB64" s="8" t="str">
        <f t="shared" si="1"/>
        <v>C</v>
      </c>
      <c r="AC64" s="6"/>
      <c r="AD64" s="6"/>
      <c r="AE64" s="6"/>
      <c r="AF64" s="6"/>
      <c r="AG64" s="6"/>
      <c r="AH64" s="6"/>
      <c r="AI64" s="6"/>
      <c r="AJ64" s="21"/>
      <c r="AK64" s="22"/>
      <c r="AL64" s="6"/>
      <c r="AM64" s="6"/>
      <c r="AN64" s="22"/>
      <c r="AO64" s="22"/>
      <c r="AP64" s="22"/>
      <c r="AQ64" s="22"/>
      <c r="AR64" s="6"/>
      <c r="AS64" s="6"/>
      <c r="AT64" s="6"/>
      <c r="AU64" s="6"/>
      <c r="AV64" s="22"/>
      <c r="AW64" s="5"/>
      <c r="AX64" s="150"/>
      <c r="AY64" s="151"/>
      <c r="AZ64" s="4"/>
    </row>
    <row r="65" ht="15.0" customHeight="1">
      <c r="G65" s="49" t="str">
        <f t="array" ref="G65:T68">sort(G59:T62, xlookup("Pts", $I$8:$T$8, $I$13:$T$13), false,
              xlookup("P1", $I$8:$T$8, $I$13:$T$13), false, xlookup("G1", $I$8:$T$8, $I$13:$T$13), false, xlookup("F1", $I$8:$T$8, $I$13:$T$13), false,
              xlookup("GD", $I$8:$T$8, $I$13:$T$13), false, xlookup("F", $I$8:$T$8, $I$13:$T$13), false)</f>
        <v>SVN</v>
      </c>
      <c r="H65" s="144" t="s">
        <v>21</v>
      </c>
      <c r="I65" s="49">
        <v>3.0</v>
      </c>
      <c r="J65" s="49">
        <v>2.0</v>
      </c>
      <c r="K65" s="49">
        <v>0.0</v>
      </c>
      <c r="L65" s="49">
        <v>1.0</v>
      </c>
      <c r="M65" s="49">
        <v>2.0</v>
      </c>
      <c r="N65" s="49">
        <v>1.0</v>
      </c>
      <c r="O65" s="49">
        <v>1.0</v>
      </c>
      <c r="P65" s="49">
        <v>6.0</v>
      </c>
      <c r="Q65" s="49" t="s">
        <v>12</v>
      </c>
      <c r="R65" s="49">
        <v>3.0</v>
      </c>
      <c r="S65" s="50">
        <v>1.0</v>
      </c>
      <c r="T65" s="49">
        <v>1.0</v>
      </c>
      <c r="U65" s="145" t="str">
        <f>if(not(Q65=""),if(and(R65=R66,S65=S66,T65=T66),Q65,""),"")</f>
        <v/>
      </c>
      <c r="V65" s="145" t="str">
        <f t="shared" ref="V65:V68" si="33">H2H($U65,$G65,$AB65,{$G$65:$G$68,$U$65:$U$68},1)</f>
        <v/>
      </c>
      <c r="W65" s="146" t="str">
        <f t="shared" ref="W65:W68" si="34">H2H($U65,$G65,$AB65,{$G$65:$G$68,$U$65:$U$68},2)</f>
        <v/>
      </c>
      <c r="X65" s="145" t="str">
        <f t="shared" ref="X65:X68" si="35">H2H($U65,$G65,$AB65,{$G$65:$G$68,$U$65:$U$68},3)</f>
        <v/>
      </c>
      <c r="Y65" s="155" t="str">
        <f>IFERROR(__xludf.DUMMYFUNCTION("ifna(query({indirect(""Penalties""&amp;$AB65)},""select Col2 where Col1 = '""&amp;G65&amp;""'"",0), query({indirect(""Penalties""&amp;$AB65)},""select Col3 where Col4 = '""&amp;G65&amp;""'"",0))"),"")</f>
        <v/>
      </c>
      <c r="Z65" s="155">
        <f t="array" ref="Z65:Z68">xlookup(indirect(address(row(), column($G:$G), 4)&amp;":"&amp;address(row() + $AK$3 - 1, column($G:$G))), index(teamInfo,,2), index(teamInfo,,7))</f>
        <v>0</v>
      </c>
      <c r="AA65" s="155">
        <f>IFERROR(__xludf.DUMMYFUNCTION("if(xlookup($G65, index(teamInfo,,2), index(teamInfo,,11)) = """",
    xlookup($G65, index(teamInfo,,2), index(teamInfo,,8)), query({teamInfo}, ""select Col11 where Col2 = '""&amp;$G65&amp;""'"", 0))"),15.0)</f>
        <v>15</v>
      </c>
      <c r="AB65" s="8" t="str">
        <f t="shared" si="1"/>
        <v>C</v>
      </c>
      <c r="AC65" s="7" t="str">
        <f>"Group "&amp;AB64&amp;" Ranking Explanation"</f>
        <v>Group C Ranking Explanation</v>
      </c>
      <c r="AI65" s="6"/>
      <c r="AJ65" s="21"/>
      <c r="AK65" s="22"/>
      <c r="AL65" s="6"/>
      <c r="AM65" s="6"/>
      <c r="AN65" s="22"/>
      <c r="AO65" s="22"/>
      <c r="AP65" s="22"/>
      <c r="AQ65" s="22"/>
      <c r="AR65" s="6"/>
      <c r="AS65" s="6"/>
      <c r="AT65" s="6"/>
      <c r="AU65" s="6"/>
      <c r="AV65" s="22"/>
      <c r="AW65" s="5"/>
      <c r="AX65" s="150"/>
      <c r="AY65" s="151"/>
      <c r="AZ65" s="4"/>
    </row>
    <row r="66" ht="15.0" customHeight="1">
      <c r="G66" s="49" t="s">
        <v>118</v>
      </c>
      <c r="H66" s="144" t="s">
        <v>22</v>
      </c>
      <c r="I66" s="49">
        <v>3.0</v>
      </c>
      <c r="J66" s="49">
        <v>2.0</v>
      </c>
      <c r="K66" s="49">
        <v>0.0</v>
      </c>
      <c r="L66" s="49">
        <v>1.0</v>
      </c>
      <c r="M66" s="49">
        <v>2.0</v>
      </c>
      <c r="N66" s="49">
        <v>1.0</v>
      </c>
      <c r="O66" s="49">
        <v>1.0</v>
      </c>
      <c r="P66" s="49">
        <v>6.0</v>
      </c>
      <c r="Q66" s="49" t="s">
        <v>12</v>
      </c>
      <c r="R66" s="49">
        <v>0.0</v>
      </c>
      <c r="S66" s="50">
        <v>-1.0</v>
      </c>
      <c r="T66" s="49">
        <v>0.0</v>
      </c>
      <c r="U66" s="145" t="str">
        <f>if(not(Q66=""),if(and(R65=R66,S65=S66,T65=T66),Q65,if(and(R66=R67,S66=S67,T66=T67),Q66,"")),"")</f>
        <v/>
      </c>
      <c r="V66" s="145" t="str">
        <f t="shared" si="33"/>
        <v/>
      </c>
      <c r="W66" s="146" t="str">
        <f t="shared" si="34"/>
        <v/>
      </c>
      <c r="X66" s="145" t="str">
        <f t="shared" si="35"/>
        <v/>
      </c>
      <c r="Y66" s="155" t="str">
        <f>IFERROR(__xludf.DUMMYFUNCTION("ifna(query({indirect(""Penalties""&amp;$AB66)},""select Col2 where Col1 = '""&amp;G66&amp;""'"",0), query({indirect(""Penalties""&amp;$AB66)},""select Col3 where Col4 = '""&amp;G66&amp;""'"",0))"),"")</f>
        <v/>
      </c>
      <c r="Z66" s="155">
        <v>0.0</v>
      </c>
      <c r="AA66" s="155">
        <f>IFERROR(__xludf.DUMMYFUNCTION("if(xlookup($G66, index(teamInfo,,2), index(teamInfo,,11)) = """",
    xlookup($G66, index(teamInfo,,2), index(teamInfo,,8)), query({teamInfo}, ""select Col11 where Col2 = '""&amp;$G66&amp;""'"", 0))"),9.0)</f>
        <v>9</v>
      </c>
      <c r="AB66" s="8" t="str">
        <f t="shared" si="1"/>
        <v>C</v>
      </c>
      <c r="AC66" s="156"/>
      <c r="AD66" s="59"/>
      <c r="AE66" s="59"/>
      <c r="AF66" s="59"/>
      <c r="AG66" s="59"/>
      <c r="AH66" s="60"/>
      <c r="AI66" s="6"/>
      <c r="AJ66" s="21"/>
      <c r="AK66" s="22"/>
      <c r="AL66" s="6"/>
      <c r="AM66" s="6"/>
      <c r="AN66" s="22"/>
      <c r="AO66" s="22"/>
      <c r="AP66" s="22"/>
      <c r="AQ66" s="22"/>
      <c r="AR66" s="6"/>
      <c r="AS66" s="6"/>
      <c r="AT66" s="6"/>
      <c r="AU66" s="6"/>
      <c r="AV66" s="22"/>
      <c r="AW66" s="5"/>
      <c r="AX66" s="150"/>
      <c r="AY66" s="151"/>
      <c r="AZ66" s="4"/>
    </row>
    <row r="67" ht="15.0" customHeight="1">
      <c r="G67" s="49" t="s">
        <v>116</v>
      </c>
      <c r="H67" s="144" t="s">
        <v>23</v>
      </c>
      <c r="I67" s="49">
        <v>3.0</v>
      </c>
      <c r="J67" s="49">
        <v>1.0</v>
      </c>
      <c r="K67" s="49">
        <v>0.0</v>
      </c>
      <c r="L67" s="49">
        <v>2.0</v>
      </c>
      <c r="M67" s="49">
        <v>1.0</v>
      </c>
      <c r="N67" s="49">
        <v>2.0</v>
      </c>
      <c r="O67" s="49">
        <v>-1.0</v>
      </c>
      <c r="P67" s="49">
        <v>3.0</v>
      </c>
      <c r="Q67" s="49" t="s">
        <v>34</v>
      </c>
      <c r="R67" s="49">
        <v>3.0</v>
      </c>
      <c r="S67" s="50">
        <v>1.0</v>
      </c>
      <c r="T67" s="49">
        <v>1.0</v>
      </c>
      <c r="U67" s="145" t="str">
        <f>if(not(Q67=""),if(and(R66=R67,S66=S67,T66=T67),Q67,if(and(R67=R68,S67=S68,T67=T68),Q67,"")),"")</f>
        <v/>
      </c>
      <c r="V67" s="145" t="str">
        <f t="shared" si="33"/>
        <v/>
      </c>
      <c r="W67" s="146" t="str">
        <f t="shared" si="34"/>
        <v/>
      </c>
      <c r="X67" s="145" t="str">
        <f t="shared" si="35"/>
        <v/>
      </c>
      <c r="Y67" s="155" t="str">
        <f>IFERROR(__xludf.DUMMYFUNCTION("ifna(query({indirect(""Penalties""&amp;$AB67)},""select Col2 where Col1 = '""&amp;G67&amp;""'"",0), query({indirect(""Penalties""&amp;$AB67)},""select Col3 where Col4 = '""&amp;G67&amp;""'"",0))"),"")</f>
        <v/>
      </c>
      <c r="Z67" s="155">
        <v>0.0</v>
      </c>
      <c r="AA67" s="155">
        <f>IFERROR(__xludf.DUMMYFUNCTION("if(xlookup($G67, index(teamInfo,,2), index(teamInfo,,11)) = """",
    xlookup($G67, index(teamInfo,,2), index(teamInfo,,8)), query({teamInfo}, ""select Col11 where Col2 = '""&amp;$G67&amp;""'"", 0))"),19.0)</f>
        <v>19</v>
      </c>
      <c r="AB67" s="8" t="str">
        <f t="shared" si="1"/>
        <v>C</v>
      </c>
      <c r="AC67" s="157"/>
      <c r="AH67" s="158"/>
      <c r="AI67" s="6"/>
      <c r="AJ67" s="21"/>
      <c r="AK67" s="22"/>
      <c r="AL67" s="6"/>
      <c r="AM67" s="6"/>
      <c r="AN67" s="22"/>
      <c r="AO67" s="22"/>
      <c r="AP67" s="22"/>
      <c r="AQ67" s="22"/>
      <c r="AR67" s="6"/>
      <c r="AS67" s="6"/>
      <c r="AT67" s="6"/>
      <c r="AU67" s="6"/>
      <c r="AV67" s="22"/>
      <c r="AW67" s="5"/>
      <c r="AX67" s="150"/>
      <c r="AY67" s="151"/>
      <c r="AZ67" s="4"/>
    </row>
    <row r="68" ht="15.0" customHeight="1">
      <c r="G68" s="49" t="s">
        <v>120</v>
      </c>
      <c r="H68" s="144" t="s">
        <v>24</v>
      </c>
      <c r="I68" s="49">
        <v>3.0</v>
      </c>
      <c r="J68" s="49">
        <v>1.0</v>
      </c>
      <c r="K68" s="49">
        <v>0.0</v>
      </c>
      <c r="L68" s="49">
        <v>2.0</v>
      </c>
      <c r="M68" s="49">
        <v>1.0</v>
      </c>
      <c r="N68" s="49">
        <v>2.0</v>
      </c>
      <c r="O68" s="49">
        <v>-1.0</v>
      </c>
      <c r="P68" s="49">
        <v>3.0</v>
      </c>
      <c r="Q68" s="49" t="s">
        <v>34</v>
      </c>
      <c r="R68" s="49">
        <v>0.0</v>
      </c>
      <c r="S68" s="50">
        <v>-1.0</v>
      </c>
      <c r="T68" s="49">
        <v>0.0</v>
      </c>
      <c r="U68" s="145" t="str">
        <f>if(not(Q68=""),if(and(R67=R68,S67=S68,T67=T68),Q68,""),"")</f>
        <v/>
      </c>
      <c r="V68" s="145" t="str">
        <f t="shared" si="33"/>
        <v/>
      </c>
      <c r="W68" s="146" t="str">
        <f t="shared" si="34"/>
        <v/>
      </c>
      <c r="X68" s="145" t="str">
        <f t="shared" si="35"/>
        <v/>
      </c>
      <c r="Y68" s="155" t="str">
        <f>IFERROR(__xludf.DUMMYFUNCTION("ifna(query({indirect(""Penalties""&amp;$AB68)},""select Col2 where Col1 = '""&amp;G68&amp;""'"",0), query({indirect(""Penalties""&amp;$AB68)},""select Col3 where Col4 = '""&amp;G68&amp;""'"",0))"),"")</f>
        <v/>
      </c>
      <c r="Z68" s="155">
        <v>0.0</v>
      </c>
      <c r="AA68" s="155">
        <f>IFERROR(__xludf.DUMMYFUNCTION("if(xlookup($G68, index(teamInfo,,2), index(teamInfo,,11)) = """",
    xlookup($G68, index(teamInfo,,2), index(teamInfo,,8)), query({teamInfo}, ""select Col11 where Col2 = '""&amp;$G68&amp;""'"", 0))"),5.0)</f>
        <v>5</v>
      </c>
      <c r="AB68" s="8" t="str">
        <f t="shared" si="1"/>
        <v>C</v>
      </c>
      <c r="AC68" s="157"/>
      <c r="AH68" s="158"/>
      <c r="AI68" s="5"/>
      <c r="AJ68" s="165"/>
      <c r="AK68" s="4"/>
      <c r="AL68" s="5"/>
      <c r="AM68" s="5"/>
      <c r="AN68" s="4"/>
      <c r="AO68" s="4"/>
      <c r="AP68" s="4"/>
      <c r="AQ68" s="4"/>
      <c r="AR68" s="5"/>
      <c r="AS68" s="5"/>
      <c r="AT68" s="5"/>
      <c r="AU68" s="5"/>
      <c r="AV68" s="22"/>
      <c r="AW68" s="6"/>
      <c r="AX68" s="149"/>
      <c r="AY68" s="33"/>
      <c r="AZ68" s="22"/>
    </row>
    <row r="69" ht="15.0" customHeight="1">
      <c r="A69" s="21" t="str">
        <f>IFERROR(__xludf.DUMMYFUNCTION("query({indirect(""Group""&amp;$AB69)}, ""select Col""&amp;column()&amp;"" offset 4"")"),"ENG")</f>
        <v>ENG</v>
      </c>
      <c r="B69" s="16"/>
      <c r="C69" s="16"/>
      <c r="D69" s="6" t="str">
        <f>IFERROR(__xludf.DUMMYFUNCTION("query({indirect(""Group""&amp;$AB69)}, ""select Col""&amp;column()&amp;"" offset 4"")"),"SVN")</f>
        <v>SVN</v>
      </c>
      <c r="E69" s="99"/>
      <c r="F69" s="159"/>
      <c r="G69" s="22"/>
      <c r="H69" s="33"/>
      <c r="I69" s="22">
        <f t="array" ref="I69:AA69">$I$19:$AA$19</f>
        <v>2</v>
      </c>
      <c r="J69" s="22">
        <v>3.0</v>
      </c>
      <c r="K69" s="22">
        <v>4.0</v>
      </c>
      <c r="L69" s="22">
        <v>5.0</v>
      </c>
      <c r="M69" s="22">
        <v>6.0</v>
      </c>
      <c r="N69" s="22">
        <v>7.0</v>
      </c>
      <c r="O69" s="22">
        <v>8.0</v>
      </c>
      <c r="P69" s="22">
        <v>9.0</v>
      </c>
      <c r="Q69" s="22">
        <v>10.0</v>
      </c>
      <c r="R69" s="22">
        <v>11.0</v>
      </c>
      <c r="S69" s="22">
        <v>12.0</v>
      </c>
      <c r="T69" s="22">
        <v>13.0</v>
      </c>
      <c r="U69" s="22">
        <v>14.0</v>
      </c>
      <c r="V69" s="22">
        <v>15.0</v>
      </c>
      <c r="W69" s="22">
        <v>16.0</v>
      </c>
      <c r="X69" s="22">
        <v>17.0</v>
      </c>
      <c r="Y69" s="7">
        <v>18.0</v>
      </c>
      <c r="Z69" s="22">
        <v>19.0</v>
      </c>
      <c r="AA69" s="22">
        <v>20.0</v>
      </c>
      <c r="AB69" s="8" t="str">
        <f t="shared" si="1"/>
        <v>C</v>
      </c>
      <c r="AC69" s="157"/>
      <c r="AH69" s="158"/>
      <c r="AI69" s="5"/>
      <c r="AJ69" s="165"/>
      <c r="AK69" s="4"/>
      <c r="AL69" s="5"/>
      <c r="AM69" s="5"/>
      <c r="AN69" s="4"/>
      <c r="AO69" s="4"/>
      <c r="AP69" s="4"/>
      <c r="AQ69" s="4"/>
      <c r="AR69" s="5"/>
      <c r="AS69" s="5"/>
      <c r="AT69" s="5"/>
      <c r="AU69" s="5"/>
      <c r="AV69" s="4"/>
      <c r="AW69" s="5"/>
      <c r="AX69" s="150"/>
      <c r="AY69" s="151"/>
      <c r="AZ69" s="4"/>
    </row>
    <row r="70" ht="15.0" customHeight="1">
      <c r="A70" s="21" t="str">
        <f>IFERROR(__xludf.DUMMYFUNCTION("""COMPUTED_VALUE"""),"DEN")</f>
        <v>DEN</v>
      </c>
      <c r="B70" s="16"/>
      <c r="C70" s="16"/>
      <c r="D70" s="6" t="str">
        <f>IFERROR(__xludf.DUMMYFUNCTION("""COMPUTED_VALUE"""),"SRB")</f>
        <v>SRB</v>
      </c>
      <c r="E70" s="99"/>
      <c r="F70" s="159"/>
      <c r="G70" s="160" t="str">
        <f>H64</f>
        <v>Team</v>
      </c>
      <c r="H70" s="3"/>
      <c r="I70" s="161" t="str">
        <f t="array" ref="I70:AA70">$I$14:$AA$14</f>
        <v>P</v>
      </c>
      <c r="J70" s="19" t="s">
        <v>8</v>
      </c>
      <c r="K70" s="19" t="s">
        <v>9</v>
      </c>
      <c r="L70" s="19" t="s">
        <v>10</v>
      </c>
      <c r="M70" s="19" t="s">
        <v>11</v>
      </c>
      <c r="N70" s="19" t="s">
        <v>12</v>
      </c>
      <c r="O70" s="19" t="s">
        <v>13</v>
      </c>
      <c r="P70" s="19" t="s">
        <v>14</v>
      </c>
      <c r="Q70" s="114" t="s">
        <v>99</v>
      </c>
      <c r="R70" s="162" t="s">
        <v>100</v>
      </c>
      <c r="S70" s="162" t="s">
        <v>101</v>
      </c>
      <c r="T70" s="162" t="s">
        <v>102</v>
      </c>
      <c r="U70" s="114" t="s">
        <v>121</v>
      </c>
      <c r="V70" s="162" t="s">
        <v>122</v>
      </c>
      <c r="W70" s="163" t="s">
        <v>123</v>
      </c>
      <c r="X70" s="162" t="s">
        <v>124</v>
      </c>
      <c r="Y70" s="162" t="s">
        <v>125</v>
      </c>
      <c r="Z70" s="114" t="s">
        <v>126</v>
      </c>
      <c r="AA70" s="162" t="s">
        <v>127</v>
      </c>
      <c r="AB70" s="8" t="str">
        <f t="shared" si="1"/>
        <v>C</v>
      </c>
      <c r="AC70" s="157"/>
      <c r="AH70" s="158"/>
      <c r="AI70" s="5"/>
      <c r="AJ70" s="165"/>
      <c r="AK70" s="4"/>
      <c r="AL70" s="5"/>
      <c r="AM70" s="5"/>
      <c r="AN70" s="4"/>
      <c r="AO70" s="4"/>
      <c r="AP70" s="4"/>
      <c r="AQ70" s="4"/>
      <c r="AR70" s="5"/>
      <c r="AS70" s="5"/>
      <c r="AT70" s="5"/>
      <c r="AU70" s="5"/>
      <c r="AV70" s="4"/>
      <c r="AW70" s="6"/>
      <c r="AX70" s="149"/>
      <c r="AY70" s="33"/>
      <c r="AZ70" s="22"/>
    </row>
    <row r="71" ht="15.0" customHeight="1">
      <c r="A71" s="179" t="str">
        <f>IFERROR(__xludf.DUMMYFUNCTION("""5) Discipline
6) European qualifiers ranking""&amp;
if(ISNA(query({teamInfo}, ""select Col1 where Col3 = '""&amp;AB71&amp;""' and Col1 matches '""&amp;IF(counta(Hosts) &gt; 1, ""(""&amp;join(""|"", filter(Hosts,Hosts&lt;&gt;""""))&amp;"")"", ""(""&amp;{Hosts}&amp;"")"")&amp;""'"")),"""",
char(10)&amp;"&amp;"""Unless the comparison involves hosts ""&amp;query({teamInfo}, ""select Col1 where Col3 = '""&amp;AB71&amp;""' and Col1 matches '""&amp;IF(counta(Hosts) &gt; 1, ""(""&amp;join(""|"", filter(Hosts,Hosts&lt;&gt;""""))&amp;"")"", ""(""&amp;{Hosts}&amp;"")"")&amp;""'"")&amp;"", in which case a drawing of l"&amp;"ots will take place (see note in cell ""&amp;regexextract(address(1,match(""DoL"",$1:$1,0),4), ""[A-Z]+"")&amp;""1)"")"),"5) Discipline
6) European qualifiers ranking")</f>
        <v>5) Discipline
6) European qualifiers ranking</v>
      </c>
      <c r="G71" s="23" t="str">
        <f t="array" ref="G71:G74">xlookup(H71:H74,index(teamInfo,,1),index(teamInfo,,9),"")</f>
        <v/>
      </c>
      <c r="H71" s="164" t="str">
        <f t="array" ref="H71:AA74">sort(H65:AA68, xlookup("Pts", $I$14:$AA$14, $I$19:$AA$19), false,
                xlookup("P1", $I$14:$AA$14, $I$19:$AA$19), false, xlookup("G1", $I$14:$AA$14, $I$19:$AA$19), false, xlookup("F1", $I$14:$AA$14, $I$19:$AA$19), false,
                xlookup("P2", $I$14:$AA$14, $I$19:$AA$19), false, xlookup("G2", $I$14:$AA$14, $I$19:$AA$19), false, xlookup("F2", $I$14:$AA$14, $I$19:$AA$19), false,
                xlookup("GD", $I$14:$AA$14, $I$19:$AA$19), false, xlookup("F", $I$14:$AA$14, $I$19:$AA$19), false,
                xlookup("Pn", $I$14:$AA$14, $I$19:$AA$19), false, xlookup("Ds", $I$14:$AA$14, $I$19:$AA$19), false, xlookup("R", $I$14:$AA$14, $I$19:$AA$19), true)</f>
        <v>Slovenia</v>
      </c>
      <c r="I71" s="36">
        <v>3.0</v>
      </c>
      <c r="J71" s="36">
        <v>2.0</v>
      </c>
      <c r="K71" s="36">
        <v>0.0</v>
      </c>
      <c r="L71" s="36">
        <v>1.0</v>
      </c>
      <c r="M71" s="36">
        <v>2.0</v>
      </c>
      <c r="N71" s="36">
        <v>1.0</v>
      </c>
      <c r="O71" s="36">
        <v>1.0</v>
      </c>
      <c r="P71" s="36">
        <v>6.0</v>
      </c>
      <c r="Q71" s="49" t="s">
        <v>12</v>
      </c>
      <c r="R71" s="49">
        <v>3.0</v>
      </c>
      <c r="S71" s="50">
        <v>1.0</v>
      </c>
      <c r="T71" s="49">
        <v>1.0</v>
      </c>
      <c r="U71" s="49" t="s">
        <v>77</v>
      </c>
      <c r="V71" s="49" t="s">
        <v>77</v>
      </c>
      <c r="W71" s="50" t="s">
        <v>77</v>
      </c>
      <c r="X71" s="49" t="s">
        <v>77</v>
      </c>
      <c r="Y71" s="49"/>
      <c r="Z71" s="49">
        <v>0.0</v>
      </c>
      <c r="AA71" s="49">
        <v>15.0</v>
      </c>
      <c r="AB71" s="8" t="str">
        <f t="shared" si="1"/>
        <v>C</v>
      </c>
      <c r="AC71" s="157"/>
      <c r="AH71" s="158"/>
      <c r="AI71" s="5"/>
      <c r="AJ71" s="165"/>
      <c r="AK71" s="4"/>
      <c r="AL71" s="5"/>
      <c r="AM71" s="5"/>
      <c r="AN71" s="4"/>
      <c r="AO71" s="4"/>
      <c r="AP71" s="4"/>
      <c r="AQ71" s="4"/>
      <c r="AR71" s="5"/>
      <c r="AS71" s="5"/>
      <c r="AT71" s="5"/>
      <c r="AU71" s="5"/>
      <c r="AV71" s="4"/>
      <c r="AW71" s="6"/>
      <c r="AX71" s="149"/>
      <c r="AY71" s="33"/>
      <c r="AZ71" s="22"/>
    </row>
    <row r="72" ht="15.0" customHeight="1">
      <c r="G72" s="166"/>
      <c r="H72" s="164" t="s">
        <v>22</v>
      </c>
      <c r="I72" s="36">
        <v>3.0</v>
      </c>
      <c r="J72" s="36">
        <v>2.0</v>
      </c>
      <c r="K72" s="36">
        <v>0.0</v>
      </c>
      <c r="L72" s="36">
        <v>1.0</v>
      </c>
      <c r="M72" s="36">
        <v>2.0</v>
      </c>
      <c r="N72" s="36">
        <v>1.0</v>
      </c>
      <c r="O72" s="36">
        <v>1.0</v>
      </c>
      <c r="P72" s="36">
        <v>6.0</v>
      </c>
      <c r="Q72" s="49" t="s">
        <v>12</v>
      </c>
      <c r="R72" s="49">
        <v>0.0</v>
      </c>
      <c r="S72" s="50">
        <v>-1.0</v>
      </c>
      <c r="T72" s="49">
        <v>0.0</v>
      </c>
      <c r="U72" s="49" t="s">
        <v>77</v>
      </c>
      <c r="V72" s="49" t="s">
        <v>77</v>
      </c>
      <c r="W72" s="50" t="s">
        <v>77</v>
      </c>
      <c r="X72" s="49" t="s">
        <v>77</v>
      </c>
      <c r="Y72" s="49"/>
      <c r="Z72" s="49">
        <v>0.0</v>
      </c>
      <c r="AA72" s="49">
        <v>9.0</v>
      </c>
      <c r="AB72" s="8" t="str">
        <f t="shared" si="1"/>
        <v>C</v>
      </c>
      <c r="AC72" s="157"/>
      <c r="AH72" s="158"/>
      <c r="AI72" s="5"/>
      <c r="AJ72" s="165"/>
      <c r="AK72" s="4"/>
      <c r="AL72" s="5"/>
      <c r="AM72" s="5"/>
      <c r="AN72" s="4"/>
      <c r="AO72" s="4"/>
      <c r="AP72" s="4"/>
      <c r="AQ72" s="4"/>
      <c r="AR72" s="5"/>
      <c r="AS72" s="5"/>
      <c r="AT72" s="5"/>
      <c r="AU72" s="5"/>
      <c r="AV72" s="4"/>
      <c r="AW72" s="6"/>
      <c r="AX72" s="149"/>
      <c r="AY72" s="33"/>
      <c r="AZ72" s="22"/>
    </row>
    <row r="73" ht="15.0" customHeight="1">
      <c r="G73" s="167"/>
      <c r="H73" s="168" t="s">
        <v>23</v>
      </c>
      <c r="I73" s="169">
        <v>3.0</v>
      </c>
      <c r="J73" s="169">
        <v>1.0</v>
      </c>
      <c r="K73" s="169">
        <v>0.0</v>
      </c>
      <c r="L73" s="169">
        <v>2.0</v>
      </c>
      <c r="M73" s="169">
        <v>1.0</v>
      </c>
      <c r="N73" s="169">
        <v>2.0</v>
      </c>
      <c r="O73" s="169">
        <v>-1.0</v>
      </c>
      <c r="P73" s="169">
        <v>3.0</v>
      </c>
      <c r="Q73" s="49" t="s">
        <v>34</v>
      </c>
      <c r="R73" s="49">
        <v>3.0</v>
      </c>
      <c r="S73" s="50">
        <v>1.0</v>
      </c>
      <c r="T73" s="49">
        <v>1.0</v>
      </c>
      <c r="U73" s="49" t="s">
        <v>77</v>
      </c>
      <c r="V73" s="49" t="s">
        <v>77</v>
      </c>
      <c r="W73" s="50" t="s">
        <v>77</v>
      </c>
      <c r="X73" s="49" t="s">
        <v>77</v>
      </c>
      <c r="Y73" s="49"/>
      <c r="Z73" s="49">
        <v>0.0</v>
      </c>
      <c r="AA73" s="49">
        <v>19.0</v>
      </c>
      <c r="AB73" s="8" t="str">
        <f t="shared" si="1"/>
        <v>C</v>
      </c>
      <c r="AC73" s="157"/>
      <c r="AH73" s="158"/>
      <c r="AI73" s="5"/>
      <c r="AJ73" s="165"/>
      <c r="AK73" s="4"/>
      <c r="AL73" s="5"/>
      <c r="AM73" s="5"/>
      <c r="AN73" s="4"/>
      <c r="AO73" s="4"/>
      <c r="AP73" s="4"/>
      <c r="AQ73" s="4"/>
      <c r="AR73" s="5"/>
      <c r="AS73" s="5"/>
      <c r="AT73" s="5"/>
      <c r="AU73" s="5"/>
      <c r="AV73" s="4"/>
      <c r="AW73" s="6"/>
      <c r="AX73" s="149"/>
      <c r="AY73" s="33"/>
      <c r="AZ73" s="22"/>
    </row>
    <row r="74" ht="15.0" customHeight="1">
      <c r="G74" s="170"/>
      <c r="H74" s="171" t="s">
        <v>24</v>
      </c>
      <c r="I74" s="49">
        <v>3.0</v>
      </c>
      <c r="J74" s="49">
        <v>1.0</v>
      </c>
      <c r="K74" s="49">
        <v>0.0</v>
      </c>
      <c r="L74" s="49">
        <v>2.0</v>
      </c>
      <c r="M74" s="49">
        <v>1.0</v>
      </c>
      <c r="N74" s="49">
        <v>2.0</v>
      </c>
      <c r="O74" s="49">
        <v>-1.0</v>
      </c>
      <c r="P74" s="49">
        <v>3.0</v>
      </c>
      <c r="Q74" s="49" t="s">
        <v>34</v>
      </c>
      <c r="R74" s="49">
        <v>0.0</v>
      </c>
      <c r="S74" s="50">
        <v>-1.0</v>
      </c>
      <c r="T74" s="49">
        <v>0.0</v>
      </c>
      <c r="U74" s="49" t="s">
        <v>77</v>
      </c>
      <c r="V74" s="49" t="s">
        <v>77</v>
      </c>
      <c r="W74" s="50" t="s">
        <v>77</v>
      </c>
      <c r="X74" s="49" t="s">
        <v>77</v>
      </c>
      <c r="Y74" s="49"/>
      <c r="Z74" s="49">
        <v>0.0</v>
      </c>
      <c r="AA74" s="49">
        <v>5.0</v>
      </c>
      <c r="AB74" s="8" t="str">
        <f t="shared" si="1"/>
        <v>C</v>
      </c>
      <c r="AC74" s="172"/>
      <c r="AD74" s="173"/>
      <c r="AE74" s="173"/>
      <c r="AF74" s="173"/>
      <c r="AG74" s="173"/>
      <c r="AH74" s="174"/>
      <c r="AI74" s="6"/>
      <c r="AJ74" s="21"/>
      <c r="AK74" s="22"/>
      <c r="AL74" s="6"/>
      <c r="AM74" s="6"/>
      <c r="AN74" s="22"/>
      <c r="AO74" s="22"/>
      <c r="AP74" s="22"/>
      <c r="AQ74" s="22"/>
      <c r="AR74" s="6"/>
      <c r="AS74" s="6"/>
      <c r="AT74" s="6"/>
      <c r="AU74" s="6"/>
      <c r="AV74" s="4"/>
      <c r="AW74" s="6"/>
      <c r="AX74" s="149"/>
      <c r="AY74" s="33"/>
      <c r="AZ74" s="22"/>
    </row>
    <row r="75" ht="15.0" customHeight="1">
      <c r="A75" s="6"/>
      <c r="B75" s="6"/>
      <c r="C75" s="6"/>
      <c r="D75" s="6"/>
      <c r="E75" s="6"/>
      <c r="F75" s="22"/>
      <c r="G75" s="7"/>
      <c r="H75" s="33"/>
      <c r="I75" s="22" t="str">
        <f t="array" ref="I75:AA75">$I$25:$AA$25</f>
        <v/>
      </c>
      <c r="J75" s="22"/>
      <c r="K75" s="22"/>
      <c r="L75" s="22"/>
      <c r="M75" s="22"/>
      <c r="N75" s="22"/>
      <c r="O75" s="22"/>
      <c r="P75" s="22"/>
      <c r="Q75" s="22"/>
      <c r="R75" s="22"/>
      <c r="S75" s="22"/>
      <c r="T75" s="22"/>
      <c r="U75" s="22"/>
      <c r="V75" s="22"/>
      <c r="W75" s="22"/>
      <c r="X75" s="22"/>
      <c r="Y75" s="22"/>
      <c r="Z75" s="22"/>
      <c r="AA75" s="22"/>
      <c r="AB75" s="8" t="str">
        <f t="shared" si="1"/>
        <v>C</v>
      </c>
      <c r="AC75" s="22"/>
      <c r="AD75" s="6"/>
      <c r="AE75" s="6"/>
      <c r="AF75" s="6"/>
      <c r="AG75" s="6"/>
      <c r="AH75" s="6"/>
      <c r="AI75" s="5"/>
      <c r="AJ75" s="165"/>
      <c r="AK75" s="4"/>
      <c r="AL75" s="5"/>
      <c r="AM75" s="5"/>
      <c r="AN75" s="4"/>
      <c r="AO75" s="4"/>
      <c r="AP75" s="4"/>
      <c r="AQ75" s="4"/>
      <c r="AR75" s="5"/>
      <c r="AS75" s="5"/>
      <c r="AT75" s="5"/>
      <c r="AU75" s="5"/>
      <c r="AV75" s="22"/>
      <c r="AW75" s="6"/>
      <c r="AX75" s="149"/>
      <c r="AY75" s="33"/>
      <c r="AZ75" s="22"/>
    </row>
    <row r="76" ht="15.0" customHeight="1">
      <c r="A76" s="104" t="str">
        <f>char(code(right(A51)) + 1)</f>
        <v>D</v>
      </c>
      <c r="B76" s="105"/>
      <c r="C76" s="105"/>
      <c r="D76" s="105"/>
      <c r="E76" s="105"/>
      <c r="F76" s="105"/>
      <c r="G76" s="105"/>
      <c r="H76" s="106"/>
      <c r="I76" s="105"/>
      <c r="J76" s="105"/>
      <c r="K76" s="105"/>
      <c r="L76" s="105"/>
      <c r="M76" s="105"/>
      <c r="N76" s="105"/>
      <c r="O76" s="105"/>
      <c r="P76" s="105"/>
      <c r="Q76" s="105"/>
      <c r="R76" s="105"/>
      <c r="S76" s="105"/>
      <c r="T76" s="105"/>
      <c r="U76" s="105"/>
      <c r="V76" s="105"/>
      <c r="W76" s="105"/>
      <c r="X76" s="105"/>
      <c r="Y76" s="105"/>
      <c r="Z76" s="105"/>
      <c r="AA76" s="107"/>
      <c r="AB76" s="8" t="str">
        <f t="shared" si="1"/>
        <v>D</v>
      </c>
      <c r="AC76" s="66"/>
      <c r="AD76" s="108" t="str">
        <f>AD51</f>
        <v>H2H</v>
      </c>
      <c r="AE76" s="109" t="str">
        <f>IFERROR(__xludf.DUMMYFUNCTION("transpose(query({teamInfo}, ""select Col2 where Col3 = '""&amp;AB76&amp;""'"", 0))"),"POL")</f>
        <v>POL</v>
      </c>
      <c r="AF76" s="109" t="str">
        <f>IFERROR(__xludf.DUMMYFUNCTION("""COMPUTED_VALUE"""),"AUT")</f>
        <v>AUT</v>
      </c>
      <c r="AG76" s="109" t="str">
        <f>IFERROR(__xludf.DUMMYFUNCTION("""COMPUTED_VALUE"""),"NED")</f>
        <v>NED</v>
      </c>
      <c r="AH76" s="109" t="str">
        <f>IFERROR(__xludf.DUMMYFUNCTION("""COMPUTED_VALUE"""),"FRA")</f>
        <v>FRA</v>
      </c>
      <c r="AI76" s="6"/>
      <c r="AJ76" s="21"/>
      <c r="AK76" s="22"/>
      <c r="AL76" s="6"/>
      <c r="AM76" s="6"/>
      <c r="AN76" s="22"/>
      <c r="AO76" s="22"/>
      <c r="AP76" s="22"/>
      <c r="AQ76" s="22"/>
      <c r="AR76" s="6"/>
      <c r="AS76" s="6"/>
      <c r="AT76" s="6"/>
      <c r="AU76" s="6"/>
      <c r="AV76" s="4"/>
      <c r="AW76" s="6"/>
      <c r="AX76" s="149"/>
      <c r="AY76" s="33"/>
      <c r="AZ76" s="22"/>
    </row>
    <row r="77" ht="15.0" customHeight="1">
      <c r="A77" s="15" t="str">
        <f>IFERROR(__xludf.DUMMYFUNCTION("arrayformula(ifna(vlookup(QUERY({index(Wallchart,, COLUMN() + 1)}, ""where Col1 &lt;&gt; '' limit ""&amp;$AK$12&amp;"" offset ""&amp;CHAR2NUM($AB77) * $AK$12,0), teamInfo, 2, 0), """"))"),"POL")</f>
        <v>POL</v>
      </c>
      <c r="B77" s="7">
        <f>indirect("Wallchart!R"&amp;row() - $AK$11 * CHAR2NUM($AB77)&amp;"C"&amp;column() + 1&amp;":R"&amp;row() - $AK$11 * CHAR2NUM($AB77) + $AK$12 - 1&amp;"C"&amp;column() + 2, false)</f>
        <v>1</v>
      </c>
      <c r="C77" s="7">
        <v>0.0</v>
      </c>
      <c r="D77" s="17" t="str">
        <f>IFERROR(__xludf.DUMMYFUNCTION("arrayformula(ifna(vlookup(QUERY({index(Wallchart,, COLUMN() + 1)}, ""where Col1 &lt;&gt; '' limit ""&amp;$AK$12&amp;"" offset ""&amp;CHAR2NUM($AB77) * $AK$12,0), teamInfo, 2, 0), """"))"),"NED")</f>
        <v>NED</v>
      </c>
      <c r="E77" s="22">
        <f t="shared" ref="E77:E82" si="36">ifs(or($B77 = "", $C77 = ""), "", $B77 &gt; $C77, 3, $B77 = $C77, 1, $B77 &lt; $C77, 0)</f>
        <v>3</v>
      </c>
      <c r="F77" s="22">
        <f t="shared" ref="F77:F82" si="37">ifs(or($B77 = "", $C77 = ""), "", $B77 &lt; $C77, 3, $B77 = $C77, 1, $B77 &gt; $C77, 0)</f>
        <v>0</v>
      </c>
      <c r="G77" s="114" t="str">
        <f t="array" ref="G77:Q77">$G$2:$Q$2</f>
        <v>Code</v>
      </c>
      <c r="H77" s="115" t="s">
        <v>26</v>
      </c>
      <c r="I77" s="114" t="s">
        <v>7</v>
      </c>
      <c r="J77" s="175" t="s">
        <v>8</v>
      </c>
      <c r="K77" s="114" t="s">
        <v>9</v>
      </c>
      <c r="L77" s="114" t="s">
        <v>10</v>
      </c>
      <c r="M77" s="114" t="s">
        <v>11</v>
      </c>
      <c r="N77" s="114" t="s">
        <v>12</v>
      </c>
      <c r="O77" s="114" t="s">
        <v>13</v>
      </c>
      <c r="P77" s="114" t="s">
        <v>14</v>
      </c>
      <c r="Q77" s="114" t="s">
        <v>73</v>
      </c>
      <c r="R77" s="22"/>
      <c r="S77" s="22"/>
      <c r="T77" s="22"/>
      <c r="U77" s="22"/>
      <c r="V77" s="22"/>
      <c r="W77" s="22"/>
      <c r="X77" s="22"/>
      <c r="Y77" s="22"/>
      <c r="Z77" s="22"/>
      <c r="AA77" s="22"/>
      <c r="AB77" s="8" t="str">
        <f t="shared" si="1"/>
        <v>D</v>
      </c>
      <c r="AC77" s="116" t="s">
        <v>74</v>
      </c>
      <c r="AD77" s="117" t="str">
        <f>IFERROR(__xludf.DUMMYFUNCTION("arrayformula(transpose(split(rept(concatenate(query({teamInfo}, ""select Col2 where Col3 = '""&amp;AB76&amp;""'"",0)&amp;""~""), 3), ""~"")))"),"POL")</f>
        <v>POL</v>
      </c>
      <c r="AE77" s="118"/>
      <c r="AF77" s="49">
        <f>IFERROR(__xludf.DUMMYFUNCTION("ifna(query({indirect(""Group""&amp;$AB77)},""select Col5 where Col1 = '""&amp;$AD77&amp;""' and Col4 = '""&amp;indirect(address(CHAR2NUM($AB77)*$AK$13 + 1, column()))&amp;""'"",0),
      query({INDIRECT(""Group""&amp;$AB77)},""select Col6 where Col1 = '""&amp;indirect(address(CHAR2N"&amp;"UM($AB77)*$AK$13  + 1, column()))&amp;""' and Col4 = '""&amp;$AD77&amp;""'"",0))"),3.0)</f>
        <v>3</v>
      </c>
      <c r="AG77" s="49">
        <f>IFERROR(__xludf.DUMMYFUNCTION("ifna(query({indirect(""Group""&amp;$AB77)},""select Col5 where Col1 = '""&amp;$AD77&amp;""' and Col4 = '""&amp;indirect(address(CHAR2NUM($AB77)*$AK$13 + 1, column()))&amp;""'"",0),
      query({INDIRECT(""Group""&amp;$AB77)},""select Col6 where Col1 = '""&amp;indirect(address(CHAR2N"&amp;"UM($AB77)*$AK$13  + 1, column()))&amp;""' and Col4 = '""&amp;$AD77&amp;""'"",0))"),3.0)</f>
        <v>3</v>
      </c>
      <c r="AH77" s="49">
        <f>IFERROR(__xludf.DUMMYFUNCTION("ifna(query({indirect(""Group""&amp;$AB77)},""select Col5 where Col1 = '""&amp;$AD77&amp;""' and Col4 = '""&amp;indirect(address(CHAR2NUM($AB77)*$AK$13 + 1, column()))&amp;""'"",0),
      query({INDIRECT(""Group""&amp;$AB77)},""select Col6 where Col1 = '""&amp;indirect(address(CHAR2N"&amp;"UM($AB77)*$AK$13  + 1, column()))&amp;""' and Col4 = '""&amp;$AD77&amp;""'"",0))"),0.0)</f>
        <v>0</v>
      </c>
      <c r="AI77" s="15">
        <f t="array" ref="AI77:AI88">ROUNDUP(sequence($AK$3*3)/$AK$3,0)</f>
        <v>1</v>
      </c>
      <c r="AJ77" s="21"/>
      <c r="AK77" s="22"/>
      <c r="AL77" s="6"/>
      <c r="AM77" s="6"/>
      <c r="AN77" s="22"/>
      <c r="AO77" s="22"/>
      <c r="AP77" s="22"/>
      <c r="AQ77" s="22"/>
      <c r="AR77" s="6"/>
      <c r="AS77" s="6"/>
      <c r="AT77" s="6"/>
      <c r="AU77" s="6"/>
      <c r="AV77" s="22"/>
      <c r="AW77" s="6"/>
      <c r="AX77" s="149"/>
      <c r="AY77" s="33"/>
      <c r="AZ77" s="22"/>
    </row>
    <row r="78" ht="15.0" customHeight="1">
      <c r="A78" s="15" t="str">
        <f>IFERROR(__xludf.DUMMYFUNCTION("""COMPUTED_VALUE"""),"AUT")</f>
        <v>AUT</v>
      </c>
      <c r="B78" s="7">
        <v>1.0</v>
      </c>
      <c r="C78" s="7">
        <v>0.0</v>
      </c>
      <c r="D78" s="17" t="str">
        <f>IFERROR(__xludf.DUMMYFUNCTION("""COMPUTED_VALUE"""),"FRA")</f>
        <v>FRA</v>
      </c>
      <c r="E78" s="22">
        <f t="shared" si="36"/>
        <v>3</v>
      </c>
      <c r="F78" s="22">
        <f t="shared" si="37"/>
        <v>0</v>
      </c>
      <c r="G78" s="117" t="str">
        <f>IFERROR(__xludf.DUMMYFUNCTION("query({teamInfo}, ""select Col2, Col1 where Col3 = '""&amp;AB78&amp;""'"", 0)"),"POL")</f>
        <v>POL</v>
      </c>
      <c r="H78" s="128" t="str">
        <f>IFERROR(__xludf.DUMMYFUNCTION("""COMPUTED_VALUE"""),"Poland")</f>
        <v>Poland</v>
      </c>
      <c r="I78" s="49">
        <f t="shared" ref="I78:I81" si="38">sum(J78:L78)</f>
        <v>3</v>
      </c>
      <c r="J78" s="48">
        <f>IFERROR(__xludf.DUMMYFUNCTION("sum(query(indirect(""Group""&amp;$AB78),""select count(E) where A = '""&amp;$G78&amp;""' and E = 3"",0), query(indirect(""Group""&amp;$AB78),""select count(F) where D = '""&amp;$G78&amp;""' and F = 3"",0))"),2.0)</f>
        <v>2</v>
      </c>
      <c r="K78" s="49">
        <f>IFERROR(__xludf.DUMMYFUNCTION("sum(query(indirect(""Group""&amp;$AB78),""select count(E) where A = '""&amp;$G78&amp;""' and E = 1"",0), query(indirect(""Group""&amp;$AB78),""select count(F) where D = '""&amp;$G78&amp;""' and F = 1"",0))"),0.0)</f>
        <v>0</v>
      </c>
      <c r="L78" s="49">
        <f>IFERROR(__xludf.DUMMYFUNCTION("sum(query(indirect(""Group""&amp;$AB78),""select count(E) where A = '""&amp;$G78&amp;""' and E = 0"",0), query(indirect(""Group""&amp;$AB78),""select count(F) where D = '""&amp;$G78&amp;""' and F = 0"",0))"),1.0)</f>
        <v>1</v>
      </c>
      <c r="M78" s="49">
        <f>IFERROR(__xludf.DUMMYFUNCTION("ifna(sum(query(indirect(""Group""&amp;$AB78),""select B where A = '""&amp;$G78&amp;""'"",0), query(indirect(""Group""&amp;$AB78),""select C where D = '""&amp;$G78&amp;""'"",0)),0)"),2.0)</f>
        <v>2</v>
      </c>
      <c r="N78" s="49">
        <f>IFERROR(__xludf.DUMMYFUNCTION("ifna(sum(query(indirect(""Group""&amp;$AB78),""select C where A = '""&amp;$G78&amp;""'"",0), query(indirect(""Group""&amp;$AB78),""select B where D = '""&amp;$G78&amp;""'"",0)), 0)"),1.0)</f>
        <v>1</v>
      </c>
      <c r="O78" s="49">
        <f t="shared" ref="O78:O81" si="39">M78-N78</f>
        <v>1</v>
      </c>
      <c r="P78" s="49">
        <f t="shared" ref="P78:P81" si="40">J78*3+K78-abs(Q78)</f>
        <v>6</v>
      </c>
      <c r="Q78" s="140"/>
      <c r="R78" s="129" t="str">
        <f>$R$3</f>
        <v>The last column will only be used if points have been deducted.</v>
      </c>
      <c r="U78" s="177"/>
      <c r="V78" s="177"/>
      <c r="W78" s="177"/>
      <c r="X78" s="177"/>
      <c r="Y78" s="177"/>
      <c r="Z78" s="177"/>
      <c r="AA78" s="177"/>
      <c r="AB78" s="8" t="str">
        <f t="shared" si="1"/>
        <v>D</v>
      </c>
      <c r="AC78" s="131"/>
      <c r="AD78" s="117" t="str">
        <f>IFERROR(__xludf.DUMMYFUNCTION("""COMPUTED_VALUE"""),"AUT")</f>
        <v>AUT</v>
      </c>
      <c r="AE78" s="49">
        <f>IFERROR(__xludf.DUMMYFUNCTION("ifna(query({indirect(""Group""&amp;$AB78)},""select Col5 where Col1 = '""&amp;$AD78&amp;""' and Col4 = '""&amp;indirect(address(CHAR2NUM($AB78)*$AK$13 + 1, column()))&amp;""'"",0),
      query({INDIRECT(""Group""&amp;$AB78)},""select Col6 where Col1 = '""&amp;indirect(address(CHAR2N"&amp;"UM($AB78)*$AK$13  + 1, column()))&amp;""' and Col4 = '""&amp;$AD78&amp;""'"",0))"),0.0)</f>
        <v>0</v>
      </c>
      <c r="AF78" s="118"/>
      <c r="AG78" s="49">
        <f>IFERROR(__xludf.DUMMYFUNCTION("ifna(query({indirect(""Group""&amp;$AB78)},""select Col5 where Col1 = '""&amp;$AD78&amp;""' and Col4 = '""&amp;indirect(address(CHAR2NUM($AB78)*$AK$13 + 1, column()))&amp;""'"",0),
      query({INDIRECT(""Group""&amp;$AB78)},""select Col6 where Col1 = '""&amp;indirect(address(CHAR2N"&amp;"UM($AB78)*$AK$13  + 1, column()))&amp;""' and Col4 = '""&amp;$AD78&amp;""'"",0))"),0.0)</f>
        <v>0</v>
      </c>
      <c r="AH78" s="49">
        <f>IFERROR(__xludf.DUMMYFUNCTION("ifna(query({indirect(""Group""&amp;$AB78)},""select Col5 where Col1 = '""&amp;$AD78&amp;""' and Col4 = '""&amp;indirect(address(CHAR2NUM($AB78)*$AK$13 + 1, column()))&amp;""'"",0),
      query({INDIRECT(""Group""&amp;$AB78)},""select Col6 where Col1 = '""&amp;indirect(address(CHAR2N"&amp;"UM($AB78)*$AK$13  + 1, column()))&amp;""' and Col4 = '""&amp;$AD78&amp;""'"",0))"),3.0)</f>
        <v>3</v>
      </c>
      <c r="AI78" s="6">
        <v>1.0</v>
      </c>
      <c r="AJ78" s="21"/>
      <c r="AK78" s="22"/>
      <c r="AL78" s="6"/>
      <c r="AM78" s="6"/>
      <c r="AN78" s="22"/>
      <c r="AO78" s="22"/>
      <c r="AP78" s="22"/>
      <c r="AQ78" s="22"/>
      <c r="AR78" s="6"/>
      <c r="AS78" s="6"/>
      <c r="AT78" s="6"/>
      <c r="AU78" s="6"/>
      <c r="AV78" s="22"/>
      <c r="AW78" s="6"/>
      <c r="AX78" s="149"/>
      <c r="AY78" s="33"/>
      <c r="AZ78" s="22"/>
    </row>
    <row r="79" ht="15.0" customHeight="1">
      <c r="A79" s="15" t="str">
        <f>IFERROR(__xludf.DUMMYFUNCTION("""COMPUTED_VALUE"""),"POL")</f>
        <v>POL</v>
      </c>
      <c r="B79" s="7">
        <v>1.0</v>
      </c>
      <c r="C79" s="7">
        <v>0.0</v>
      </c>
      <c r="D79" s="17" t="str">
        <f>IFERROR(__xludf.DUMMYFUNCTION("""COMPUTED_VALUE"""),"AUT")</f>
        <v>AUT</v>
      </c>
      <c r="E79" s="22">
        <f t="shared" si="36"/>
        <v>3</v>
      </c>
      <c r="F79" s="22">
        <f t="shared" si="37"/>
        <v>0</v>
      </c>
      <c r="G79" s="117" t="str">
        <f>IFERROR(__xludf.DUMMYFUNCTION("""COMPUTED_VALUE"""),"AUT")</f>
        <v>AUT</v>
      </c>
      <c r="H79" s="144" t="str">
        <f>IFERROR(__xludf.DUMMYFUNCTION("""COMPUTED_VALUE"""),"Austria")</f>
        <v>Austria</v>
      </c>
      <c r="I79" s="49">
        <f t="shared" si="38"/>
        <v>3</v>
      </c>
      <c r="J79" s="48">
        <f>IFERROR(__xludf.DUMMYFUNCTION("sum(query(indirect(""Group""&amp;$AB79),""select count(E) where A = '""&amp;$G79&amp;""' and E = 3"",0), query(indirect(""Group""&amp;$AB79),""select count(F) where D = '""&amp;$G79&amp;""' and F = 3"",0))"),1.0)</f>
        <v>1</v>
      </c>
      <c r="K79" s="49">
        <f>IFERROR(__xludf.DUMMYFUNCTION("sum(query(indirect(""Group""&amp;$AB79),""select count(E) where A = '""&amp;$G79&amp;""' and E = 1"",0), query(indirect(""Group""&amp;$AB79),""select count(F) where D = '""&amp;$G79&amp;""' and F = 1"",0))"),0.0)</f>
        <v>0</v>
      </c>
      <c r="L79" s="49">
        <f>IFERROR(__xludf.DUMMYFUNCTION("sum(query(indirect(""Group""&amp;$AB79),""select count(E) where A = '""&amp;$G79&amp;""' and E = 0"",0), query(indirect(""Group""&amp;$AB79),""select count(F) where D = '""&amp;$G79&amp;""' and F = 0"",0))"),2.0)</f>
        <v>2</v>
      </c>
      <c r="M79" s="49">
        <f>IFERROR(__xludf.DUMMYFUNCTION("ifna(sum(query(indirect(""Group""&amp;$AB79),""select B where A = '""&amp;$G79&amp;""'"",0), query(indirect(""Group""&amp;$AB79),""select C where D = '""&amp;$G79&amp;""'"",0)),0)"),1.0)</f>
        <v>1</v>
      </c>
      <c r="N79" s="49">
        <f>IFERROR(__xludf.DUMMYFUNCTION("ifna(sum(query(indirect(""Group""&amp;$AB79),""select C where A = '""&amp;$G79&amp;""'"",0), query(indirect(""Group""&amp;$AB79),""select B where D = '""&amp;$G79&amp;""'"",0)), 0)"),2.0)</f>
        <v>2</v>
      </c>
      <c r="O79" s="49">
        <f t="shared" si="39"/>
        <v>-1</v>
      </c>
      <c r="P79" s="49">
        <f t="shared" si="40"/>
        <v>3</v>
      </c>
      <c r="Q79" s="140"/>
      <c r="U79" s="177"/>
      <c r="V79" s="177"/>
      <c r="W79" s="177"/>
      <c r="X79" s="177"/>
      <c r="Y79" s="177"/>
      <c r="Z79" s="177"/>
      <c r="AA79" s="177"/>
      <c r="AB79" s="8" t="str">
        <f t="shared" si="1"/>
        <v>D</v>
      </c>
      <c r="AC79" s="131"/>
      <c r="AD79" s="117" t="str">
        <f>IFERROR(__xludf.DUMMYFUNCTION("""COMPUTED_VALUE"""),"NED")</f>
        <v>NED</v>
      </c>
      <c r="AE79" s="49">
        <f>IFERROR(__xludf.DUMMYFUNCTION("ifna(query({indirect(""Group""&amp;$AB79)},""select Col5 where Col1 = '""&amp;$AD79&amp;""' and Col4 = '""&amp;indirect(address(CHAR2NUM($AB79)*$AK$13 + 1, column()))&amp;""'"",0),
      query({INDIRECT(""Group""&amp;$AB79)},""select Col6 where Col1 = '""&amp;indirect(address(CHAR2N"&amp;"UM($AB79)*$AK$13  + 1, column()))&amp;""' and Col4 = '""&amp;$AD79&amp;""'"",0))"),0.0)</f>
        <v>0</v>
      </c>
      <c r="AF79" s="49">
        <f>IFERROR(__xludf.DUMMYFUNCTION("ifna(query({indirect(""Group""&amp;$AB79)},""select Col5 where Col1 = '""&amp;$AD79&amp;""' and Col4 = '""&amp;indirect(address(CHAR2NUM($AB79)*$AK$13 + 1, column()))&amp;""'"",0),
      query({INDIRECT(""Group""&amp;$AB79)},""select Col6 where Col1 = '""&amp;indirect(address(CHAR2N"&amp;"UM($AB79)*$AK$13  + 1, column()))&amp;""' and Col4 = '""&amp;$AD79&amp;""'"",0))"),3.0)</f>
        <v>3</v>
      </c>
      <c r="AG79" s="118"/>
      <c r="AH79" s="49">
        <f>IFERROR(__xludf.DUMMYFUNCTION("ifna(query({indirect(""Group""&amp;$AB79)},""select Col5 where Col1 = '""&amp;$AD79&amp;""' and Col4 = '""&amp;indirect(address(CHAR2NUM($AB79)*$AK$13 + 1, column()))&amp;""'"",0),
      query({INDIRECT(""Group""&amp;$AB79)},""select Col6 where Col1 = '""&amp;indirect(address(CHAR2N"&amp;"UM($AB79)*$AK$13  + 1, column()))&amp;""' and Col4 = '""&amp;$AD79&amp;""'"",0))"),3.0)</f>
        <v>3</v>
      </c>
      <c r="AI79" s="6">
        <v>1.0</v>
      </c>
      <c r="AJ79" s="21"/>
      <c r="AK79" s="22"/>
      <c r="AL79" s="6"/>
      <c r="AM79" s="6"/>
      <c r="AN79" s="22"/>
      <c r="AO79" s="22"/>
      <c r="AP79" s="22"/>
      <c r="AQ79" s="22"/>
      <c r="AR79" s="6"/>
      <c r="AS79" s="6"/>
      <c r="AT79" s="6"/>
      <c r="AU79" s="6"/>
      <c r="AV79" s="22"/>
      <c r="AW79" s="6"/>
      <c r="AX79" s="149"/>
      <c r="AY79" s="33"/>
      <c r="AZ79" s="22"/>
    </row>
    <row r="80" ht="15.0" customHeight="1">
      <c r="A80" s="15" t="str">
        <f>IFERROR(__xludf.DUMMYFUNCTION("""COMPUTED_VALUE"""),"NED")</f>
        <v>NED</v>
      </c>
      <c r="B80" s="7">
        <v>1.0</v>
      </c>
      <c r="C80" s="7">
        <v>0.0</v>
      </c>
      <c r="D80" s="17" t="str">
        <f>IFERROR(__xludf.DUMMYFUNCTION("""COMPUTED_VALUE"""),"FRA")</f>
        <v>FRA</v>
      </c>
      <c r="E80" s="22">
        <f t="shared" si="36"/>
        <v>3</v>
      </c>
      <c r="F80" s="22">
        <f t="shared" si="37"/>
        <v>0</v>
      </c>
      <c r="G80" s="117" t="str">
        <f>IFERROR(__xludf.DUMMYFUNCTION("""COMPUTED_VALUE"""),"NED")</f>
        <v>NED</v>
      </c>
      <c r="H80" s="144" t="str">
        <f>IFERROR(__xludf.DUMMYFUNCTION("""COMPUTED_VALUE"""),"Netherlands")</f>
        <v>Netherlands</v>
      </c>
      <c r="I80" s="49">
        <f t="shared" si="38"/>
        <v>3</v>
      </c>
      <c r="J80" s="48">
        <f>IFERROR(__xludf.DUMMYFUNCTION("sum(query(indirect(""Group""&amp;$AB80),""select count(E) where A = '""&amp;$G80&amp;""' and E = 3"",0), query(indirect(""Group""&amp;$AB80),""select count(F) where D = '""&amp;$G80&amp;""' and F = 3"",0))"),2.0)</f>
        <v>2</v>
      </c>
      <c r="K80" s="49">
        <f>IFERROR(__xludf.DUMMYFUNCTION("sum(query(indirect(""Group""&amp;$AB80),""select count(E) where A = '""&amp;$G80&amp;""' and E = 1"",0), query(indirect(""Group""&amp;$AB80),""select count(F) where D = '""&amp;$G80&amp;""' and F = 1"",0))"),0.0)</f>
        <v>0</v>
      </c>
      <c r="L80" s="49">
        <f>IFERROR(__xludf.DUMMYFUNCTION("sum(query(indirect(""Group""&amp;$AB80),""select count(E) where A = '""&amp;$G80&amp;""' and E = 0"",0), query(indirect(""Group""&amp;$AB80),""select count(F) where D = '""&amp;$G80&amp;""' and F = 0"",0))"),1.0)</f>
        <v>1</v>
      </c>
      <c r="M80" s="49">
        <f>IFERROR(__xludf.DUMMYFUNCTION("ifna(sum(query(indirect(""Group""&amp;$AB80),""select B where A = '""&amp;$G80&amp;""'"",0), query(indirect(""Group""&amp;$AB80),""select C where D = '""&amp;$G80&amp;""'"",0)),0)"),2.0)</f>
        <v>2</v>
      </c>
      <c r="N80" s="49">
        <f>IFERROR(__xludf.DUMMYFUNCTION("ifna(sum(query(indirect(""Group""&amp;$AB80),""select C where A = '""&amp;$G80&amp;""'"",0), query(indirect(""Group""&amp;$AB80),""select B where D = '""&amp;$G80&amp;""'"",0)), 0)"),1.0)</f>
        <v>1</v>
      </c>
      <c r="O80" s="49">
        <f t="shared" si="39"/>
        <v>1</v>
      </c>
      <c r="P80" s="49">
        <f t="shared" si="40"/>
        <v>6</v>
      </c>
      <c r="Q80" s="16"/>
      <c r="U80" s="177"/>
      <c r="V80" s="177"/>
      <c r="W80" s="177"/>
      <c r="X80" s="177"/>
      <c r="Y80" s="177"/>
      <c r="Z80" s="177"/>
      <c r="AA80" s="177"/>
      <c r="AB80" s="8" t="str">
        <f t="shared" si="1"/>
        <v>D</v>
      </c>
      <c r="AC80" s="133"/>
      <c r="AD80" s="117" t="str">
        <f>IFERROR(__xludf.DUMMYFUNCTION("""COMPUTED_VALUE"""),"FRA")</f>
        <v>FRA</v>
      </c>
      <c r="AE80" s="49">
        <f>IFERROR(__xludf.DUMMYFUNCTION("ifna(query({indirect(""Group""&amp;$AB80)},""select Col5 where Col1 = '""&amp;$AD80&amp;""' and Col4 = '""&amp;indirect(address(CHAR2NUM($AB80)*$AK$13 + 1, column()))&amp;""'"",0),
      query({INDIRECT(""Group""&amp;$AB80)},""select Col6 where Col1 = '""&amp;indirect(address(CHAR2N"&amp;"UM($AB80)*$AK$13  + 1, column()))&amp;""' and Col4 = '""&amp;$AD80&amp;""'"",0))"),3.0)</f>
        <v>3</v>
      </c>
      <c r="AF80" s="49">
        <f>IFERROR(__xludf.DUMMYFUNCTION("ifna(query({indirect(""Group""&amp;$AB80)},""select Col5 where Col1 = '""&amp;$AD80&amp;""' and Col4 = '""&amp;indirect(address(CHAR2NUM($AB80)*$AK$13 + 1, column()))&amp;""'"",0),
      query({INDIRECT(""Group""&amp;$AB80)},""select Col6 where Col1 = '""&amp;indirect(address(CHAR2N"&amp;"UM($AB80)*$AK$13  + 1, column()))&amp;""' and Col4 = '""&amp;$AD80&amp;""'"",0))"),0.0)</f>
        <v>0</v>
      </c>
      <c r="AG80" s="49">
        <f>IFERROR(__xludf.DUMMYFUNCTION("ifna(query({indirect(""Group""&amp;$AB80)},""select Col5 where Col1 = '""&amp;$AD80&amp;""' and Col4 = '""&amp;indirect(address(CHAR2NUM($AB80)*$AK$13 + 1, column()))&amp;""'"",0),
      query({INDIRECT(""Group""&amp;$AB80)},""select Col6 where Col1 = '""&amp;indirect(address(CHAR2N"&amp;"UM($AB80)*$AK$13  + 1, column()))&amp;""' and Col4 = '""&amp;$AD80&amp;""'"",0))"),0.0)</f>
        <v>0</v>
      </c>
      <c r="AH80" s="118"/>
      <c r="AI80" s="6">
        <v>1.0</v>
      </c>
      <c r="AJ80" s="21"/>
      <c r="AK80" s="22"/>
      <c r="AL80" s="6"/>
      <c r="AM80" s="6"/>
      <c r="AN80" s="22"/>
      <c r="AO80" s="22"/>
      <c r="AP80" s="22"/>
      <c r="AQ80" s="22"/>
      <c r="AR80" s="6"/>
      <c r="AS80" s="6"/>
      <c r="AT80" s="6"/>
      <c r="AU80" s="6"/>
      <c r="AV80" s="22"/>
      <c r="AW80" s="6"/>
      <c r="AX80" s="149"/>
      <c r="AY80" s="33"/>
      <c r="AZ80" s="22"/>
    </row>
    <row r="81" ht="15.0" customHeight="1">
      <c r="A81" s="15" t="str">
        <f>IFERROR(__xludf.DUMMYFUNCTION("""COMPUTED_VALUE"""),"NED")</f>
        <v>NED</v>
      </c>
      <c r="B81" s="7">
        <v>1.0</v>
      </c>
      <c r="C81" s="7">
        <v>0.0</v>
      </c>
      <c r="D81" s="17" t="str">
        <f>IFERROR(__xludf.DUMMYFUNCTION("""COMPUTED_VALUE"""),"AUT")</f>
        <v>AUT</v>
      </c>
      <c r="E81" s="22">
        <f t="shared" si="36"/>
        <v>3</v>
      </c>
      <c r="F81" s="22">
        <f t="shared" si="37"/>
        <v>0</v>
      </c>
      <c r="G81" s="117" t="str">
        <f>IFERROR(__xludf.DUMMYFUNCTION("""COMPUTED_VALUE"""),"FRA")</f>
        <v>FRA</v>
      </c>
      <c r="H81" s="144" t="str">
        <f>IFERROR(__xludf.DUMMYFUNCTION("""COMPUTED_VALUE"""),"France")</f>
        <v>France</v>
      </c>
      <c r="I81" s="49">
        <f t="shared" si="38"/>
        <v>3</v>
      </c>
      <c r="J81" s="48">
        <f>IFERROR(__xludf.DUMMYFUNCTION("sum(query(indirect(""Group""&amp;$AB81),""select count(E) where A = '""&amp;$G81&amp;""' and E = 3"",0), query(indirect(""Group""&amp;$AB81),""select count(F) where D = '""&amp;$G81&amp;""' and F = 3"",0))"),1.0)</f>
        <v>1</v>
      </c>
      <c r="K81" s="49">
        <f>IFERROR(__xludf.DUMMYFUNCTION("sum(query(indirect(""Group""&amp;$AB81),""select count(E) where A = '""&amp;$G81&amp;""' and E = 1"",0), query(indirect(""Group""&amp;$AB81),""select count(F) where D = '""&amp;$G81&amp;""' and F = 1"",0))"),0.0)</f>
        <v>0</v>
      </c>
      <c r="L81" s="49">
        <f>IFERROR(__xludf.DUMMYFUNCTION("sum(query(indirect(""Group""&amp;$AB81),""select count(E) where A = '""&amp;$G81&amp;""' and E = 0"",0), query(indirect(""Group""&amp;$AB81),""select count(F) where D = '""&amp;$G81&amp;""' and F = 0"",0))"),2.0)</f>
        <v>2</v>
      </c>
      <c r="M81" s="49">
        <f>IFERROR(__xludf.DUMMYFUNCTION("ifna(sum(query(indirect(""Group""&amp;$AB81),""select B where A = '""&amp;$G81&amp;""'"",0), query(indirect(""Group""&amp;$AB81),""select C where D = '""&amp;$G81&amp;""'"",0)),0)"),1.0)</f>
        <v>1</v>
      </c>
      <c r="N81" s="49">
        <f>IFERROR(__xludf.DUMMYFUNCTION("ifna(sum(query(indirect(""Group""&amp;$AB81),""select C where A = '""&amp;$G81&amp;""'"",0), query(indirect(""Group""&amp;$AB81),""select B where D = '""&amp;$G81&amp;""'"",0)), 0)"),2.0)</f>
        <v>2</v>
      </c>
      <c r="O81" s="49">
        <f t="shared" si="39"/>
        <v>-1</v>
      </c>
      <c r="P81" s="49">
        <f t="shared" si="40"/>
        <v>3</v>
      </c>
      <c r="Q81" s="140"/>
      <c r="U81" s="177"/>
      <c r="V81" s="177"/>
      <c r="W81" s="177"/>
      <c r="X81" s="177"/>
      <c r="Y81" s="177"/>
      <c r="Z81" s="177"/>
      <c r="AA81" s="177"/>
      <c r="AB81" s="8" t="str">
        <f t="shared" si="1"/>
        <v>D</v>
      </c>
      <c r="AC81" s="116" t="s">
        <v>13</v>
      </c>
      <c r="AD81" s="117" t="str">
        <f>IFERROR(__xludf.DUMMYFUNCTION("""COMPUTED_VALUE"""),"POL")</f>
        <v>POL</v>
      </c>
      <c r="AE81" s="118"/>
      <c r="AF81" s="49">
        <f>IFERROR(__xludf.DUMMYFUNCTION("sum(iferror(query({indirect(""Group""&amp;$AB81)},""select Col2-Col3 where Col1 = '""&amp;$AD81&amp;""' and Col4 = '""&amp;indirect(address(CHAR2NUM($AB81)*$AK$13 + 1, column()))&amp;""'""),0),
     iferror(query({INDIRECT(""Group""&amp;$AB81)},""select Col3-Col2 where Col1 = '"&amp;"""&amp;indirect(address(CHAR2NUM($AB81)*$AK$13 + 1, column()))&amp;""' and Col4 = '""&amp;$AD81&amp;""'""),0))"),1.0)</f>
        <v>1</v>
      </c>
      <c r="AG81" s="49">
        <f>IFERROR(__xludf.DUMMYFUNCTION("sum(iferror(query({indirect(""Group""&amp;$AB81)},""select Col2-Col3 where Col1 = '""&amp;$AD81&amp;""' and Col4 = '""&amp;indirect(address(CHAR2NUM($AB81)*$AK$13 + 1, column()))&amp;""'""),0),
     iferror(query({INDIRECT(""Group""&amp;$AB81)},""select Col3-Col2 where Col1 = '"&amp;"""&amp;indirect(address(CHAR2NUM($AB81)*$AK$13 + 1, column()))&amp;""' and Col4 = '""&amp;$AD81&amp;""'""),0))"),1.0)</f>
        <v>1</v>
      </c>
      <c r="AH81" s="49">
        <f>IFERROR(__xludf.DUMMYFUNCTION("sum(iferror(query({indirect(""Group""&amp;$AB81)},""select Col2-Col3 where Col1 = '""&amp;$AD81&amp;""' and Col4 = '""&amp;indirect(address(CHAR2NUM($AB81)*$AK$13 + 1, column()))&amp;""'""),0),
     iferror(query({INDIRECT(""Group""&amp;$AB81)},""select Col3-Col2 where Col1 = '"&amp;"""&amp;indirect(address(CHAR2NUM($AB81)*$AK$13 + 1, column()))&amp;""' and Col4 = '""&amp;$AD81&amp;""'""),0))"),-1.0)</f>
        <v>-1</v>
      </c>
      <c r="AI81" s="6">
        <v>2.0</v>
      </c>
      <c r="AJ81" s="21"/>
      <c r="AK81" s="22"/>
      <c r="AL81" s="6"/>
      <c r="AM81" s="6"/>
      <c r="AN81" s="22"/>
      <c r="AO81" s="22"/>
      <c r="AP81" s="22"/>
      <c r="AQ81" s="22"/>
      <c r="AR81" s="6"/>
      <c r="AS81" s="6"/>
      <c r="AT81" s="6"/>
      <c r="AU81" s="6"/>
      <c r="AV81" s="22"/>
      <c r="AW81" s="6"/>
      <c r="AX81" s="149"/>
      <c r="AY81" s="33"/>
      <c r="AZ81" s="22"/>
    </row>
    <row r="82" ht="15.0" customHeight="1">
      <c r="A82" s="15" t="str">
        <f>IFERROR(__xludf.DUMMYFUNCTION("""COMPUTED_VALUE"""),"FRA")</f>
        <v>FRA</v>
      </c>
      <c r="B82" s="7">
        <v>1.0</v>
      </c>
      <c r="C82" s="7">
        <v>0.0</v>
      </c>
      <c r="D82" s="17" t="str">
        <f>IFERROR(__xludf.DUMMYFUNCTION("""COMPUTED_VALUE"""),"POL")</f>
        <v>POL</v>
      </c>
      <c r="E82" s="22">
        <f t="shared" si="36"/>
        <v>3</v>
      </c>
      <c r="F82" s="22">
        <f t="shared" si="37"/>
        <v>0</v>
      </c>
      <c r="G82" s="22"/>
      <c r="H82" s="33"/>
      <c r="I82" s="22">
        <f t="array" ref="I82:P82">$I$7:$P$7</f>
        <v>3</v>
      </c>
      <c r="J82" s="22">
        <v>4.0</v>
      </c>
      <c r="K82" s="22">
        <v>5.0</v>
      </c>
      <c r="L82" s="22">
        <v>6.0</v>
      </c>
      <c r="M82" s="22">
        <v>7.0</v>
      </c>
      <c r="N82" s="22">
        <v>8.0</v>
      </c>
      <c r="O82" s="22">
        <v>9.0</v>
      </c>
      <c r="P82" s="22">
        <v>10.0</v>
      </c>
      <c r="Q82" s="22"/>
      <c r="R82" s="22"/>
      <c r="S82" s="22"/>
      <c r="T82" s="22"/>
      <c r="U82" s="22"/>
      <c r="V82" s="22"/>
      <c r="W82" s="22"/>
      <c r="X82" s="22"/>
      <c r="Y82" s="22"/>
      <c r="Z82" s="22"/>
      <c r="AA82" s="22"/>
      <c r="AB82" s="8" t="str">
        <f t="shared" si="1"/>
        <v>D</v>
      </c>
      <c r="AC82" s="131"/>
      <c r="AD82" s="117" t="str">
        <f>IFERROR(__xludf.DUMMYFUNCTION("""COMPUTED_VALUE"""),"AUT")</f>
        <v>AUT</v>
      </c>
      <c r="AE82" s="49">
        <f>IFERROR(__xludf.DUMMYFUNCTION("sum(iferror(query({indirect(""Group""&amp;$AB82)},""select Col2-Col3 where Col1 = '""&amp;$AD82&amp;""' and Col4 = '""&amp;indirect(address(CHAR2NUM($AB82)*$AK$13 + 1, column()))&amp;""'""),0),
     iferror(query({INDIRECT(""Group""&amp;$AB82)},""select Col3-Col2 where Col1 = '"&amp;"""&amp;indirect(address(CHAR2NUM($AB82)*$AK$13 + 1, column()))&amp;""' and Col4 = '""&amp;$AD82&amp;""'""),0))"),-1.0)</f>
        <v>-1</v>
      </c>
      <c r="AF82" s="118"/>
      <c r="AG82" s="49">
        <f>IFERROR(__xludf.DUMMYFUNCTION("sum(iferror(query({indirect(""Group""&amp;$AB82)},""select Col2-Col3 where Col1 = '""&amp;$AD82&amp;""' and Col4 = '""&amp;indirect(address(CHAR2NUM($AB82)*$AK$13 + 1, column()))&amp;""'""),0),
     iferror(query({INDIRECT(""Group""&amp;$AB82)},""select Col3-Col2 where Col1 = '"&amp;"""&amp;indirect(address(CHAR2NUM($AB82)*$AK$13 + 1, column()))&amp;""' and Col4 = '""&amp;$AD82&amp;""'""),0))"),-1.0)</f>
        <v>-1</v>
      </c>
      <c r="AH82" s="49">
        <f>IFERROR(__xludf.DUMMYFUNCTION("sum(iferror(query({indirect(""Group""&amp;$AB82)},""select Col2-Col3 where Col1 = '""&amp;$AD82&amp;""' and Col4 = '""&amp;indirect(address(CHAR2NUM($AB82)*$AK$13 + 1, column()))&amp;""'""),0),
     iferror(query({INDIRECT(""Group""&amp;$AB82)},""select Col3-Col2 where Col1 = '"&amp;"""&amp;indirect(address(CHAR2NUM($AB82)*$AK$13 + 1, column()))&amp;""' and Col4 = '""&amp;$AD82&amp;""'""),0))"),1.0)</f>
        <v>1</v>
      </c>
      <c r="AI82" s="6">
        <v>2.0</v>
      </c>
      <c r="AJ82" s="21"/>
      <c r="AK82" s="22"/>
      <c r="AL82" s="6"/>
      <c r="AM82" s="6"/>
      <c r="AN82" s="22"/>
      <c r="AO82" s="22"/>
      <c r="AP82" s="22"/>
      <c r="AQ82" s="22"/>
      <c r="AR82" s="6"/>
      <c r="AS82" s="6"/>
      <c r="AT82" s="6"/>
      <c r="AU82" s="6"/>
      <c r="AV82" s="22"/>
      <c r="AW82" s="6"/>
      <c r="AX82" s="149"/>
      <c r="AY82" s="33"/>
      <c r="AZ82" s="22"/>
    </row>
    <row r="83" ht="15.0" customHeight="1">
      <c r="A83" s="99" t="str">
        <f>$A$8</f>
        <v>Teams are sorted by points. If teams are tied then the following tie-breaking criteria are applied:
1) Head-to-head: a) points b) goal difference c) goals scored
2) If teams are still tied, use 1) with tied teams
3) Overall: a) goal difference b) goals scored
4) Penalties: If two teams face-off in the last round of the group stage, have the same number of points, goals scored and conceded, and their score finishes level then their ranking is determined by a penalty shoot-out (not used if more than two teams have equal points)</v>
      </c>
      <c r="G83" s="114" t="str">
        <f t="array" ref="G83:T83">$G$8:$T$8</f>
        <v>Code</v>
      </c>
      <c r="H83" s="115" t="s">
        <v>26</v>
      </c>
      <c r="I83" s="114" t="s">
        <v>7</v>
      </c>
      <c r="J83" s="114" t="s">
        <v>8</v>
      </c>
      <c r="K83" s="114" t="s">
        <v>9</v>
      </c>
      <c r="L83" s="114" t="s">
        <v>10</v>
      </c>
      <c r="M83" s="114" t="s">
        <v>11</v>
      </c>
      <c r="N83" s="114" t="s">
        <v>12</v>
      </c>
      <c r="O83" s="114" t="s">
        <v>13</v>
      </c>
      <c r="P83" s="114" t="s">
        <v>14</v>
      </c>
      <c r="Q83" s="108" t="s">
        <v>99</v>
      </c>
      <c r="R83" s="108" t="s">
        <v>100</v>
      </c>
      <c r="S83" s="108" t="s">
        <v>101</v>
      </c>
      <c r="T83" s="108" t="s">
        <v>102</v>
      </c>
      <c r="U83" s="22"/>
      <c r="V83" s="22"/>
      <c r="W83" s="22"/>
      <c r="X83" s="22"/>
      <c r="Y83" s="22"/>
      <c r="Z83" s="22"/>
      <c r="AA83" s="22"/>
      <c r="AB83" s="8" t="str">
        <f t="shared" si="1"/>
        <v>D</v>
      </c>
      <c r="AC83" s="131"/>
      <c r="AD83" s="117" t="str">
        <f>IFERROR(__xludf.DUMMYFUNCTION("""COMPUTED_VALUE"""),"NED")</f>
        <v>NED</v>
      </c>
      <c r="AE83" s="49">
        <f>IFERROR(__xludf.DUMMYFUNCTION("sum(iferror(query({indirect(""Group""&amp;$AB83)},""select Col2-Col3 where Col1 = '""&amp;$AD83&amp;""' and Col4 = '""&amp;indirect(address(CHAR2NUM($AB83)*$AK$13 + 1, column()))&amp;""'""),0),
     iferror(query({INDIRECT(""Group""&amp;$AB83)},""select Col3-Col2 where Col1 = '"&amp;"""&amp;indirect(address(CHAR2NUM($AB83)*$AK$13 + 1, column()))&amp;""' and Col4 = '""&amp;$AD83&amp;""'""),0))"),-1.0)</f>
        <v>-1</v>
      </c>
      <c r="AF83" s="49">
        <f>IFERROR(__xludf.DUMMYFUNCTION("sum(iferror(query({indirect(""Group""&amp;$AB83)},""select Col2-Col3 where Col1 = '""&amp;$AD83&amp;""' and Col4 = '""&amp;indirect(address(CHAR2NUM($AB83)*$AK$13 + 1, column()))&amp;""'""),0),
     iferror(query({INDIRECT(""Group""&amp;$AB83)},""select Col3-Col2 where Col1 = '"&amp;"""&amp;indirect(address(CHAR2NUM($AB83)*$AK$13 + 1, column()))&amp;""' and Col4 = '""&amp;$AD83&amp;""'""),0))"),1.0)</f>
        <v>1</v>
      </c>
      <c r="AG83" s="118"/>
      <c r="AH83" s="49">
        <f>IFERROR(__xludf.DUMMYFUNCTION("sum(iferror(query({indirect(""Group""&amp;$AB83)},""select Col2-Col3 where Col1 = '""&amp;$AD83&amp;""' and Col4 = '""&amp;indirect(address(CHAR2NUM($AB83)*$AK$13 + 1, column()))&amp;""'""),0),
     iferror(query({INDIRECT(""Group""&amp;$AB83)},""select Col3-Col2 where Col1 = '"&amp;"""&amp;indirect(address(CHAR2NUM($AB83)*$AK$13 + 1, column()))&amp;""' and Col4 = '""&amp;$AD83&amp;""'""),0))"),1.0)</f>
        <v>1</v>
      </c>
      <c r="AI83" s="6">
        <v>2.0</v>
      </c>
      <c r="AJ83" s="21"/>
      <c r="AK83" s="22"/>
      <c r="AL83" s="6"/>
      <c r="AM83" s="6"/>
      <c r="AN83" s="22"/>
      <c r="AO83" s="22"/>
      <c r="AP83" s="22"/>
      <c r="AQ83" s="22"/>
      <c r="AR83" s="6"/>
      <c r="AS83" s="6"/>
      <c r="AT83" s="6"/>
      <c r="AU83" s="6"/>
      <c r="AV83" s="22"/>
      <c r="AW83" s="6"/>
      <c r="AX83" s="149"/>
      <c r="AY83" s="33"/>
      <c r="AZ83" s="22"/>
    </row>
    <row r="84" ht="15.0" customHeight="1">
      <c r="G84" s="49" t="str">
        <f t="array" ref="G84:P87">sort(G78:P81, xlookup("Pts", $I$2:$P$2, $I$7:$P$7), false)</f>
        <v>POL</v>
      </c>
      <c r="H84" s="144" t="s">
        <v>27</v>
      </c>
      <c r="I84" s="49">
        <v>3.0</v>
      </c>
      <c r="J84" s="49">
        <v>2.0</v>
      </c>
      <c r="K84" s="49">
        <v>0.0</v>
      </c>
      <c r="L84" s="49">
        <v>1.0</v>
      </c>
      <c r="M84" s="49">
        <v>2.0</v>
      </c>
      <c r="N84" s="49">
        <v>1.0</v>
      </c>
      <c r="O84" s="49">
        <v>1.0</v>
      </c>
      <c r="P84" s="49">
        <v>6.0</v>
      </c>
      <c r="Q84" s="145" t="str">
        <f>if(and(I84 &gt; 0, P84=P85),"A","")</f>
        <v>A</v>
      </c>
      <c r="R84" s="145">
        <f t="shared" ref="R84:R87" si="41">H2H($Q84,$G84,$AB84,{$G$84:$G$87,$Q$84:$Q$87},1)</f>
        <v>3</v>
      </c>
      <c r="S84" s="146">
        <f t="shared" ref="S84:S87" si="42">H2H($Q84,$G84,$AB84,{$G$84:$G$87,$Q$84:$Q$87},2)</f>
        <v>1</v>
      </c>
      <c r="T84" s="145">
        <f t="shared" ref="T84:T87" si="43">H2H($Q84,$G84,$AB84,{$G$84:$G$87,$Q$84:$Q$87},3)</f>
        <v>1</v>
      </c>
      <c r="U84" s="22"/>
      <c r="V84" s="22"/>
      <c r="W84" s="22"/>
      <c r="X84" s="22"/>
      <c r="Y84" s="22"/>
      <c r="Z84" s="22"/>
      <c r="AA84" s="22"/>
      <c r="AB84" s="8" t="str">
        <f t="shared" si="1"/>
        <v>D</v>
      </c>
      <c r="AC84" s="133"/>
      <c r="AD84" s="117" t="str">
        <f>IFERROR(__xludf.DUMMYFUNCTION("""COMPUTED_VALUE"""),"FRA")</f>
        <v>FRA</v>
      </c>
      <c r="AE84" s="49">
        <f>IFERROR(__xludf.DUMMYFUNCTION("sum(iferror(query({indirect(""Group""&amp;$AB84)},""select Col2-Col3 where Col1 = '""&amp;$AD84&amp;""' and Col4 = '""&amp;indirect(address(CHAR2NUM($AB84)*$AK$13 + 1, column()))&amp;""'""),0),
     iferror(query({INDIRECT(""Group""&amp;$AB84)},""select Col3-Col2 where Col1 = '"&amp;"""&amp;indirect(address(CHAR2NUM($AB84)*$AK$13 + 1, column()))&amp;""' and Col4 = '""&amp;$AD84&amp;""'""),0))"),1.0)</f>
        <v>1</v>
      </c>
      <c r="AF84" s="49">
        <f>IFERROR(__xludf.DUMMYFUNCTION("sum(iferror(query({indirect(""Group""&amp;$AB84)},""select Col2-Col3 where Col1 = '""&amp;$AD84&amp;""' and Col4 = '""&amp;indirect(address(CHAR2NUM($AB84)*$AK$13 + 1, column()))&amp;""'""),0),
     iferror(query({INDIRECT(""Group""&amp;$AB84)},""select Col3-Col2 where Col1 = '"&amp;"""&amp;indirect(address(CHAR2NUM($AB84)*$AK$13 + 1, column()))&amp;""' and Col4 = '""&amp;$AD84&amp;""'""),0))"),-1.0)</f>
        <v>-1</v>
      </c>
      <c r="AG84" s="49">
        <f>IFERROR(__xludf.DUMMYFUNCTION("sum(iferror(query({indirect(""Group""&amp;$AB84)},""select Col2-Col3 where Col1 = '""&amp;$AD84&amp;""' and Col4 = '""&amp;indirect(address(CHAR2NUM($AB84)*$AK$13 + 1, column()))&amp;""'""),0),
     iferror(query({INDIRECT(""Group""&amp;$AB84)},""select Col3-Col2 where Col1 = '"&amp;"""&amp;indirect(address(CHAR2NUM($AB84)*$AK$13 + 1, column()))&amp;""' and Col4 = '""&amp;$AD84&amp;""'""),0))"),-1.0)</f>
        <v>-1</v>
      </c>
      <c r="AH84" s="118"/>
      <c r="AI84" s="6">
        <v>2.0</v>
      </c>
      <c r="AJ84" s="21"/>
      <c r="AK84" s="22"/>
      <c r="AL84" s="6"/>
      <c r="AM84" s="6"/>
      <c r="AN84" s="22"/>
      <c r="AO84" s="22"/>
      <c r="AP84" s="22"/>
      <c r="AQ84" s="22"/>
      <c r="AR84" s="6"/>
      <c r="AS84" s="6"/>
      <c r="AT84" s="6"/>
      <c r="AU84" s="6"/>
      <c r="AV84" s="22"/>
      <c r="AW84" s="6"/>
      <c r="AX84" s="149"/>
      <c r="AY84" s="33"/>
      <c r="AZ84" s="22"/>
    </row>
    <row r="85" ht="15.0" customHeight="1">
      <c r="G85" s="49" t="s">
        <v>131</v>
      </c>
      <c r="H85" s="144" t="s">
        <v>28</v>
      </c>
      <c r="I85" s="49">
        <v>3.0</v>
      </c>
      <c r="J85" s="49">
        <v>2.0</v>
      </c>
      <c r="K85" s="49">
        <v>0.0</v>
      </c>
      <c r="L85" s="49">
        <v>1.0</v>
      </c>
      <c r="M85" s="49">
        <v>2.0</v>
      </c>
      <c r="N85" s="49">
        <v>1.0</v>
      </c>
      <c r="O85" s="49">
        <v>1.0</v>
      </c>
      <c r="P85" s="49">
        <v>6.0</v>
      </c>
      <c r="Q85" s="145" t="str">
        <f>ifs(I85 = 0, "", not(Q84 = ""), Q84, P85 = P86, "A", TRUE, "")</f>
        <v>A</v>
      </c>
      <c r="R85" s="145">
        <f t="shared" si="41"/>
        <v>0</v>
      </c>
      <c r="S85" s="146">
        <f t="shared" si="42"/>
        <v>-1</v>
      </c>
      <c r="T85" s="145">
        <f t="shared" si="43"/>
        <v>0</v>
      </c>
      <c r="U85" s="22"/>
      <c r="V85" s="22"/>
      <c r="W85" s="22"/>
      <c r="X85" s="22"/>
      <c r="Y85" s="22"/>
      <c r="Z85" s="22"/>
      <c r="AA85" s="22"/>
      <c r="AB85" s="8" t="str">
        <f t="shared" si="1"/>
        <v>D</v>
      </c>
      <c r="AC85" s="116" t="s">
        <v>110</v>
      </c>
      <c r="AD85" s="117" t="str">
        <f>IFERROR(__xludf.DUMMYFUNCTION("""COMPUTED_VALUE"""),"POL")</f>
        <v>POL</v>
      </c>
      <c r="AE85" s="118"/>
      <c r="AF85" s="49">
        <f>IFERROR(__xludf.DUMMYFUNCTION("ifna(query({indirect(""Group""&amp;$AB85)},""select Col2 where Col1 = '""&amp;$AD85&amp;""' and Col4 = '""&amp;indirect(address(CHAR2NUM($AB85)*$AK$13 + 1, column()))&amp;""'"",0),
      query({INDIRECT(""Group""&amp;$AB85)},""select Col3 where Col1 = '""&amp;indirect(address(CHAR2N"&amp;"UM($AB85)*$AK$13 + 1, column()))&amp;""' and Col4 = '""&amp;$AD85&amp;""'"",0))"),1.0)</f>
        <v>1</v>
      </c>
      <c r="AG85" s="49">
        <f>IFERROR(__xludf.DUMMYFUNCTION("ifna(query({indirect(""Group""&amp;$AB85)},""select Col2 where Col1 = '""&amp;$AD85&amp;""' and Col4 = '""&amp;indirect(address(CHAR2NUM($AB85)*$AK$13 + 1, column()))&amp;""'"",0),
      query({INDIRECT(""Group""&amp;$AB85)},""select Col3 where Col1 = '""&amp;indirect(address(CHAR2N"&amp;"UM($AB85)*$AK$13 + 1, column()))&amp;""' and Col4 = '""&amp;$AD85&amp;""'"",0))"),1.0)</f>
        <v>1</v>
      </c>
      <c r="AH85" s="49">
        <f>IFERROR(__xludf.DUMMYFUNCTION("ifna(query({indirect(""Group""&amp;$AB85)},""select Col2 where Col1 = '""&amp;$AD85&amp;""' and Col4 = '""&amp;indirect(address(CHAR2NUM($AB85)*$AK$13 + 1, column()))&amp;""'"",0),
      query({INDIRECT(""Group""&amp;$AB85)},""select Col3 where Col1 = '""&amp;indirect(address(CHAR2N"&amp;"UM($AB85)*$AK$13 + 1, column()))&amp;""' and Col4 = '""&amp;$AD85&amp;""'"",0))"),0.0)</f>
        <v>0</v>
      </c>
      <c r="AI85" s="6">
        <v>3.0</v>
      </c>
      <c r="AJ85" s="21"/>
      <c r="AK85" s="22"/>
      <c r="AL85" s="6"/>
      <c r="AM85" s="6"/>
      <c r="AN85" s="22"/>
      <c r="AO85" s="22"/>
      <c r="AP85" s="22"/>
      <c r="AQ85" s="22"/>
      <c r="AR85" s="6"/>
      <c r="AS85" s="6"/>
      <c r="AT85" s="6"/>
      <c r="AU85" s="6"/>
      <c r="AV85" s="22"/>
      <c r="AW85" s="6"/>
      <c r="AX85" s="149"/>
      <c r="AY85" s="33"/>
      <c r="AZ85" s="22"/>
    </row>
    <row r="86" ht="15.0" customHeight="1">
      <c r="G86" s="49" t="s">
        <v>130</v>
      </c>
      <c r="H86" s="144" t="s">
        <v>30</v>
      </c>
      <c r="I86" s="49">
        <v>3.0</v>
      </c>
      <c r="J86" s="49">
        <v>1.0</v>
      </c>
      <c r="K86" s="49">
        <v>0.0</v>
      </c>
      <c r="L86" s="49">
        <v>2.0</v>
      </c>
      <c r="M86" s="49">
        <v>1.0</v>
      </c>
      <c r="N86" s="49">
        <v>2.0</v>
      </c>
      <c r="O86" s="49">
        <v>-1.0</v>
      </c>
      <c r="P86" s="49">
        <v>3.0</v>
      </c>
      <c r="Q86" s="145" t="str">
        <f>ifs(I86 = 0, "", P85 = P86, Q85, P86 = P87, if(Q85 = "A", "B", "A"), TRUE, "")</f>
        <v>B</v>
      </c>
      <c r="R86" s="145">
        <f t="shared" si="41"/>
        <v>3</v>
      </c>
      <c r="S86" s="146">
        <f t="shared" si="42"/>
        <v>1</v>
      </c>
      <c r="T86" s="145">
        <f t="shared" si="43"/>
        <v>1</v>
      </c>
      <c r="U86" s="22"/>
      <c r="V86" s="22"/>
      <c r="W86" s="22"/>
      <c r="X86" s="22"/>
      <c r="Y86" s="22"/>
      <c r="Z86" s="22"/>
      <c r="AA86" s="22"/>
      <c r="AB86" s="8" t="str">
        <f t="shared" si="1"/>
        <v>D</v>
      </c>
      <c r="AC86" s="131"/>
      <c r="AD86" s="117" t="str">
        <f>IFERROR(__xludf.DUMMYFUNCTION("""COMPUTED_VALUE"""),"AUT")</f>
        <v>AUT</v>
      </c>
      <c r="AE86" s="49">
        <f>IFERROR(__xludf.DUMMYFUNCTION("ifna(query({indirect(""Group""&amp;$AB86)},""select Col2 where Col1 = '""&amp;$AD86&amp;""' and Col4 = '""&amp;indirect(address(CHAR2NUM($AB86)*$AK$13 + 1, column()))&amp;""'"",0),
      query({INDIRECT(""Group""&amp;$AB86)},""select Col3 where Col1 = '""&amp;indirect(address(CHAR2N"&amp;"UM($AB86)*$AK$13 + 1, column()))&amp;""' and Col4 = '""&amp;$AD86&amp;""'"",0))"),0.0)</f>
        <v>0</v>
      </c>
      <c r="AF86" s="118"/>
      <c r="AG86" s="49">
        <f>IFERROR(__xludf.DUMMYFUNCTION("ifna(query({indirect(""Group""&amp;$AB86)},""select Col2 where Col1 = '""&amp;$AD86&amp;""' and Col4 = '""&amp;indirect(address(CHAR2NUM($AB86)*$AK$13 + 1, column()))&amp;""'"",0),
      query({INDIRECT(""Group""&amp;$AB86)},""select Col3 where Col1 = '""&amp;indirect(address(CHAR2N"&amp;"UM($AB86)*$AK$13 + 1, column()))&amp;""' and Col4 = '""&amp;$AD86&amp;""'"",0))"),0.0)</f>
        <v>0</v>
      </c>
      <c r="AH86" s="49">
        <f>IFERROR(__xludf.DUMMYFUNCTION("ifna(query({indirect(""Group""&amp;$AB86)},""select Col2 where Col1 = '""&amp;$AD86&amp;""' and Col4 = '""&amp;indirect(address(CHAR2NUM($AB86)*$AK$13 + 1, column()))&amp;""'"",0),
      query({INDIRECT(""Group""&amp;$AB86)},""select Col3 where Col1 = '""&amp;indirect(address(CHAR2N"&amp;"UM($AB86)*$AK$13 + 1, column()))&amp;""' and Col4 = '""&amp;$AD86&amp;""'"",0))"),1.0)</f>
        <v>1</v>
      </c>
      <c r="AI86" s="6">
        <v>3.0</v>
      </c>
      <c r="AJ86" s="21"/>
      <c r="AK86" s="22"/>
      <c r="AL86" s="6"/>
      <c r="AM86" s="6"/>
      <c r="AN86" s="22"/>
      <c r="AO86" s="22"/>
      <c r="AP86" s="22"/>
      <c r="AQ86" s="22"/>
      <c r="AR86" s="6"/>
      <c r="AS86" s="6"/>
      <c r="AT86" s="6"/>
      <c r="AU86" s="6"/>
      <c r="AV86" s="22"/>
      <c r="AW86" s="6"/>
      <c r="AX86" s="149"/>
      <c r="AY86" s="33"/>
      <c r="AZ86" s="22"/>
    </row>
    <row r="87" ht="15.0" customHeight="1">
      <c r="G87" s="49" t="s">
        <v>132</v>
      </c>
      <c r="H87" s="144" t="s">
        <v>31</v>
      </c>
      <c r="I87" s="49">
        <v>3.0</v>
      </c>
      <c r="J87" s="49">
        <v>1.0</v>
      </c>
      <c r="K87" s="49">
        <v>0.0</v>
      </c>
      <c r="L87" s="49">
        <v>2.0</v>
      </c>
      <c r="M87" s="49">
        <v>1.0</v>
      </c>
      <c r="N87" s="49">
        <v>2.0</v>
      </c>
      <c r="O87" s="49">
        <v>-1.0</v>
      </c>
      <c r="P87" s="49">
        <v>3.0</v>
      </c>
      <c r="Q87" s="145" t="str">
        <f>if(and(I87 &gt; 0, P86 = P87), Q86, "")</f>
        <v>B</v>
      </c>
      <c r="R87" s="145">
        <f t="shared" si="41"/>
        <v>0</v>
      </c>
      <c r="S87" s="146">
        <f t="shared" si="42"/>
        <v>-1</v>
      </c>
      <c r="T87" s="145">
        <f t="shared" si="43"/>
        <v>0</v>
      </c>
      <c r="U87" s="22"/>
      <c r="V87" s="22"/>
      <c r="W87" s="22"/>
      <c r="X87" s="22"/>
      <c r="Y87" s="22"/>
      <c r="Z87" s="22"/>
      <c r="AA87" s="22"/>
      <c r="AB87" s="8" t="str">
        <f t="shared" si="1"/>
        <v>D</v>
      </c>
      <c r="AC87" s="131"/>
      <c r="AD87" s="117" t="str">
        <f>IFERROR(__xludf.DUMMYFUNCTION("""COMPUTED_VALUE"""),"NED")</f>
        <v>NED</v>
      </c>
      <c r="AE87" s="49">
        <f>IFERROR(__xludf.DUMMYFUNCTION("ifna(query({indirect(""Group""&amp;$AB87)},""select Col2 where Col1 = '""&amp;$AD87&amp;""' and Col4 = '""&amp;indirect(address(CHAR2NUM($AB87)*$AK$13 + 1, column()))&amp;""'"",0),
      query({INDIRECT(""Group""&amp;$AB87)},""select Col3 where Col1 = '""&amp;indirect(address(CHAR2N"&amp;"UM($AB87)*$AK$13 + 1, column()))&amp;""' and Col4 = '""&amp;$AD87&amp;""'"",0))"),0.0)</f>
        <v>0</v>
      </c>
      <c r="AF87" s="49">
        <f>IFERROR(__xludf.DUMMYFUNCTION("ifna(query({indirect(""Group""&amp;$AB87)},""select Col2 where Col1 = '""&amp;$AD87&amp;""' and Col4 = '""&amp;indirect(address(CHAR2NUM($AB87)*$AK$13 + 1, column()))&amp;""'"",0),
      query({INDIRECT(""Group""&amp;$AB87)},""select Col3 where Col1 = '""&amp;indirect(address(CHAR2N"&amp;"UM($AB87)*$AK$13 + 1, column()))&amp;""' and Col4 = '""&amp;$AD87&amp;""'"",0))"),1.0)</f>
        <v>1</v>
      </c>
      <c r="AG87" s="118"/>
      <c r="AH87" s="49">
        <f>IFERROR(__xludf.DUMMYFUNCTION("ifna(query({indirect(""Group""&amp;$AB87)},""select Col2 where Col1 = '""&amp;$AD87&amp;""' and Col4 = '""&amp;indirect(address(CHAR2NUM($AB87)*$AK$13 + 1, column()))&amp;""'"",0),
      query({INDIRECT(""Group""&amp;$AB87)},""select Col3 where Col1 = '""&amp;indirect(address(CHAR2N"&amp;"UM($AB87)*$AK$13 + 1, column()))&amp;""' and Col4 = '""&amp;$AD87&amp;""'"",0))"),1.0)</f>
        <v>1</v>
      </c>
      <c r="AI87" s="6">
        <v>3.0</v>
      </c>
      <c r="AJ87" s="21"/>
      <c r="AK87" s="22"/>
      <c r="AL87" s="6"/>
      <c r="AM87" s="6"/>
      <c r="AN87" s="22"/>
      <c r="AO87" s="22"/>
      <c r="AP87" s="22"/>
      <c r="AQ87" s="22"/>
      <c r="AR87" s="6"/>
      <c r="AS87" s="6"/>
      <c r="AT87" s="6"/>
      <c r="AU87" s="6"/>
      <c r="AV87" s="22"/>
      <c r="AW87" s="5"/>
      <c r="AX87" s="150"/>
      <c r="AY87" s="151"/>
      <c r="AZ87" s="4"/>
    </row>
    <row r="88" ht="15.0" customHeight="1">
      <c r="G88" s="22"/>
      <c r="H88" s="33"/>
      <c r="I88" s="22">
        <f t="array" ref="I88:T88">$I$13:$T$13</f>
        <v>3</v>
      </c>
      <c r="J88" s="22">
        <v>4.0</v>
      </c>
      <c r="K88" s="22">
        <v>5.0</v>
      </c>
      <c r="L88" s="22">
        <v>6.0</v>
      </c>
      <c r="M88" s="22">
        <v>7.0</v>
      </c>
      <c r="N88" s="22">
        <v>8.0</v>
      </c>
      <c r="O88" s="22">
        <v>9.0</v>
      </c>
      <c r="P88" s="22">
        <v>10.0</v>
      </c>
      <c r="Q88" s="22">
        <v>11.0</v>
      </c>
      <c r="R88" s="22">
        <v>12.0</v>
      </c>
      <c r="S88" s="22">
        <v>13.0</v>
      </c>
      <c r="T88" s="22">
        <v>14.0</v>
      </c>
      <c r="U88" s="22"/>
      <c r="V88" s="22"/>
      <c r="W88" s="22"/>
      <c r="X88" s="22"/>
      <c r="Y88" s="22"/>
      <c r="Z88" s="22"/>
      <c r="AA88" s="22"/>
      <c r="AB88" s="8" t="str">
        <f t="shared" si="1"/>
        <v>D</v>
      </c>
      <c r="AC88" s="133"/>
      <c r="AD88" s="117" t="str">
        <f>IFERROR(__xludf.DUMMYFUNCTION("""COMPUTED_VALUE"""),"FRA")</f>
        <v>FRA</v>
      </c>
      <c r="AE88" s="49">
        <f>IFERROR(__xludf.DUMMYFUNCTION("ifna(query({indirect(""Group""&amp;$AB88)},""select Col2 where Col1 = '""&amp;$AD88&amp;""' and Col4 = '""&amp;indirect(address(CHAR2NUM($AB88)*$AK$13 + 1, column()))&amp;""'"",0),
      query({INDIRECT(""Group""&amp;$AB88)},""select Col3 where Col1 = '""&amp;indirect(address(CHAR2N"&amp;"UM($AB88)*$AK$13 + 1, column()))&amp;""' and Col4 = '""&amp;$AD88&amp;""'"",0))"),1.0)</f>
        <v>1</v>
      </c>
      <c r="AF88" s="49">
        <f>IFERROR(__xludf.DUMMYFUNCTION("ifna(query({indirect(""Group""&amp;$AB88)},""select Col2 where Col1 = '""&amp;$AD88&amp;""' and Col4 = '""&amp;indirect(address(CHAR2NUM($AB88)*$AK$13 + 1, column()))&amp;""'"",0),
      query({INDIRECT(""Group""&amp;$AB88)},""select Col3 where Col1 = '""&amp;indirect(address(CHAR2N"&amp;"UM($AB88)*$AK$13 + 1, column()))&amp;""' and Col4 = '""&amp;$AD88&amp;""'"",0))"),0.0)</f>
        <v>0</v>
      </c>
      <c r="AG88" s="49">
        <f>IFERROR(__xludf.DUMMYFUNCTION("ifna(query({indirect(""Group""&amp;$AB88)},""select Col2 where Col1 = '""&amp;$AD88&amp;""' and Col4 = '""&amp;indirect(address(CHAR2NUM($AB88)*$AK$13 + 1, column()))&amp;""'"",0),
      query({INDIRECT(""Group""&amp;$AB88)},""select Col3 where Col1 = '""&amp;indirect(address(CHAR2N"&amp;"UM($AB88)*$AK$13 + 1, column()))&amp;""' and Col4 = '""&amp;$AD88&amp;""'"",0))"),0.0)</f>
        <v>0</v>
      </c>
      <c r="AH88" s="118"/>
      <c r="AI88" s="6">
        <v>3.0</v>
      </c>
      <c r="AJ88" s="21"/>
      <c r="AK88" s="22"/>
      <c r="AL88" s="6"/>
      <c r="AM88" s="6"/>
      <c r="AN88" s="22"/>
      <c r="AO88" s="22"/>
      <c r="AP88" s="22"/>
      <c r="AQ88" s="22"/>
      <c r="AR88" s="6"/>
      <c r="AS88" s="6"/>
      <c r="AT88" s="6"/>
      <c r="AU88" s="6"/>
      <c r="AV88" s="22"/>
      <c r="AW88" s="5"/>
      <c r="AX88" s="150"/>
      <c r="AY88" s="151"/>
      <c r="AZ88" s="4"/>
    </row>
    <row r="89" ht="15.0" customHeight="1">
      <c r="G89" s="114" t="str">
        <f t="array" ref="G89:AA89">$G$14:$AA$14</f>
        <v>Code</v>
      </c>
      <c r="H89" s="115" t="s">
        <v>26</v>
      </c>
      <c r="I89" s="114" t="s">
        <v>7</v>
      </c>
      <c r="J89" s="114" t="s">
        <v>8</v>
      </c>
      <c r="K89" s="114" t="s">
        <v>9</v>
      </c>
      <c r="L89" s="114" t="s">
        <v>10</v>
      </c>
      <c r="M89" s="114" t="s">
        <v>11</v>
      </c>
      <c r="N89" s="114" t="s">
        <v>12</v>
      </c>
      <c r="O89" s="114" t="s">
        <v>13</v>
      </c>
      <c r="P89" s="114" t="s">
        <v>14</v>
      </c>
      <c r="Q89" s="114" t="s">
        <v>99</v>
      </c>
      <c r="R89" s="162" t="s">
        <v>100</v>
      </c>
      <c r="S89" s="162" t="s">
        <v>101</v>
      </c>
      <c r="T89" s="162" t="s">
        <v>102</v>
      </c>
      <c r="U89" s="108" t="s">
        <v>121</v>
      </c>
      <c r="V89" s="108" t="s">
        <v>122</v>
      </c>
      <c r="W89" s="153" t="s">
        <v>123</v>
      </c>
      <c r="X89" s="108" t="s">
        <v>124</v>
      </c>
      <c r="Y89" s="154" t="s">
        <v>125</v>
      </c>
      <c r="Z89" s="154" t="s">
        <v>126</v>
      </c>
      <c r="AA89" s="154" t="s">
        <v>127</v>
      </c>
      <c r="AB89" s="8" t="str">
        <f t="shared" si="1"/>
        <v>D</v>
      </c>
      <c r="AC89" s="6"/>
      <c r="AD89" s="6"/>
      <c r="AE89" s="6"/>
      <c r="AF89" s="6"/>
      <c r="AG89" s="6"/>
      <c r="AH89" s="6"/>
      <c r="AI89" s="6"/>
      <c r="AJ89" s="21"/>
      <c r="AK89" s="22"/>
      <c r="AL89" s="6"/>
      <c r="AM89" s="6"/>
      <c r="AN89" s="22"/>
      <c r="AO89" s="22"/>
      <c r="AP89" s="22"/>
      <c r="AQ89" s="22"/>
      <c r="AR89" s="6"/>
      <c r="AS89" s="6"/>
      <c r="AT89" s="6"/>
      <c r="AU89" s="6"/>
      <c r="AV89" s="22"/>
      <c r="AW89" s="5"/>
      <c r="AX89" s="150"/>
      <c r="AY89" s="151"/>
      <c r="AZ89" s="4"/>
    </row>
    <row r="90" ht="15.0" customHeight="1">
      <c r="G90" s="49" t="str">
        <f t="array" ref="G90:T93">sort(G84:T87, xlookup("Pts", $I$8:$T$8, $I$13:$T$13), false,
              xlookup("P1", $I$8:$T$8, $I$13:$T$13), false, xlookup("G1", $I$8:$T$8, $I$13:$T$13), false, xlookup("F1", $I$8:$T$8, $I$13:$T$13), false,
              xlookup("GD", $I$8:$T$8, $I$13:$T$13), false, xlookup("F", $I$8:$T$8, $I$13:$T$13), false)</f>
        <v>POL</v>
      </c>
      <c r="H90" s="144" t="s">
        <v>27</v>
      </c>
      <c r="I90" s="49">
        <v>3.0</v>
      </c>
      <c r="J90" s="49">
        <v>2.0</v>
      </c>
      <c r="K90" s="49">
        <v>0.0</v>
      </c>
      <c r="L90" s="49">
        <v>1.0</v>
      </c>
      <c r="M90" s="49">
        <v>2.0</v>
      </c>
      <c r="N90" s="49">
        <v>1.0</v>
      </c>
      <c r="O90" s="49">
        <v>1.0</v>
      </c>
      <c r="P90" s="49">
        <v>6.0</v>
      </c>
      <c r="Q90" s="49" t="s">
        <v>12</v>
      </c>
      <c r="R90" s="49">
        <v>3.0</v>
      </c>
      <c r="S90" s="50">
        <v>1.0</v>
      </c>
      <c r="T90" s="49">
        <v>1.0</v>
      </c>
      <c r="U90" s="145" t="str">
        <f>if(not(Q90=""),if(and(R90=R91,S90=S91,T90=T91),Q90,""),"")</f>
        <v/>
      </c>
      <c r="V90" s="145" t="str">
        <f t="shared" ref="V90:V93" si="44">H2H($U90,$G90,$AB90,{$G$90:$G$93,$U$90:$U$93},1)</f>
        <v/>
      </c>
      <c r="W90" s="146" t="str">
        <f t="shared" ref="W90:W93" si="45">H2H($U90,$G90,$AB90,{$G$90:$G$93,$U$90:$U$93},2)</f>
        <v/>
      </c>
      <c r="X90" s="145" t="str">
        <f t="shared" ref="X90:X93" si="46">H2H($U90,$G90,$AB90,{$G$90:$G$93,$U$90:$U$93},3)</f>
        <v/>
      </c>
      <c r="Y90" s="155" t="str">
        <f>IFERROR(__xludf.DUMMYFUNCTION("ifna(query({indirect(""Penalties""&amp;$AB90)},""select Col2 where Col1 = '""&amp;G90&amp;""'"",0), query({indirect(""Penalties""&amp;$AB90)},""select Col3 where Col4 = '""&amp;G90&amp;""'"",0))"),"")</f>
        <v/>
      </c>
      <c r="Z90" s="155">
        <f t="array" ref="Z90:Z93">xlookup(indirect(address(row(), column($G:$G), 4)&amp;":"&amp;address(row() + $AK$3 - 1, column($G:$G))), index(teamInfo,,2), index(teamInfo,,7))</f>
        <v>0</v>
      </c>
      <c r="AA90" s="155">
        <f>IFERROR(__xludf.DUMMYFUNCTION("if(xlookup($G90, index(teamInfo,,2), index(teamInfo,,11)) = """",
    xlookup($G90, index(teamInfo,,2), index(teamInfo,,8)), query({teamInfo}, ""select Col11 where Col2 = '""&amp;$G90&amp;""'"", 0))"),26.0)</f>
        <v>26</v>
      </c>
      <c r="AB90" s="8" t="str">
        <f t="shared" si="1"/>
        <v>D</v>
      </c>
      <c r="AC90" s="7" t="str">
        <f>"Group "&amp;AB89&amp;" Ranking Explanation"</f>
        <v>Group D Ranking Explanation</v>
      </c>
      <c r="AI90" s="6"/>
      <c r="AJ90" s="21"/>
      <c r="AK90" s="22"/>
      <c r="AL90" s="6"/>
      <c r="AM90" s="6"/>
      <c r="AN90" s="22"/>
      <c r="AO90" s="22"/>
      <c r="AP90" s="22"/>
      <c r="AQ90" s="22"/>
      <c r="AR90" s="6"/>
      <c r="AS90" s="6"/>
      <c r="AT90" s="6"/>
      <c r="AU90" s="6"/>
      <c r="AV90" s="22"/>
      <c r="AW90" s="5"/>
      <c r="AX90" s="150"/>
      <c r="AY90" s="151"/>
      <c r="AZ90" s="4"/>
    </row>
    <row r="91" ht="15.0" customHeight="1">
      <c r="G91" s="49" t="s">
        <v>131</v>
      </c>
      <c r="H91" s="144" t="s">
        <v>28</v>
      </c>
      <c r="I91" s="49">
        <v>3.0</v>
      </c>
      <c r="J91" s="49">
        <v>2.0</v>
      </c>
      <c r="K91" s="49">
        <v>0.0</v>
      </c>
      <c r="L91" s="49">
        <v>1.0</v>
      </c>
      <c r="M91" s="49">
        <v>2.0</v>
      </c>
      <c r="N91" s="49">
        <v>1.0</v>
      </c>
      <c r="O91" s="49">
        <v>1.0</v>
      </c>
      <c r="P91" s="49">
        <v>6.0</v>
      </c>
      <c r="Q91" s="49" t="s">
        <v>12</v>
      </c>
      <c r="R91" s="49">
        <v>0.0</v>
      </c>
      <c r="S91" s="50">
        <v>-1.0</v>
      </c>
      <c r="T91" s="49">
        <v>0.0</v>
      </c>
      <c r="U91" s="145" t="str">
        <f>if(not(Q91=""),if(and(R90=R91,S90=S91,T90=T91),Q90,if(and(R91=R92,S91=S92,T91=T92),Q91,"")),"")</f>
        <v/>
      </c>
      <c r="V91" s="145" t="str">
        <f t="shared" si="44"/>
        <v/>
      </c>
      <c r="W91" s="146" t="str">
        <f t="shared" si="45"/>
        <v/>
      </c>
      <c r="X91" s="145" t="str">
        <f t="shared" si="46"/>
        <v/>
      </c>
      <c r="Y91" s="155" t="str">
        <f>IFERROR(__xludf.DUMMYFUNCTION("ifna(query({indirect(""Penalties""&amp;$AB91)},""select Col2 where Col1 = '""&amp;G91&amp;""'"",0), query({indirect(""Penalties""&amp;$AB91)},""select Col3 where Col4 = '""&amp;G91&amp;""'"",0))"),"")</f>
        <v/>
      </c>
      <c r="Z91" s="155">
        <v>0.0</v>
      </c>
      <c r="AA91" s="155">
        <f>IFERROR(__xludf.DUMMYFUNCTION("if(xlookup($G91, index(teamInfo,,2), index(teamInfo,,11)) = """",
    xlookup($G91, index(teamInfo,,2), index(teamInfo,,8)), query({teamInfo}, ""select Col11 where Col2 = '""&amp;$G91&amp;""'"", 0))"),12.0)</f>
        <v>12</v>
      </c>
      <c r="AB91" s="8" t="str">
        <f t="shared" si="1"/>
        <v>D</v>
      </c>
      <c r="AC91" s="156"/>
      <c r="AD91" s="59"/>
      <c r="AE91" s="59"/>
      <c r="AF91" s="59"/>
      <c r="AG91" s="59"/>
      <c r="AH91" s="60"/>
      <c r="AI91" s="6"/>
      <c r="AJ91" s="21"/>
      <c r="AK91" s="22"/>
      <c r="AL91" s="6"/>
      <c r="AM91" s="6"/>
      <c r="AN91" s="22"/>
      <c r="AO91" s="22"/>
      <c r="AP91" s="22"/>
      <c r="AQ91" s="22"/>
      <c r="AR91" s="6"/>
      <c r="AS91" s="6"/>
      <c r="AT91" s="6"/>
      <c r="AU91" s="6"/>
      <c r="AV91" s="22"/>
      <c r="AW91" s="5"/>
      <c r="AX91" s="150"/>
      <c r="AY91" s="151"/>
      <c r="AZ91" s="4"/>
    </row>
    <row r="92" ht="15.0" customHeight="1">
      <c r="G92" s="49" t="s">
        <v>130</v>
      </c>
      <c r="H92" s="144" t="s">
        <v>30</v>
      </c>
      <c r="I92" s="49">
        <v>3.0</v>
      </c>
      <c r="J92" s="49">
        <v>1.0</v>
      </c>
      <c r="K92" s="49">
        <v>0.0</v>
      </c>
      <c r="L92" s="49">
        <v>2.0</v>
      </c>
      <c r="M92" s="49">
        <v>1.0</v>
      </c>
      <c r="N92" s="49">
        <v>2.0</v>
      </c>
      <c r="O92" s="49">
        <v>-1.0</v>
      </c>
      <c r="P92" s="49">
        <v>3.0</v>
      </c>
      <c r="Q92" s="49" t="s">
        <v>34</v>
      </c>
      <c r="R92" s="49">
        <v>3.0</v>
      </c>
      <c r="S92" s="50">
        <v>1.0</v>
      </c>
      <c r="T92" s="49">
        <v>1.0</v>
      </c>
      <c r="U92" s="145" t="str">
        <f>if(not(Q92=""),if(and(R91=R92,S91=S92,T91=T92),Q92,if(and(R92=R93,S92=S93,T92=T93),Q92,"")),"")</f>
        <v/>
      </c>
      <c r="V92" s="145" t="str">
        <f t="shared" si="44"/>
        <v/>
      </c>
      <c r="W92" s="146" t="str">
        <f t="shared" si="45"/>
        <v/>
      </c>
      <c r="X92" s="145" t="str">
        <f t="shared" si="46"/>
        <v/>
      </c>
      <c r="Y92" s="155" t="str">
        <f>IFERROR(__xludf.DUMMYFUNCTION("ifna(query({indirect(""Penalties""&amp;$AB92)},""select Col2 where Col1 = '""&amp;G92&amp;""'"",0), query({indirect(""Penalties""&amp;$AB92)},""select Col3 where Col4 = '""&amp;G92&amp;""'"",0))"),"")</f>
        <v/>
      </c>
      <c r="Z92" s="155">
        <v>0.0</v>
      </c>
      <c r="AA92" s="155">
        <f>IFERROR(__xludf.DUMMYFUNCTION("if(xlookup($G92, index(teamInfo,,2), index(teamInfo,,11)) = """",
    xlookup($G92, index(teamInfo,,2), index(teamInfo,,8)), query({teamInfo}, ""select Col11 where Col2 = '""&amp;$G92&amp;""'"", 0))"),11.0)</f>
        <v>11</v>
      </c>
      <c r="AB92" s="8" t="str">
        <f t="shared" si="1"/>
        <v>D</v>
      </c>
      <c r="AC92" s="157"/>
      <c r="AH92" s="158"/>
      <c r="AI92" s="6"/>
      <c r="AJ92" s="21"/>
      <c r="AK92" s="22"/>
      <c r="AL92" s="6"/>
      <c r="AM92" s="6"/>
      <c r="AN92" s="22"/>
      <c r="AO92" s="22"/>
      <c r="AP92" s="22"/>
      <c r="AQ92" s="22"/>
      <c r="AR92" s="6"/>
      <c r="AS92" s="6"/>
      <c r="AT92" s="6"/>
      <c r="AU92" s="6"/>
      <c r="AV92" s="22"/>
      <c r="AW92" s="5"/>
      <c r="AX92" s="150"/>
      <c r="AY92" s="151"/>
      <c r="AZ92" s="4"/>
    </row>
    <row r="93" ht="15.0" customHeight="1">
      <c r="G93" s="49" t="s">
        <v>132</v>
      </c>
      <c r="H93" s="144" t="s">
        <v>31</v>
      </c>
      <c r="I93" s="49">
        <v>3.0</v>
      </c>
      <c r="J93" s="49">
        <v>1.0</v>
      </c>
      <c r="K93" s="49">
        <v>0.0</v>
      </c>
      <c r="L93" s="49">
        <v>2.0</v>
      </c>
      <c r="M93" s="49">
        <v>1.0</v>
      </c>
      <c r="N93" s="49">
        <v>2.0</v>
      </c>
      <c r="O93" s="49">
        <v>-1.0</v>
      </c>
      <c r="P93" s="49">
        <v>3.0</v>
      </c>
      <c r="Q93" s="49" t="s">
        <v>34</v>
      </c>
      <c r="R93" s="49">
        <v>0.0</v>
      </c>
      <c r="S93" s="50">
        <v>-1.0</v>
      </c>
      <c r="T93" s="49">
        <v>0.0</v>
      </c>
      <c r="U93" s="145" t="str">
        <f>if(not(Q93=""),if(and(R92=R93,S92=S93,T92=T93),Q93,""),"")</f>
        <v/>
      </c>
      <c r="V93" s="145" t="str">
        <f t="shared" si="44"/>
        <v/>
      </c>
      <c r="W93" s="146" t="str">
        <f t="shared" si="45"/>
        <v/>
      </c>
      <c r="X93" s="145" t="str">
        <f t="shared" si="46"/>
        <v/>
      </c>
      <c r="Y93" s="155" t="str">
        <f>IFERROR(__xludf.DUMMYFUNCTION("ifna(query({indirect(""Penalties""&amp;$AB93)},""select Col2 where Col1 = '""&amp;G93&amp;""'"",0), query({indirect(""Penalties""&amp;$AB93)},""select Col3 where Col4 = '""&amp;G93&amp;""'"",0))"),"")</f>
        <v/>
      </c>
      <c r="Z93" s="155">
        <v>0.0</v>
      </c>
      <c r="AA93" s="155">
        <f>IFERROR(__xludf.DUMMYFUNCTION("if(xlookup($G93, index(teamInfo,,2), index(teamInfo,,11)) = """",
    xlookup($G93, index(teamInfo,,2), index(teamInfo,,8)), query({teamInfo}, ""select Col11 where Col2 = '""&amp;$G93&amp;""'"", 0))"),2.0)</f>
        <v>2</v>
      </c>
      <c r="AB93" s="8" t="str">
        <f t="shared" si="1"/>
        <v>D</v>
      </c>
      <c r="AC93" s="157"/>
      <c r="AH93" s="158"/>
      <c r="AI93" s="5"/>
      <c r="AJ93" s="165"/>
      <c r="AK93" s="4"/>
      <c r="AL93" s="5"/>
      <c r="AM93" s="5"/>
      <c r="AN93" s="4"/>
      <c r="AO93" s="4"/>
      <c r="AP93" s="4"/>
      <c r="AQ93" s="4"/>
      <c r="AR93" s="5"/>
      <c r="AS93" s="5"/>
      <c r="AT93" s="5"/>
      <c r="AU93" s="5"/>
      <c r="AV93" s="22"/>
      <c r="AW93" s="6"/>
      <c r="AX93" s="149"/>
      <c r="AY93" s="33"/>
      <c r="AZ93" s="22"/>
    </row>
    <row r="94" ht="15.0" customHeight="1">
      <c r="A94" s="21" t="str">
        <f>IFERROR(__xludf.DUMMYFUNCTION("query({indirect(""Group""&amp;$AB94)}, ""select Col""&amp;column()&amp;"" offset 4"")"),"NED")</f>
        <v>NED</v>
      </c>
      <c r="B94" s="16"/>
      <c r="C94" s="16"/>
      <c r="D94" s="6" t="str">
        <f>IFERROR(__xludf.DUMMYFUNCTION("query({indirect(""Group""&amp;$AB94)}, ""select Col""&amp;column()&amp;"" offset 4"")"),"AUT")</f>
        <v>AUT</v>
      </c>
      <c r="E94" s="99"/>
      <c r="F94" s="159"/>
      <c r="G94" s="22"/>
      <c r="H94" s="33"/>
      <c r="I94" s="22">
        <f t="array" ref="I94:AA94">$I$19:$AA$19</f>
        <v>2</v>
      </c>
      <c r="J94" s="22">
        <v>3.0</v>
      </c>
      <c r="K94" s="22">
        <v>4.0</v>
      </c>
      <c r="L94" s="22">
        <v>5.0</v>
      </c>
      <c r="M94" s="22">
        <v>6.0</v>
      </c>
      <c r="N94" s="22">
        <v>7.0</v>
      </c>
      <c r="O94" s="22">
        <v>8.0</v>
      </c>
      <c r="P94" s="22">
        <v>9.0</v>
      </c>
      <c r="Q94" s="22">
        <v>10.0</v>
      </c>
      <c r="R94" s="22">
        <v>11.0</v>
      </c>
      <c r="S94" s="22">
        <v>12.0</v>
      </c>
      <c r="T94" s="22">
        <v>13.0</v>
      </c>
      <c r="U94" s="22">
        <v>14.0</v>
      </c>
      <c r="V94" s="22">
        <v>15.0</v>
      </c>
      <c r="W94" s="22">
        <v>16.0</v>
      </c>
      <c r="X94" s="22">
        <v>17.0</v>
      </c>
      <c r="Y94" s="7">
        <v>18.0</v>
      </c>
      <c r="Z94" s="22">
        <v>19.0</v>
      </c>
      <c r="AA94" s="22">
        <v>20.0</v>
      </c>
      <c r="AB94" s="8" t="str">
        <f t="shared" si="1"/>
        <v>D</v>
      </c>
      <c r="AC94" s="157"/>
      <c r="AH94" s="158"/>
      <c r="AI94" s="5"/>
      <c r="AJ94" s="165"/>
      <c r="AK94" s="4"/>
      <c r="AL94" s="5"/>
      <c r="AM94" s="5"/>
      <c r="AN94" s="4"/>
      <c r="AO94" s="4"/>
      <c r="AP94" s="4"/>
      <c r="AQ94" s="4"/>
      <c r="AR94" s="5"/>
      <c r="AS94" s="5"/>
      <c r="AT94" s="5"/>
      <c r="AU94" s="5"/>
      <c r="AV94" s="4"/>
      <c r="AW94" s="6"/>
      <c r="AX94" s="149"/>
      <c r="AY94" s="33"/>
      <c r="AZ94" s="22"/>
    </row>
    <row r="95" ht="15.0" customHeight="1">
      <c r="A95" s="21" t="str">
        <f>IFERROR(__xludf.DUMMYFUNCTION("""COMPUTED_VALUE"""),"FRA")</f>
        <v>FRA</v>
      </c>
      <c r="B95" s="16"/>
      <c r="C95" s="16"/>
      <c r="D95" s="6" t="str">
        <f>IFERROR(__xludf.DUMMYFUNCTION("""COMPUTED_VALUE"""),"POL")</f>
        <v>POL</v>
      </c>
      <c r="E95" s="99"/>
      <c r="F95" s="159"/>
      <c r="G95" s="160" t="str">
        <f>H89</f>
        <v>Team</v>
      </c>
      <c r="H95" s="3"/>
      <c r="I95" s="161" t="str">
        <f t="array" ref="I95:AA95">$I$14:$AA$14</f>
        <v>P</v>
      </c>
      <c r="J95" s="19" t="s">
        <v>8</v>
      </c>
      <c r="K95" s="19" t="s">
        <v>9</v>
      </c>
      <c r="L95" s="19" t="s">
        <v>10</v>
      </c>
      <c r="M95" s="19" t="s">
        <v>11</v>
      </c>
      <c r="N95" s="19" t="s">
        <v>12</v>
      </c>
      <c r="O95" s="19" t="s">
        <v>13</v>
      </c>
      <c r="P95" s="19" t="s">
        <v>14</v>
      </c>
      <c r="Q95" s="114" t="s">
        <v>99</v>
      </c>
      <c r="R95" s="162" t="s">
        <v>100</v>
      </c>
      <c r="S95" s="162" t="s">
        <v>101</v>
      </c>
      <c r="T95" s="162" t="s">
        <v>102</v>
      </c>
      <c r="U95" s="114" t="s">
        <v>121</v>
      </c>
      <c r="V95" s="162" t="s">
        <v>122</v>
      </c>
      <c r="W95" s="163" t="s">
        <v>123</v>
      </c>
      <c r="X95" s="162" t="s">
        <v>124</v>
      </c>
      <c r="Y95" s="162" t="s">
        <v>125</v>
      </c>
      <c r="Z95" s="114" t="s">
        <v>126</v>
      </c>
      <c r="AA95" s="162" t="s">
        <v>127</v>
      </c>
      <c r="AB95" s="8" t="str">
        <f t="shared" si="1"/>
        <v>D</v>
      </c>
      <c r="AC95" s="157"/>
      <c r="AH95" s="158"/>
      <c r="AI95" s="5"/>
      <c r="AJ95" s="165"/>
      <c r="AK95" s="4"/>
      <c r="AL95" s="5"/>
      <c r="AM95" s="5"/>
      <c r="AN95" s="4"/>
      <c r="AO95" s="4"/>
      <c r="AP95" s="4"/>
      <c r="AQ95" s="4"/>
      <c r="AR95" s="5"/>
      <c r="AS95" s="5"/>
      <c r="AT95" s="5"/>
      <c r="AU95" s="5"/>
      <c r="AV95" s="4"/>
      <c r="AW95" s="6"/>
      <c r="AX95" s="149"/>
      <c r="AY95" s="33"/>
      <c r="AZ95" s="22"/>
    </row>
    <row r="96" ht="15.0" customHeight="1">
      <c r="A96" s="179" t="str">
        <f>IFERROR(__xludf.DUMMYFUNCTION("""5) Discipline
6) European qualifiers ranking""&amp;
if(ISNA(query({teamInfo}, ""select Col1 where Col3 = '""&amp;AB96&amp;""' and Col1 matches '""&amp;IF(counta(Hosts) &gt; 1, ""(""&amp;join(""|"", filter(Hosts,Hosts&lt;&gt;""""))&amp;"")"", ""(""&amp;{Hosts}&amp;"")"")&amp;""'"")),"""",
char(10)&amp;"&amp;"""Unless the comparison involves hosts ""&amp;query({teamInfo}, ""select Col1 where Col3 = '""&amp;AB96&amp;""' and Col1 matches '""&amp;IF(counta(Hosts) &gt; 1, ""(""&amp;join(""|"", filter(Hosts,Hosts&lt;&gt;""""))&amp;"")"", ""(""&amp;{Hosts}&amp;"")"")&amp;""'"")&amp;"", in which case a drawing of l"&amp;"ots will take place (see note in cell ""&amp;regexextract(address(1,match(""DoL"",$1:$1,0),4), ""[A-Z]+"")&amp;""1)"")"),"5) Discipline
6) European qualifiers ranking")</f>
        <v>5) Discipline
6) European qualifiers ranking</v>
      </c>
      <c r="G96" s="23" t="str">
        <f t="array" ref="G96:G99">xlookup(H96:H99,index(teamInfo,,1),index(teamInfo,,9),"")</f>
        <v/>
      </c>
      <c r="H96" s="164" t="str">
        <f t="array" ref="H96:AA99">sort(H90:AA93, xlookup("Pts", $I$14:$AA$14, $I$19:$AA$19), false,
                xlookup("P1", $I$14:$AA$14, $I$19:$AA$19), false, xlookup("G1", $I$14:$AA$14, $I$19:$AA$19), false, xlookup("F1", $I$14:$AA$14, $I$19:$AA$19), false,
                xlookup("P2", $I$14:$AA$14, $I$19:$AA$19), false, xlookup("G2", $I$14:$AA$14, $I$19:$AA$19), false, xlookup("F2", $I$14:$AA$14, $I$19:$AA$19), false,
                xlookup("GD", $I$14:$AA$14, $I$19:$AA$19), false, xlookup("F", $I$14:$AA$14, $I$19:$AA$19), false,
                xlookup("Pn", $I$14:$AA$14, $I$19:$AA$19), false, xlookup("Ds", $I$14:$AA$14, $I$19:$AA$19), false, xlookup("R", $I$14:$AA$14, $I$19:$AA$19), true)</f>
        <v>Poland</v>
      </c>
      <c r="I96" s="36">
        <v>3.0</v>
      </c>
      <c r="J96" s="36">
        <v>2.0</v>
      </c>
      <c r="K96" s="36">
        <v>0.0</v>
      </c>
      <c r="L96" s="36">
        <v>1.0</v>
      </c>
      <c r="M96" s="36">
        <v>2.0</v>
      </c>
      <c r="N96" s="36">
        <v>1.0</v>
      </c>
      <c r="O96" s="36">
        <v>1.0</v>
      </c>
      <c r="P96" s="36">
        <v>6.0</v>
      </c>
      <c r="Q96" s="49" t="s">
        <v>12</v>
      </c>
      <c r="R96" s="49">
        <v>3.0</v>
      </c>
      <c r="S96" s="50">
        <v>1.0</v>
      </c>
      <c r="T96" s="49">
        <v>1.0</v>
      </c>
      <c r="U96" s="49" t="s">
        <v>77</v>
      </c>
      <c r="V96" s="49" t="s">
        <v>77</v>
      </c>
      <c r="W96" s="50" t="s">
        <v>77</v>
      </c>
      <c r="X96" s="49" t="s">
        <v>77</v>
      </c>
      <c r="Y96" s="49"/>
      <c r="Z96" s="49">
        <v>0.0</v>
      </c>
      <c r="AA96" s="49">
        <v>26.0</v>
      </c>
      <c r="AB96" s="8" t="str">
        <f t="shared" si="1"/>
        <v>D</v>
      </c>
      <c r="AC96" s="157"/>
      <c r="AH96" s="158"/>
      <c r="AI96" s="5"/>
      <c r="AJ96" s="165"/>
      <c r="AK96" s="4"/>
      <c r="AL96" s="5"/>
      <c r="AM96" s="5"/>
      <c r="AN96" s="4"/>
      <c r="AO96" s="4"/>
      <c r="AP96" s="4"/>
      <c r="AQ96" s="4"/>
      <c r="AR96" s="5"/>
      <c r="AS96" s="5"/>
      <c r="AT96" s="5"/>
      <c r="AU96" s="5"/>
      <c r="AV96" s="4"/>
      <c r="AW96" s="5"/>
      <c r="AX96" s="150"/>
      <c r="AY96" s="151"/>
      <c r="AZ96" s="4"/>
    </row>
    <row r="97" ht="15.0" customHeight="1">
      <c r="G97" s="166"/>
      <c r="H97" s="164" t="s">
        <v>28</v>
      </c>
      <c r="I97" s="36">
        <v>3.0</v>
      </c>
      <c r="J97" s="36">
        <v>2.0</v>
      </c>
      <c r="K97" s="36">
        <v>0.0</v>
      </c>
      <c r="L97" s="36">
        <v>1.0</v>
      </c>
      <c r="M97" s="36">
        <v>2.0</v>
      </c>
      <c r="N97" s="36">
        <v>1.0</v>
      </c>
      <c r="O97" s="36">
        <v>1.0</v>
      </c>
      <c r="P97" s="36">
        <v>6.0</v>
      </c>
      <c r="Q97" s="49" t="s">
        <v>12</v>
      </c>
      <c r="R97" s="49">
        <v>0.0</v>
      </c>
      <c r="S97" s="50">
        <v>-1.0</v>
      </c>
      <c r="T97" s="49">
        <v>0.0</v>
      </c>
      <c r="U97" s="49" t="s">
        <v>77</v>
      </c>
      <c r="V97" s="49" t="s">
        <v>77</v>
      </c>
      <c r="W97" s="50" t="s">
        <v>77</v>
      </c>
      <c r="X97" s="49" t="s">
        <v>77</v>
      </c>
      <c r="Y97" s="49"/>
      <c r="Z97" s="49">
        <v>0.0</v>
      </c>
      <c r="AA97" s="49">
        <v>12.0</v>
      </c>
      <c r="AB97" s="8" t="str">
        <f t="shared" si="1"/>
        <v>D</v>
      </c>
      <c r="AC97" s="157"/>
      <c r="AH97" s="158"/>
      <c r="AI97" s="5"/>
      <c r="AJ97" s="165"/>
      <c r="AK97" s="4"/>
      <c r="AL97" s="5"/>
      <c r="AM97" s="5"/>
      <c r="AN97" s="4"/>
      <c r="AO97" s="4"/>
      <c r="AP97" s="4"/>
      <c r="AQ97" s="4"/>
      <c r="AR97" s="5"/>
      <c r="AS97" s="5"/>
      <c r="AT97" s="5"/>
      <c r="AU97" s="5"/>
      <c r="AV97" s="4"/>
      <c r="AW97" s="5"/>
      <c r="AX97" s="150"/>
      <c r="AY97" s="151"/>
      <c r="AZ97" s="4"/>
    </row>
    <row r="98" ht="15.0" customHeight="1">
      <c r="G98" s="167"/>
      <c r="H98" s="168" t="s">
        <v>30</v>
      </c>
      <c r="I98" s="169">
        <v>3.0</v>
      </c>
      <c r="J98" s="169">
        <v>1.0</v>
      </c>
      <c r="K98" s="169">
        <v>0.0</v>
      </c>
      <c r="L98" s="169">
        <v>2.0</v>
      </c>
      <c r="M98" s="169">
        <v>1.0</v>
      </c>
      <c r="N98" s="169">
        <v>2.0</v>
      </c>
      <c r="O98" s="169">
        <v>-1.0</v>
      </c>
      <c r="P98" s="169">
        <v>3.0</v>
      </c>
      <c r="Q98" s="49" t="s">
        <v>34</v>
      </c>
      <c r="R98" s="49">
        <v>3.0</v>
      </c>
      <c r="S98" s="50">
        <v>1.0</v>
      </c>
      <c r="T98" s="49">
        <v>1.0</v>
      </c>
      <c r="U98" s="49" t="s">
        <v>77</v>
      </c>
      <c r="V98" s="49" t="s">
        <v>77</v>
      </c>
      <c r="W98" s="50" t="s">
        <v>77</v>
      </c>
      <c r="X98" s="49" t="s">
        <v>77</v>
      </c>
      <c r="Y98" s="49"/>
      <c r="Z98" s="49">
        <v>0.0</v>
      </c>
      <c r="AA98" s="49">
        <v>11.0</v>
      </c>
      <c r="AB98" s="8" t="str">
        <f t="shared" si="1"/>
        <v>D</v>
      </c>
      <c r="AC98" s="157"/>
      <c r="AH98" s="158"/>
      <c r="AI98" s="5"/>
      <c r="AJ98" s="165"/>
      <c r="AK98" s="4"/>
      <c r="AL98" s="5"/>
      <c r="AM98" s="5"/>
      <c r="AN98" s="4"/>
      <c r="AO98" s="4"/>
      <c r="AP98" s="4"/>
      <c r="AQ98" s="4"/>
      <c r="AR98" s="5"/>
      <c r="AS98" s="5"/>
      <c r="AT98" s="5"/>
      <c r="AU98" s="5"/>
      <c r="AV98" s="4"/>
      <c r="AW98" s="5"/>
      <c r="AX98" s="150"/>
      <c r="AY98" s="151"/>
      <c r="AZ98" s="4"/>
    </row>
    <row r="99" ht="15.0" customHeight="1">
      <c r="G99" s="170"/>
      <c r="H99" s="171" t="s">
        <v>31</v>
      </c>
      <c r="I99" s="49">
        <v>3.0</v>
      </c>
      <c r="J99" s="49">
        <v>1.0</v>
      </c>
      <c r="K99" s="49">
        <v>0.0</v>
      </c>
      <c r="L99" s="49">
        <v>2.0</v>
      </c>
      <c r="M99" s="49">
        <v>1.0</v>
      </c>
      <c r="N99" s="49">
        <v>2.0</v>
      </c>
      <c r="O99" s="49">
        <v>-1.0</v>
      </c>
      <c r="P99" s="49">
        <v>3.0</v>
      </c>
      <c r="Q99" s="49" t="s">
        <v>34</v>
      </c>
      <c r="R99" s="49">
        <v>0.0</v>
      </c>
      <c r="S99" s="50">
        <v>-1.0</v>
      </c>
      <c r="T99" s="49">
        <v>0.0</v>
      </c>
      <c r="U99" s="49" t="s">
        <v>77</v>
      </c>
      <c r="V99" s="49" t="s">
        <v>77</v>
      </c>
      <c r="W99" s="50" t="s">
        <v>77</v>
      </c>
      <c r="X99" s="49" t="s">
        <v>77</v>
      </c>
      <c r="Y99" s="49"/>
      <c r="Z99" s="49">
        <v>0.0</v>
      </c>
      <c r="AA99" s="49">
        <v>2.0</v>
      </c>
      <c r="AB99" s="8" t="str">
        <f t="shared" si="1"/>
        <v>D</v>
      </c>
      <c r="AC99" s="172"/>
      <c r="AD99" s="173"/>
      <c r="AE99" s="173"/>
      <c r="AF99" s="173"/>
      <c r="AG99" s="173"/>
      <c r="AH99" s="174"/>
      <c r="AI99" s="6"/>
      <c r="AJ99" s="21"/>
      <c r="AK99" s="22"/>
      <c r="AL99" s="6"/>
      <c r="AM99" s="6"/>
      <c r="AN99" s="22"/>
      <c r="AO99" s="22"/>
      <c r="AP99" s="22"/>
      <c r="AQ99" s="22"/>
      <c r="AR99" s="6"/>
      <c r="AS99" s="6"/>
      <c r="AT99" s="6"/>
      <c r="AU99" s="6"/>
      <c r="AV99" s="4"/>
      <c r="AW99" s="5"/>
      <c r="AX99" s="150"/>
      <c r="AY99" s="151"/>
      <c r="AZ99" s="4"/>
    </row>
    <row r="100" ht="15.0" customHeight="1">
      <c r="A100" s="6"/>
      <c r="B100" s="6"/>
      <c r="C100" s="6"/>
      <c r="D100" s="6"/>
      <c r="E100" s="6"/>
      <c r="F100" s="22"/>
      <c r="G100" s="7"/>
      <c r="H100" s="33"/>
      <c r="I100" s="22" t="str">
        <f t="array" ref="I100:AA100">$I$25:$AA$25</f>
        <v/>
      </c>
      <c r="J100" s="22"/>
      <c r="K100" s="22"/>
      <c r="L100" s="22"/>
      <c r="M100" s="22"/>
      <c r="N100" s="22"/>
      <c r="O100" s="22"/>
      <c r="P100" s="22"/>
      <c r="Q100" s="22"/>
      <c r="R100" s="22"/>
      <c r="S100" s="22"/>
      <c r="T100" s="22"/>
      <c r="U100" s="22"/>
      <c r="V100" s="22"/>
      <c r="W100" s="22"/>
      <c r="X100" s="22"/>
      <c r="Y100" s="22"/>
      <c r="Z100" s="22"/>
      <c r="AA100" s="22"/>
      <c r="AB100" s="8" t="str">
        <f t="shared" si="1"/>
        <v>D</v>
      </c>
      <c r="AC100" s="22"/>
      <c r="AD100" s="6"/>
      <c r="AE100" s="6"/>
      <c r="AF100" s="6"/>
      <c r="AG100" s="6"/>
      <c r="AH100" s="6"/>
      <c r="AI100" s="5"/>
      <c r="AJ100" s="165"/>
      <c r="AK100" s="4"/>
      <c r="AL100" s="5"/>
      <c r="AM100" s="5"/>
      <c r="AN100" s="4"/>
      <c r="AO100" s="4"/>
      <c r="AP100" s="4"/>
      <c r="AQ100" s="4"/>
      <c r="AR100" s="5"/>
      <c r="AS100" s="5"/>
      <c r="AT100" s="5"/>
      <c r="AU100" s="5"/>
      <c r="AV100" s="22"/>
      <c r="AW100" s="5"/>
      <c r="AX100" s="150"/>
      <c r="AY100" s="151"/>
      <c r="AZ100" s="4"/>
    </row>
    <row r="101" ht="15.0" customHeight="1">
      <c r="A101" s="104" t="str">
        <f>char(code(right(A76)) + 1)</f>
        <v>E</v>
      </c>
      <c r="B101" s="105"/>
      <c r="C101" s="105"/>
      <c r="D101" s="105"/>
      <c r="E101" s="105"/>
      <c r="F101" s="105"/>
      <c r="G101" s="105"/>
      <c r="H101" s="106"/>
      <c r="I101" s="105"/>
      <c r="J101" s="105"/>
      <c r="K101" s="105"/>
      <c r="L101" s="105"/>
      <c r="M101" s="105"/>
      <c r="N101" s="105"/>
      <c r="O101" s="105"/>
      <c r="P101" s="105"/>
      <c r="Q101" s="105"/>
      <c r="R101" s="105"/>
      <c r="S101" s="105"/>
      <c r="T101" s="105"/>
      <c r="U101" s="105"/>
      <c r="V101" s="105"/>
      <c r="W101" s="105"/>
      <c r="X101" s="105"/>
      <c r="Y101" s="105"/>
      <c r="Z101" s="105"/>
      <c r="AA101" s="107"/>
      <c r="AB101" s="8" t="str">
        <f t="shared" si="1"/>
        <v>E</v>
      </c>
      <c r="AC101" s="66"/>
      <c r="AD101" s="108" t="str">
        <f>AD76</f>
        <v>H2H</v>
      </c>
      <c r="AE101" s="109" t="str">
        <f>IFERROR(__xludf.DUMMYFUNCTION("transpose(query({teamInfo}, ""select Col2 where Col3 = '""&amp;AB101&amp;""'"", 0))"),"ROU")</f>
        <v>ROU</v>
      </c>
      <c r="AF101" s="109" t="str">
        <f>IFERROR(__xludf.DUMMYFUNCTION("""COMPUTED_VALUE"""),"BEL")</f>
        <v>BEL</v>
      </c>
      <c r="AG101" s="109" t="str">
        <f>IFERROR(__xludf.DUMMYFUNCTION("""COMPUTED_VALUE"""),"SVK")</f>
        <v>SVK</v>
      </c>
      <c r="AH101" s="109" t="str">
        <f>IFERROR(__xludf.DUMMYFUNCTION("""COMPUTED_VALUE"""),"UKR")</f>
        <v>UKR</v>
      </c>
      <c r="AI101" s="6"/>
      <c r="AJ101" s="21"/>
      <c r="AK101" s="22"/>
      <c r="AL101" s="6"/>
      <c r="AM101" s="6"/>
      <c r="AN101" s="22"/>
      <c r="AO101" s="22"/>
      <c r="AP101" s="22"/>
      <c r="AQ101" s="22"/>
      <c r="AR101" s="6"/>
      <c r="AS101" s="6"/>
      <c r="AT101" s="6"/>
      <c r="AU101" s="6"/>
      <c r="AV101" s="4"/>
      <c r="AW101" s="5"/>
      <c r="AX101" s="150"/>
      <c r="AY101" s="151"/>
      <c r="AZ101" s="4"/>
    </row>
    <row r="102" ht="15.0" customHeight="1">
      <c r="A102" s="15" t="str">
        <f>IFERROR(__xludf.DUMMYFUNCTION("arrayformula(ifna(vlookup(QUERY({index(Wallchart,, COLUMN() + 1)}, ""where Col1 &lt;&gt; '' limit ""&amp;$AK$12&amp;"" offset ""&amp;CHAR2NUM($AB102) * $AK$12,0), teamInfo, 2, 0), """"))"),"ROU")</f>
        <v>ROU</v>
      </c>
      <c r="B102" s="7">
        <f>indirect("Wallchart!R"&amp;row() - $AK$11 * CHAR2NUM($AB102)&amp;"C"&amp;column() + 1&amp;":R"&amp;row() - $AK$11 * CHAR2NUM($AB102) + $AK$12 - 1&amp;"C"&amp;column() + 2, false)</f>
        <v>1</v>
      </c>
      <c r="C102" s="7">
        <v>0.0</v>
      </c>
      <c r="D102" s="17" t="str">
        <f>IFERROR(__xludf.DUMMYFUNCTION("arrayformula(ifna(vlookup(QUERY({index(Wallchart,, COLUMN() + 1)}, ""where Col1 &lt;&gt; '' limit ""&amp;$AK$12&amp;"" offset ""&amp;CHAR2NUM($AB102) * $AK$12,0), teamInfo, 2, 0), """"))"),"UKR")</f>
        <v>UKR</v>
      </c>
      <c r="E102" s="22">
        <f t="shared" ref="E102:E107" si="47">ifs(or($B102 = "", $C102 = ""), "", $B102 &gt; $C102, 3, $B102 = $C102, 1, $B102 &lt; $C102, 0)</f>
        <v>3</v>
      </c>
      <c r="F102" s="22">
        <f t="shared" ref="F102:F107" si="48">ifs(or($B102 = "", $C102 = ""), "", $B102 &lt; $C102, 3, $B102 = $C102, 1, $B102 &gt; $C102, 0)</f>
        <v>0</v>
      </c>
      <c r="G102" s="114" t="str">
        <f t="array" ref="G102:Q102">$G$2:$Q$2</f>
        <v>Code</v>
      </c>
      <c r="H102" s="115" t="s">
        <v>26</v>
      </c>
      <c r="I102" s="114" t="s">
        <v>7</v>
      </c>
      <c r="J102" s="175" t="s">
        <v>8</v>
      </c>
      <c r="K102" s="114" t="s">
        <v>9</v>
      </c>
      <c r="L102" s="114" t="s">
        <v>10</v>
      </c>
      <c r="M102" s="114" t="s">
        <v>11</v>
      </c>
      <c r="N102" s="114" t="s">
        <v>12</v>
      </c>
      <c r="O102" s="114" t="s">
        <v>13</v>
      </c>
      <c r="P102" s="114" t="s">
        <v>14</v>
      </c>
      <c r="Q102" s="114" t="s">
        <v>73</v>
      </c>
      <c r="R102" s="22"/>
      <c r="S102" s="22"/>
      <c r="T102" s="22"/>
      <c r="U102" s="22"/>
      <c r="V102" s="22"/>
      <c r="W102" s="22"/>
      <c r="X102" s="22"/>
      <c r="Y102" s="22"/>
      <c r="Z102" s="22"/>
      <c r="AA102" s="22"/>
      <c r="AB102" s="8" t="str">
        <f t="shared" si="1"/>
        <v>E</v>
      </c>
      <c r="AC102" s="116" t="s">
        <v>74</v>
      </c>
      <c r="AD102" s="117" t="str">
        <f>IFERROR(__xludf.DUMMYFUNCTION("arrayformula(transpose(split(rept(concatenate(query({teamInfo}, ""select Col2 where Col3 = '""&amp;AB101&amp;""'"",0)&amp;""~""), 3), ""~"")))"),"ROU")</f>
        <v>ROU</v>
      </c>
      <c r="AE102" s="118"/>
      <c r="AF102" s="49">
        <f>IFERROR(__xludf.DUMMYFUNCTION("ifna(query({indirect(""Group""&amp;$AB102)},""select Col5 where Col1 = '""&amp;$AD102&amp;""' and Col4 = '""&amp;indirect(address(CHAR2NUM($AB102)*$AK$13 + 1, column()))&amp;""'"",0),
      query({INDIRECT(""Group""&amp;$AB102)},""select Col6 where Col1 = '""&amp;indirect(address(CH"&amp;"AR2NUM($AB102)*$AK$13  + 1, column()))&amp;""' and Col4 = '""&amp;$AD102&amp;""'"",0))"),0.0)</f>
        <v>0</v>
      </c>
      <c r="AG102" s="49">
        <f>IFERROR(__xludf.DUMMYFUNCTION("ifna(query({indirect(""Group""&amp;$AB102)},""select Col5 where Col1 = '""&amp;$AD102&amp;""' and Col4 = '""&amp;indirect(address(CHAR2NUM($AB102)*$AK$13 + 1, column()))&amp;""'"",0),
      query({INDIRECT(""Group""&amp;$AB102)},""select Col6 where Col1 = '""&amp;indirect(address(CH"&amp;"AR2NUM($AB102)*$AK$13  + 1, column()))&amp;""' and Col4 = '""&amp;$AD102&amp;""'"",0))"),0.0)</f>
        <v>0</v>
      </c>
      <c r="AH102" s="49">
        <f>IFERROR(__xludf.DUMMYFUNCTION("ifna(query({indirect(""Group""&amp;$AB102)},""select Col5 where Col1 = '""&amp;$AD102&amp;""' and Col4 = '""&amp;indirect(address(CHAR2NUM($AB102)*$AK$13 + 1, column()))&amp;""'"",0),
      query({INDIRECT(""Group""&amp;$AB102)},""select Col6 where Col1 = '""&amp;indirect(address(CH"&amp;"AR2NUM($AB102)*$AK$13  + 1, column()))&amp;""' and Col4 = '""&amp;$AD102&amp;""'"",0))"),3.0)</f>
        <v>3</v>
      </c>
      <c r="AI102" s="15">
        <f t="array" ref="AI102:AI113">ROUNDUP(sequence($AK$3*3)/$AK$3,0)</f>
        <v>1</v>
      </c>
      <c r="AJ102" s="21"/>
      <c r="AK102" s="22"/>
      <c r="AL102" s="6"/>
      <c r="AM102" s="6"/>
      <c r="AN102" s="22"/>
      <c r="AO102" s="22"/>
      <c r="AP102" s="22"/>
      <c r="AQ102" s="22"/>
      <c r="AR102" s="6"/>
      <c r="AS102" s="6"/>
      <c r="AT102" s="6"/>
      <c r="AU102" s="6"/>
      <c r="AV102" s="22"/>
      <c r="AW102" s="5"/>
      <c r="AX102" s="150"/>
      <c r="AY102" s="151"/>
      <c r="AZ102" s="4"/>
    </row>
    <row r="103" ht="15.0" customHeight="1">
      <c r="A103" s="15" t="str">
        <f>IFERROR(__xludf.DUMMYFUNCTION("""COMPUTED_VALUE"""),"BEL")</f>
        <v>BEL</v>
      </c>
      <c r="B103" s="7">
        <v>1.0</v>
      </c>
      <c r="C103" s="7">
        <v>0.0</v>
      </c>
      <c r="D103" s="17" t="str">
        <f>IFERROR(__xludf.DUMMYFUNCTION("""COMPUTED_VALUE"""),"SVK")</f>
        <v>SVK</v>
      </c>
      <c r="E103" s="22">
        <f t="shared" si="47"/>
        <v>3</v>
      </c>
      <c r="F103" s="22">
        <f t="shared" si="48"/>
        <v>0</v>
      </c>
      <c r="G103" s="117" t="str">
        <f>IFERROR(__xludf.DUMMYFUNCTION("query({teamInfo}, ""select Col2, Col1 where Col3 = '""&amp;AB103&amp;""'"", 0)"),"ROU")</f>
        <v>ROU</v>
      </c>
      <c r="H103" s="128" t="str">
        <f>IFERROR(__xludf.DUMMYFUNCTION("""COMPUTED_VALUE"""),"Romania")</f>
        <v>Romania</v>
      </c>
      <c r="I103" s="49">
        <f t="shared" ref="I103:I106" si="49">sum(J103:L103)</f>
        <v>3</v>
      </c>
      <c r="J103" s="48">
        <f>IFERROR(__xludf.DUMMYFUNCTION("sum(query(indirect(""Group""&amp;$AB103),""select count(E) where A = '""&amp;$G103&amp;""' and E = 3"",0), query(indirect(""Group""&amp;$AB103),""select count(F) where D = '""&amp;$G103&amp;""' and F = 3"",0))"),1.0)</f>
        <v>1</v>
      </c>
      <c r="K103" s="49">
        <f>IFERROR(__xludf.DUMMYFUNCTION("sum(query(indirect(""Group""&amp;$AB103),""select count(E) where A = '""&amp;$G103&amp;""' and E = 1"",0), query(indirect(""Group""&amp;$AB103),""select count(F) where D = '""&amp;$G103&amp;""' and F = 1"",0))"),0.0)</f>
        <v>0</v>
      </c>
      <c r="L103" s="49">
        <f>IFERROR(__xludf.DUMMYFUNCTION("sum(query(indirect(""Group""&amp;$AB103),""select count(E) where A = '""&amp;$G103&amp;""' and E = 0"",0), query(indirect(""Group""&amp;$AB103),""select count(F) where D = '""&amp;$G103&amp;""' and F = 0"",0))"),2.0)</f>
        <v>2</v>
      </c>
      <c r="M103" s="49">
        <f>IFERROR(__xludf.DUMMYFUNCTION("ifna(sum(query(indirect(""Group""&amp;$AB103),""select B where A = '""&amp;$G103&amp;""'"",0), query(indirect(""Group""&amp;$AB103),""select C where D = '""&amp;$G103&amp;""'"",0)),0)"),1.0)</f>
        <v>1</v>
      </c>
      <c r="N103" s="49">
        <f>IFERROR(__xludf.DUMMYFUNCTION("ifna(sum(query(indirect(""Group""&amp;$AB103),""select C where A = '""&amp;$G103&amp;""'"",0), query(indirect(""Group""&amp;$AB103),""select B where D = '""&amp;$G103&amp;""'"",0)), 0)"),2.0)</f>
        <v>2</v>
      </c>
      <c r="O103" s="49">
        <f t="shared" ref="O103:O106" si="50">M103-N103</f>
        <v>-1</v>
      </c>
      <c r="P103" s="49">
        <f t="shared" ref="P103:P106" si="51">J103*3+K103-abs(Q103)</f>
        <v>3</v>
      </c>
      <c r="Q103" s="16"/>
      <c r="R103" s="129" t="str">
        <f>$R$3</f>
        <v>The last column will only be used if points have been deducted.</v>
      </c>
      <c r="U103" s="177"/>
      <c r="V103" s="177"/>
      <c r="W103" s="177"/>
      <c r="X103" s="177"/>
      <c r="Y103" s="177"/>
      <c r="Z103" s="177"/>
      <c r="AA103" s="177"/>
      <c r="AB103" s="8" t="str">
        <f t="shared" si="1"/>
        <v>E</v>
      </c>
      <c r="AC103" s="131"/>
      <c r="AD103" s="117" t="str">
        <f>IFERROR(__xludf.DUMMYFUNCTION("""COMPUTED_VALUE"""),"BEL")</f>
        <v>BEL</v>
      </c>
      <c r="AE103" s="49">
        <f>IFERROR(__xludf.DUMMYFUNCTION("ifna(query({indirect(""Group""&amp;$AB103)},""select Col5 where Col1 = '""&amp;$AD103&amp;""' and Col4 = '""&amp;indirect(address(CHAR2NUM($AB103)*$AK$13 + 1, column()))&amp;""'"",0),
      query({INDIRECT(""Group""&amp;$AB103)},""select Col6 where Col1 = '""&amp;indirect(address(CH"&amp;"AR2NUM($AB103)*$AK$13  + 1, column()))&amp;""' and Col4 = '""&amp;$AD103&amp;""'"",0))"),3.0)</f>
        <v>3</v>
      </c>
      <c r="AF103" s="118"/>
      <c r="AG103" s="49">
        <f>IFERROR(__xludf.DUMMYFUNCTION("ifna(query({indirect(""Group""&amp;$AB103)},""select Col5 where Col1 = '""&amp;$AD103&amp;""' and Col4 = '""&amp;indirect(address(CHAR2NUM($AB103)*$AK$13 + 1, column()))&amp;""'"",0),
      query({INDIRECT(""Group""&amp;$AB103)},""select Col6 where Col1 = '""&amp;indirect(address(CH"&amp;"AR2NUM($AB103)*$AK$13  + 1, column()))&amp;""' and Col4 = '""&amp;$AD103&amp;""'"",0))"),3.0)</f>
        <v>3</v>
      </c>
      <c r="AH103" s="49">
        <f>IFERROR(__xludf.DUMMYFUNCTION("ifna(query({indirect(""Group""&amp;$AB103)},""select Col5 where Col1 = '""&amp;$AD103&amp;""' and Col4 = '""&amp;indirect(address(CHAR2NUM($AB103)*$AK$13 + 1, column()))&amp;""'"",0),
      query({INDIRECT(""Group""&amp;$AB103)},""select Col6 where Col1 = '""&amp;indirect(address(CH"&amp;"AR2NUM($AB103)*$AK$13  + 1, column()))&amp;""' and Col4 = '""&amp;$AD103&amp;""'"",0))"),0.0)</f>
        <v>0</v>
      </c>
      <c r="AI103" s="6">
        <v>1.0</v>
      </c>
      <c r="AJ103" s="21"/>
      <c r="AK103" s="22"/>
      <c r="AL103" s="6"/>
      <c r="AM103" s="6"/>
      <c r="AN103" s="22"/>
      <c r="AO103" s="22"/>
      <c r="AP103" s="22"/>
      <c r="AQ103" s="22"/>
      <c r="AR103" s="6"/>
      <c r="AS103" s="6"/>
      <c r="AT103" s="6"/>
      <c r="AU103" s="6"/>
      <c r="AV103" s="22"/>
      <c r="AW103" s="6"/>
      <c r="AX103" s="149"/>
      <c r="AY103" s="33"/>
      <c r="AZ103" s="22"/>
    </row>
    <row r="104" ht="15.0" customHeight="1">
      <c r="A104" s="15" t="str">
        <f>IFERROR(__xludf.DUMMYFUNCTION("""COMPUTED_VALUE"""),"SVK")</f>
        <v>SVK</v>
      </c>
      <c r="B104" s="7">
        <v>1.0</v>
      </c>
      <c r="C104" s="7">
        <v>0.0</v>
      </c>
      <c r="D104" s="17" t="str">
        <f>IFERROR(__xludf.DUMMYFUNCTION("""COMPUTED_VALUE"""),"UKR")</f>
        <v>UKR</v>
      </c>
      <c r="E104" s="22">
        <f t="shared" si="47"/>
        <v>3</v>
      </c>
      <c r="F104" s="22">
        <f t="shared" si="48"/>
        <v>0</v>
      </c>
      <c r="G104" s="117" t="str">
        <f>IFERROR(__xludf.DUMMYFUNCTION("""COMPUTED_VALUE"""),"BEL")</f>
        <v>BEL</v>
      </c>
      <c r="H104" s="144" t="str">
        <f>IFERROR(__xludf.DUMMYFUNCTION("""COMPUTED_VALUE"""),"Belgium")</f>
        <v>Belgium</v>
      </c>
      <c r="I104" s="49">
        <f t="shared" si="49"/>
        <v>3</v>
      </c>
      <c r="J104" s="48">
        <f>IFERROR(__xludf.DUMMYFUNCTION("sum(query(indirect(""Group""&amp;$AB104),""select count(E) where A = '""&amp;$G104&amp;""' and E = 3"",0), query(indirect(""Group""&amp;$AB104),""select count(F) where D = '""&amp;$G104&amp;""' and F = 3"",0))"),2.0)</f>
        <v>2</v>
      </c>
      <c r="K104" s="49">
        <f>IFERROR(__xludf.DUMMYFUNCTION("sum(query(indirect(""Group""&amp;$AB104),""select count(E) where A = '""&amp;$G104&amp;""' and E = 1"",0), query(indirect(""Group""&amp;$AB104),""select count(F) where D = '""&amp;$G104&amp;""' and F = 1"",0))"),0.0)</f>
        <v>0</v>
      </c>
      <c r="L104" s="49">
        <f>IFERROR(__xludf.DUMMYFUNCTION("sum(query(indirect(""Group""&amp;$AB104),""select count(E) where A = '""&amp;$G104&amp;""' and E = 0"",0), query(indirect(""Group""&amp;$AB104),""select count(F) where D = '""&amp;$G104&amp;""' and F = 0"",0))"),1.0)</f>
        <v>1</v>
      </c>
      <c r="M104" s="49">
        <f>IFERROR(__xludf.DUMMYFUNCTION("ifna(sum(query(indirect(""Group""&amp;$AB104),""select B where A = '""&amp;$G104&amp;""'"",0), query(indirect(""Group""&amp;$AB104),""select C where D = '""&amp;$G104&amp;""'"",0)),0)"),2.0)</f>
        <v>2</v>
      </c>
      <c r="N104" s="49">
        <f>IFERROR(__xludf.DUMMYFUNCTION("ifna(sum(query(indirect(""Group""&amp;$AB104),""select C where A = '""&amp;$G104&amp;""'"",0), query(indirect(""Group""&amp;$AB104),""select B where D = '""&amp;$G104&amp;""'"",0)), 0)"),1.0)</f>
        <v>1</v>
      </c>
      <c r="O104" s="49">
        <f t="shared" si="50"/>
        <v>1</v>
      </c>
      <c r="P104" s="49">
        <f t="shared" si="51"/>
        <v>6</v>
      </c>
      <c r="Q104" s="140"/>
      <c r="U104" s="177"/>
      <c r="V104" s="177"/>
      <c r="W104" s="177"/>
      <c r="X104" s="177"/>
      <c r="Y104" s="177"/>
      <c r="Z104" s="177"/>
      <c r="AA104" s="177"/>
      <c r="AB104" s="8" t="str">
        <f t="shared" si="1"/>
        <v>E</v>
      </c>
      <c r="AC104" s="131"/>
      <c r="AD104" s="117" t="str">
        <f>IFERROR(__xludf.DUMMYFUNCTION("""COMPUTED_VALUE"""),"SVK")</f>
        <v>SVK</v>
      </c>
      <c r="AE104" s="49">
        <f>IFERROR(__xludf.DUMMYFUNCTION("ifna(query({indirect(""Group""&amp;$AB104)},""select Col5 where Col1 = '""&amp;$AD104&amp;""' and Col4 = '""&amp;indirect(address(CHAR2NUM($AB104)*$AK$13 + 1, column()))&amp;""'"",0),
      query({INDIRECT(""Group""&amp;$AB104)},""select Col6 where Col1 = '""&amp;indirect(address(CH"&amp;"AR2NUM($AB104)*$AK$13  + 1, column()))&amp;""' and Col4 = '""&amp;$AD104&amp;""'"",0))"),3.0)</f>
        <v>3</v>
      </c>
      <c r="AF104" s="49">
        <f>IFERROR(__xludf.DUMMYFUNCTION("ifna(query({indirect(""Group""&amp;$AB104)},""select Col5 where Col1 = '""&amp;$AD104&amp;""' and Col4 = '""&amp;indirect(address(CHAR2NUM($AB104)*$AK$13 + 1, column()))&amp;""'"",0),
      query({INDIRECT(""Group""&amp;$AB104)},""select Col6 where Col1 = '""&amp;indirect(address(CH"&amp;"AR2NUM($AB104)*$AK$13  + 1, column()))&amp;""' and Col4 = '""&amp;$AD104&amp;""'"",0))"),0.0)</f>
        <v>0</v>
      </c>
      <c r="AG104" s="118"/>
      <c r="AH104" s="49">
        <f>IFERROR(__xludf.DUMMYFUNCTION("ifna(query({indirect(""Group""&amp;$AB104)},""select Col5 where Col1 = '""&amp;$AD104&amp;""' and Col4 = '""&amp;indirect(address(CHAR2NUM($AB104)*$AK$13 + 1, column()))&amp;""'"",0),
      query({INDIRECT(""Group""&amp;$AB104)},""select Col6 where Col1 = '""&amp;indirect(address(CH"&amp;"AR2NUM($AB104)*$AK$13  + 1, column()))&amp;""' and Col4 = '""&amp;$AD104&amp;""'"",0))"),3.0)</f>
        <v>3</v>
      </c>
      <c r="AI104" s="6">
        <v>1.0</v>
      </c>
      <c r="AJ104" s="21"/>
      <c r="AK104" s="22"/>
      <c r="AL104" s="6"/>
      <c r="AM104" s="6"/>
      <c r="AN104" s="22"/>
      <c r="AO104" s="22"/>
      <c r="AP104" s="22"/>
      <c r="AQ104" s="22"/>
      <c r="AR104" s="6"/>
      <c r="AS104" s="6"/>
      <c r="AT104" s="6"/>
      <c r="AU104" s="6"/>
      <c r="AV104" s="22"/>
      <c r="AW104" s="6"/>
      <c r="AX104" s="149"/>
      <c r="AY104" s="33"/>
      <c r="AZ104" s="22"/>
    </row>
    <row r="105" ht="15.0" customHeight="1">
      <c r="A105" s="15" t="str">
        <f>IFERROR(__xludf.DUMMYFUNCTION("""COMPUTED_VALUE"""),"BEL")</f>
        <v>BEL</v>
      </c>
      <c r="B105" s="7">
        <v>1.0</v>
      </c>
      <c r="C105" s="7">
        <v>0.0</v>
      </c>
      <c r="D105" s="17" t="str">
        <f>IFERROR(__xludf.DUMMYFUNCTION("""COMPUTED_VALUE"""),"ROU")</f>
        <v>ROU</v>
      </c>
      <c r="E105" s="22">
        <f t="shared" si="47"/>
        <v>3</v>
      </c>
      <c r="F105" s="22">
        <f t="shared" si="48"/>
        <v>0</v>
      </c>
      <c r="G105" s="117" t="str">
        <f>IFERROR(__xludf.DUMMYFUNCTION("""COMPUTED_VALUE"""),"SVK")</f>
        <v>SVK</v>
      </c>
      <c r="H105" s="144" t="str">
        <f>IFERROR(__xludf.DUMMYFUNCTION("""COMPUTED_VALUE"""),"Slovakia")</f>
        <v>Slovakia</v>
      </c>
      <c r="I105" s="49">
        <f t="shared" si="49"/>
        <v>3</v>
      </c>
      <c r="J105" s="48">
        <f>IFERROR(__xludf.DUMMYFUNCTION("sum(query(indirect(""Group""&amp;$AB105),""select count(E) where A = '""&amp;$G105&amp;""' and E = 3"",0), query(indirect(""Group""&amp;$AB105),""select count(F) where D = '""&amp;$G105&amp;""' and F = 3"",0))"),2.0)</f>
        <v>2</v>
      </c>
      <c r="K105" s="49">
        <f>IFERROR(__xludf.DUMMYFUNCTION("sum(query(indirect(""Group""&amp;$AB105),""select count(E) where A = '""&amp;$G105&amp;""' and E = 1"",0), query(indirect(""Group""&amp;$AB105),""select count(F) where D = '""&amp;$G105&amp;""' and F = 1"",0))"),0.0)</f>
        <v>0</v>
      </c>
      <c r="L105" s="49">
        <f>IFERROR(__xludf.DUMMYFUNCTION("sum(query(indirect(""Group""&amp;$AB105),""select count(E) where A = '""&amp;$G105&amp;""' and E = 0"",0), query(indirect(""Group""&amp;$AB105),""select count(F) where D = '""&amp;$G105&amp;""' and F = 0"",0))"),1.0)</f>
        <v>1</v>
      </c>
      <c r="M105" s="49">
        <f>IFERROR(__xludf.DUMMYFUNCTION("ifna(sum(query(indirect(""Group""&amp;$AB105),""select B where A = '""&amp;$G105&amp;""'"",0), query(indirect(""Group""&amp;$AB105),""select C where D = '""&amp;$G105&amp;""'"",0)),0)"),2.0)</f>
        <v>2</v>
      </c>
      <c r="N105" s="49">
        <f>IFERROR(__xludf.DUMMYFUNCTION("ifna(sum(query(indirect(""Group""&amp;$AB105),""select C where A = '""&amp;$G105&amp;""'"",0), query(indirect(""Group""&amp;$AB105),""select B where D = '""&amp;$G105&amp;""'"",0)), 0)"),1.0)</f>
        <v>1</v>
      </c>
      <c r="O105" s="49">
        <f t="shared" si="50"/>
        <v>1</v>
      </c>
      <c r="P105" s="49">
        <f t="shared" si="51"/>
        <v>6</v>
      </c>
      <c r="Q105" s="16"/>
      <c r="U105" s="177"/>
      <c r="V105" s="177"/>
      <c r="W105" s="177"/>
      <c r="X105" s="177"/>
      <c r="Y105" s="177"/>
      <c r="Z105" s="177"/>
      <c r="AA105" s="177"/>
      <c r="AB105" s="8" t="str">
        <f t="shared" si="1"/>
        <v>E</v>
      </c>
      <c r="AC105" s="133"/>
      <c r="AD105" s="117" t="str">
        <f>IFERROR(__xludf.DUMMYFUNCTION("""COMPUTED_VALUE"""),"UKR")</f>
        <v>UKR</v>
      </c>
      <c r="AE105" s="49">
        <f>IFERROR(__xludf.DUMMYFUNCTION("ifna(query({indirect(""Group""&amp;$AB105)},""select Col5 where Col1 = '""&amp;$AD105&amp;""' and Col4 = '""&amp;indirect(address(CHAR2NUM($AB105)*$AK$13 + 1, column()))&amp;""'"",0),
      query({INDIRECT(""Group""&amp;$AB105)},""select Col6 where Col1 = '""&amp;indirect(address(CH"&amp;"AR2NUM($AB105)*$AK$13  + 1, column()))&amp;""' and Col4 = '""&amp;$AD105&amp;""'"",0))"),0.0)</f>
        <v>0</v>
      </c>
      <c r="AF105" s="49">
        <f>IFERROR(__xludf.DUMMYFUNCTION("ifna(query({indirect(""Group""&amp;$AB105)},""select Col5 where Col1 = '""&amp;$AD105&amp;""' and Col4 = '""&amp;indirect(address(CHAR2NUM($AB105)*$AK$13 + 1, column()))&amp;""'"",0),
      query({INDIRECT(""Group""&amp;$AB105)},""select Col6 where Col1 = '""&amp;indirect(address(CH"&amp;"AR2NUM($AB105)*$AK$13  + 1, column()))&amp;""' and Col4 = '""&amp;$AD105&amp;""'"",0))"),3.0)</f>
        <v>3</v>
      </c>
      <c r="AG105" s="49">
        <f>IFERROR(__xludf.DUMMYFUNCTION("ifna(query({indirect(""Group""&amp;$AB105)},""select Col5 where Col1 = '""&amp;$AD105&amp;""' and Col4 = '""&amp;indirect(address(CHAR2NUM($AB105)*$AK$13 + 1, column()))&amp;""'"",0),
      query({INDIRECT(""Group""&amp;$AB105)},""select Col6 where Col1 = '""&amp;indirect(address(CH"&amp;"AR2NUM($AB105)*$AK$13  + 1, column()))&amp;""' and Col4 = '""&amp;$AD105&amp;""'"",0))"),0.0)</f>
        <v>0</v>
      </c>
      <c r="AH105" s="118"/>
      <c r="AI105" s="6">
        <v>1.0</v>
      </c>
      <c r="AJ105" s="21"/>
      <c r="AK105" s="22"/>
      <c r="AL105" s="6"/>
      <c r="AM105" s="6"/>
      <c r="AN105" s="22"/>
      <c r="AO105" s="22"/>
      <c r="AP105" s="22"/>
      <c r="AQ105" s="22"/>
      <c r="AR105" s="6"/>
      <c r="AS105" s="6"/>
      <c r="AT105" s="6"/>
      <c r="AU105" s="6"/>
      <c r="AV105" s="22"/>
      <c r="AW105" s="6"/>
      <c r="AX105" s="149"/>
      <c r="AY105" s="33"/>
      <c r="AZ105" s="22"/>
    </row>
    <row r="106" ht="15.0" customHeight="1">
      <c r="A106" s="15" t="str">
        <f>IFERROR(__xludf.DUMMYFUNCTION("""COMPUTED_VALUE"""),"SVK")</f>
        <v>SVK</v>
      </c>
      <c r="B106" s="7">
        <v>1.0</v>
      </c>
      <c r="C106" s="7">
        <v>0.0</v>
      </c>
      <c r="D106" s="17" t="str">
        <f>IFERROR(__xludf.DUMMYFUNCTION("""COMPUTED_VALUE"""),"ROU")</f>
        <v>ROU</v>
      </c>
      <c r="E106" s="22">
        <f t="shared" si="47"/>
        <v>3</v>
      </c>
      <c r="F106" s="22">
        <f t="shared" si="48"/>
        <v>0</v>
      </c>
      <c r="G106" s="117" t="str">
        <f>IFERROR(__xludf.DUMMYFUNCTION("""COMPUTED_VALUE"""),"UKR")</f>
        <v>UKR</v>
      </c>
      <c r="H106" s="144" t="str">
        <f>IFERROR(__xludf.DUMMYFUNCTION("""COMPUTED_VALUE"""),"Ukraine")</f>
        <v>Ukraine</v>
      </c>
      <c r="I106" s="49">
        <f t="shared" si="49"/>
        <v>3</v>
      </c>
      <c r="J106" s="48">
        <f>IFERROR(__xludf.DUMMYFUNCTION("sum(query(indirect(""Group""&amp;$AB106),""select count(E) where A = '""&amp;$G106&amp;""' and E = 3"",0), query(indirect(""Group""&amp;$AB106),""select count(F) where D = '""&amp;$G106&amp;""' and F = 3"",0))"),1.0)</f>
        <v>1</v>
      </c>
      <c r="K106" s="49">
        <f>IFERROR(__xludf.DUMMYFUNCTION("sum(query(indirect(""Group""&amp;$AB106),""select count(E) where A = '""&amp;$G106&amp;""' and E = 1"",0), query(indirect(""Group""&amp;$AB106),""select count(F) where D = '""&amp;$G106&amp;""' and F = 1"",0))"),0.0)</f>
        <v>0</v>
      </c>
      <c r="L106" s="49">
        <f>IFERROR(__xludf.DUMMYFUNCTION("sum(query(indirect(""Group""&amp;$AB106),""select count(E) where A = '""&amp;$G106&amp;""' and E = 0"",0), query(indirect(""Group""&amp;$AB106),""select count(F) where D = '""&amp;$G106&amp;""' and F = 0"",0))"),2.0)</f>
        <v>2</v>
      </c>
      <c r="M106" s="49">
        <f>IFERROR(__xludf.DUMMYFUNCTION("ifna(sum(query(indirect(""Group""&amp;$AB106),""select B where A = '""&amp;$G106&amp;""'"",0), query(indirect(""Group""&amp;$AB106),""select C where D = '""&amp;$G106&amp;""'"",0)),0)"),1.0)</f>
        <v>1</v>
      </c>
      <c r="N106" s="49">
        <f>IFERROR(__xludf.DUMMYFUNCTION("ifna(sum(query(indirect(""Group""&amp;$AB106),""select C where A = '""&amp;$G106&amp;""'"",0), query(indirect(""Group""&amp;$AB106),""select B where D = '""&amp;$G106&amp;""'"",0)), 0)"),2.0)</f>
        <v>2</v>
      </c>
      <c r="O106" s="49">
        <f t="shared" si="50"/>
        <v>-1</v>
      </c>
      <c r="P106" s="49">
        <f t="shared" si="51"/>
        <v>3</v>
      </c>
      <c r="Q106" s="140"/>
      <c r="U106" s="177"/>
      <c r="V106" s="177"/>
      <c r="W106" s="177"/>
      <c r="X106" s="177"/>
      <c r="Y106" s="177"/>
      <c r="Z106" s="177"/>
      <c r="AA106" s="177"/>
      <c r="AB106" s="8" t="str">
        <f t="shared" si="1"/>
        <v>E</v>
      </c>
      <c r="AC106" s="116" t="s">
        <v>13</v>
      </c>
      <c r="AD106" s="117" t="str">
        <f>IFERROR(__xludf.DUMMYFUNCTION("""COMPUTED_VALUE"""),"ROU")</f>
        <v>ROU</v>
      </c>
      <c r="AE106" s="118"/>
      <c r="AF106" s="49">
        <f>IFERROR(__xludf.DUMMYFUNCTION("sum(iferror(query({indirect(""Group""&amp;$AB106)},""select Col2-Col3 where Col1 = '""&amp;$AD106&amp;""' and Col4 = '""&amp;indirect(address(CHAR2NUM($AB106)*$AK$13 + 1, column()))&amp;""'""),0),
     iferror(query({INDIRECT(""Group""&amp;$AB106)},""select Col3-Col2 where Col1 "&amp;"= '""&amp;indirect(address(CHAR2NUM($AB106)*$AK$13 + 1, column()))&amp;""' and Col4 = '""&amp;$AD106&amp;""'""),0))"),-1.0)</f>
        <v>-1</v>
      </c>
      <c r="AG106" s="49">
        <f>IFERROR(__xludf.DUMMYFUNCTION("sum(iferror(query({indirect(""Group""&amp;$AB106)},""select Col2-Col3 where Col1 = '""&amp;$AD106&amp;""' and Col4 = '""&amp;indirect(address(CHAR2NUM($AB106)*$AK$13 + 1, column()))&amp;""'""),0),
     iferror(query({INDIRECT(""Group""&amp;$AB106)},""select Col3-Col2 where Col1 "&amp;"= '""&amp;indirect(address(CHAR2NUM($AB106)*$AK$13 + 1, column()))&amp;""' and Col4 = '""&amp;$AD106&amp;""'""),0))"),-1.0)</f>
        <v>-1</v>
      </c>
      <c r="AH106" s="49">
        <f>IFERROR(__xludf.DUMMYFUNCTION("sum(iferror(query({indirect(""Group""&amp;$AB106)},""select Col2-Col3 where Col1 = '""&amp;$AD106&amp;""' and Col4 = '""&amp;indirect(address(CHAR2NUM($AB106)*$AK$13 + 1, column()))&amp;""'""),0),
     iferror(query({INDIRECT(""Group""&amp;$AB106)},""select Col3-Col2 where Col1 "&amp;"= '""&amp;indirect(address(CHAR2NUM($AB106)*$AK$13 + 1, column()))&amp;""' and Col4 = '""&amp;$AD106&amp;""'""),0))"),1.0)</f>
        <v>1</v>
      </c>
      <c r="AI106" s="6">
        <v>2.0</v>
      </c>
      <c r="AJ106" s="21"/>
      <c r="AK106" s="22"/>
      <c r="AL106" s="6"/>
      <c r="AM106" s="6"/>
      <c r="AN106" s="22"/>
      <c r="AO106" s="22"/>
      <c r="AP106" s="22"/>
      <c r="AQ106" s="22"/>
      <c r="AR106" s="6"/>
      <c r="AS106" s="6"/>
      <c r="AT106" s="6"/>
      <c r="AU106" s="6"/>
      <c r="AV106" s="22"/>
      <c r="AW106" s="6"/>
      <c r="AX106" s="149"/>
      <c r="AY106" s="33"/>
      <c r="AZ106" s="22"/>
    </row>
    <row r="107" ht="15.0" customHeight="1">
      <c r="A107" s="15" t="str">
        <f>IFERROR(__xludf.DUMMYFUNCTION("""COMPUTED_VALUE"""),"UKR")</f>
        <v>UKR</v>
      </c>
      <c r="B107" s="7">
        <v>1.0</v>
      </c>
      <c r="C107" s="7">
        <v>0.0</v>
      </c>
      <c r="D107" s="17" t="str">
        <f>IFERROR(__xludf.DUMMYFUNCTION("""COMPUTED_VALUE"""),"BEL")</f>
        <v>BEL</v>
      </c>
      <c r="E107" s="22">
        <f t="shared" si="47"/>
        <v>3</v>
      </c>
      <c r="F107" s="22">
        <f t="shared" si="48"/>
        <v>0</v>
      </c>
      <c r="G107" s="22"/>
      <c r="H107" s="33"/>
      <c r="I107" s="22">
        <f t="array" ref="I107:P107">$I$7:$P$7</f>
        <v>3</v>
      </c>
      <c r="J107" s="22">
        <v>4.0</v>
      </c>
      <c r="K107" s="22">
        <v>5.0</v>
      </c>
      <c r="L107" s="22">
        <v>6.0</v>
      </c>
      <c r="M107" s="22">
        <v>7.0</v>
      </c>
      <c r="N107" s="22">
        <v>8.0</v>
      </c>
      <c r="O107" s="22">
        <v>9.0</v>
      </c>
      <c r="P107" s="22">
        <v>10.0</v>
      </c>
      <c r="Q107" s="22"/>
      <c r="R107" s="22"/>
      <c r="S107" s="22"/>
      <c r="T107" s="22"/>
      <c r="U107" s="22"/>
      <c r="V107" s="22"/>
      <c r="W107" s="22"/>
      <c r="X107" s="22"/>
      <c r="Y107" s="22"/>
      <c r="Z107" s="22"/>
      <c r="AA107" s="22"/>
      <c r="AB107" s="8" t="str">
        <f t="shared" si="1"/>
        <v>E</v>
      </c>
      <c r="AC107" s="131"/>
      <c r="AD107" s="117" t="str">
        <f>IFERROR(__xludf.DUMMYFUNCTION("""COMPUTED_VALUE"""),"BEL")</f>
        <v>BEL</v>
      </c>
      <c r="AE107" s="49">
        <f>IFERROR(__xludf.DUMMYFUNCTION("sum(iferror(query({indirect(""Group""&amp;$AB107)},""select Col2-Col3 where Col1 = '""&amp;$AD107&amp;""' and Col4 = '""&amp;indirect(address(CHAR2NUM($AB107)*$AK$13 + 1, column()))&amp;""'""),0),
     iferror(query({INDIRECT(""Group""&amp;$AB107)},""select Col3-Col2 where Col1 "&amp;"= '""&amp;indirect(address(CHAR2NUM($AB107)*$AK$13 + 1, column()))&amp;""' and Col4 = '""&amp;$AD107&amp;""'""),0))"),1.0)</f>
        <v>1</v>
      </c>
      <c r="AF107" s="118"/>
      <c r="AG107" s="49">
        <f>IFERROR(__xludf.DUMMYFUNCTION("sum(iferror(query({indirect(""Group""&amp;$AB107)},""select Col2-Col3 where Col1 = '""&amp;$AD107&amp;""' and Col4 = '""&amp;indirect(address(CHAR2NUM($AB107)*$AK$13 + 1, column()))&amp;""'""),0),
     iferror(query({INDIRECT(""Group""&amp;$AB107)},""select Col3-Col2 where Col1 "&amp;"= '""&amp;indirect(address(CHAR2NUM($AB107)*$AK$13 + 1, column()))&amp;""' and Col4 = '""&amp;$AD107&amp;""'""),0))"),1.0)</f>
        <v>1</v>
      </c>
      <c r="AH107" s="49">
        <f>IFERROR(__xludf.DUMMYFUNCTION("sum(iferror(query({indirect(""Group""&amp;$AB107)},""select Col2-Col3 where Col1 = '""&amp;$AD107&amp;""' and Col4 = '""&amp;indirect(address(CHAR2NUM($AB107)*$AK$13 + 1, column()))&amp;""'""),0),
     iferror(query({INDIRECT(""Group""&amp;$AB107)},""select Col3-Col2 where Col1 "&amp;"= '""&amp;indirect(address(CHAR2NUM($AB107)*$AK$13 + 1, column()))&amp;""' and Col4 = '""&amp;$AD107&amp;""'""),0))"),-1.0)</f>
        <v>-1</v>
      </c>
      <c r="AI107" s="6">
        <v>2.0</v>
      </c>
      <c r="AJ107" s="21"/>
      <c r="AK107" s="22"/>
      <c r="AL107" s="6"/>
      <c r="AM107" s="6"/>
      <c r="AN107" s="22"/>
      <c r="AO107" s="22"/>
      <c r="AP107" s="22"/>
      <c r="AQ107" s="22"/>
      <c r="AR107" s="6"/>
      <c r="AS107" s="6"/>
      <c r="AT107" s="6"/>
      <c r="AU107" s="6"/>
      <c r="AV107" s="22"/>
      <c r="AW107" s="6"/>
      <c r="AX107" s="149"/>
      <c r="AY107" s="33"/>
      <c r="AZ107" s="22"/>
    </row>
    <row r="108" ht="15.0" customHeight="1">
      <c r="A108" s="99" t="str">
        <f>$A$8</f>
        <v>Teams are sorted by points. If teams are tied then the following tie-breaking criteria are applied:
1) Head-to-head: a) points b) goal difference c) goals scored
2) If teams are still tied, use 1) with tied teams
3) Overall: a) goal difference b) goals scored
4) Penalties: If two teams face-off in the last round of the group stage, have the same number of points, goals scored and conceded, and their score finishes level then their ranking is determined by a penalty shoot-out (not used if more than two teams have equal points)</v>
      </c>
      <c r="G108" s="114" t="str">
        <f t="array" ref="G108:T108">$G$8:$T$8</f>
        <v>Code</v>
      </c>
      <c r="H108" s="115" t="s">
        <v>26</v>
      </c>
      <c r="I108" s="114" t="s">
        <v>7</v>
      </c>
      <c r="J108" s="114" t="s">
        <v>8</v>
      </c>
      <c r="K108" s="114" t="s">
        <v>9</v>
      </c>
      <c r="L108" s="114" t="s">
        <v>10</v>
      </c>
      <c r="M108" s="114" t="s">
        <v>11</v>
      </c>
      <c r="N108" s="114" t="s">
        <v>12</v>
      </c>
      <c r="O108" s="114" t="s">
        <v>13</v>
      </c>
      <c r="P108" s="114" t="s">
        <v>14</v>
      </c>
      <c r="Q108" s="108" t="s">
        <v>99</v>
      </c>
      <c r="R108" s="108" t="s">
        <v>100</v>
      </c>
      <c r="S108" s="108" t="s">
        <v>101</v>
      </c>
      <c r="T108" s="108" t="s">
        <v>102</v>
      </c>
      <c r="U108" s="22"/>
      <c r="V108" s="22"/>
      <c r="W108" s="22"/>
      <c r="X108" s="22"/>
      <c r="Y108" s="22"/>
      <c r="Z108" s="22"/>
      <c r="AA108" s="22"/>
      <c r="AB108" s="8" t="str">
        <f t="shared" si="1"/>
        <v>E</v>
      </c>
      <c r="AC108" s="131"/>
      <c r="AD108" s="117" t="str">
        <f>IFERROR(__xludf.DUMMYFUNCTION("""COMPUTED_VALUE"""),"SVK")</f>
        <v>SVK</v>
      </c>
      <c r="AE108" s="49">
        <f>IFERROR(__xludf.DUMMYFUNCTION("sum(iferror(query({indirect(""Group""&amp;$AB108)},""select Col2-Col3 where Col1 = '""&amp;$AD108&amp;""' and Col4 = '""&amp;indirect(address(CHAR2NUM($AB108)*$AK$13 + 1, column()))&amp;""'""),0),
     iferror(query({INDIRECT(""Group""&amp;$AB108)},""select Col3-Col2 where Col1 "&amp;"= '""&amp;indirect(address(CHAR2NUM($AB108)*$AK$13 + 1, column()))&amp;""' and Col4 = '""&amp;$AD108&amp;""'""),0))"),1.0)</f>
        <v>1</v>
      </c>
      <c r="AF108" s="49">
        <f>IFERROR(__xludf.DUMMYFUNCTION("sum(iferror(query({indirect(""Group""&amp;$AB108)},""select Col2-Col3 where Col1 = '""&amp;$AD108&amp;""' and Col4 = '""&amp;indirect(address(CHAR2NUM($AB108)*$AK$13 + 1, column()))&amp;""'""),0),
     iferror(query({INDIRECT(""Group""&amp;$AB108)},""select Col3-Col2 where Col1 "&amp;"= '""&amp;indirect(address(CHAR2NUM($AB108)*$AK$13 + 1, column()))&amp;""' and Col4 = '""&amp;$AD108&amp;""'""),0))"),-1.0)</f>
        <v>-1</v>
      </c>
      <c r="AG108" s="118"/>
      <c r="AH108" s="49">
        <f>IFERROR(__xludf.DUMMYFUNCTION("sum(iferror(query({indirect(""Group""&amp;$AB108)},""select Col2-Col3 where Col1 = '""&amp;$AD108&amp;""' and Col4 = '""&amp;indirect(address(CHAR2NUM($AB108)*$AK$13 + 1, column()))&amp;""'""),0),
     iferror(query({INDIRECT(""Group""&amp;$AB108)},""select Col3-Col2 where Col1 "&amp;"= '""&amp;indirect(address(CHAR2NUM($AB108)*$AK$13 + 1, column()))&amp;""' and Col4 = '""&amp;$AD108&amp;""'""),0))"),1.0)</f>
        <v>1</v>
      </c>
      <c r="AI108" s="6">
        <v>2.0</v>
      </c>
      <c r="AJ108" s="21"/>
      <c r="AK108" s="22"/>
      <c r="AL108" s="6"/>
      <c r="AM108" s="6"/>
      <c r="AN108" s="22"/>
      <c r="AO108" s="22"/>
      <c r="AP108" s="22"/>
      <c r="AQ108" s="22"/>
      <c r="AR108" s="6"/>
      <c r="AS108" s="6"/>
      <c r="AT108" s="6"/>
      <c r="AU108" s="6"/>
      <c r="AV108" s="22"/>
      <c r="AW108" s="6"/>
      <c r="AX108" s="149"/>
      <c r="AY108" s="33"/>
      <c r="AZ108" s="22"/>
    </row>
    <row r="109" ht="15.0" customHeight="1">
      <c r="G109" s="49" t="str">
        <f t="array" ref="G109:P112">sort(G103:P106, xlookup("Pts", $I$2:$P$2, $I$7:$P$7), false)</f>
        <v>BEL</v>
      </c>
      <c r="H109" s="144" t="s">
        <v>38</v>
      </c>
      <c r="I109" s="49">
        <v>3.0</v>
      </c>
      <c r="J109" s="49">
        <v>2.0</v>
      </c>
      <c r="K109" s="49">
        <v>0.0</v>
      </c>
      <c r="L109" s="49">
        <v>1.0</v>
      </c>
      <c r="M109" s="49">
        <v>2.0</v>
      </c>
      <c r="N109" s="49">
        <v>1.0</v>
      </c>
      <c r="O109" s="49">
        <v>1.0</v>
      </c>
      <c r="P109" s="49">
        <v>6.0</v>
      </c>
      <c r="Q109" s="145" t="str">
        <f>if(and(I109 &gt; 0, P109=P110),"A","")</f>
        <v>A</v>
      </c>
      <c r="R109" s="145">
        <f t="shared" ref="R109:R112" si="52">H2H($Q109,$G109,$AB109,{$G$109:$G$112,$Q$109:$Q$112},1)</f>
        <v>3</v>
      </c>
      <c r="S109" s="146">
        <f t="shared" ref="S109:S112" si="53">H2H($Q109,$G109,$AB109,{$G$109:$G$112,$Q$109:$Q$112},2)</f>
        <v>1</v>
      </c>
      <c r="T109" s="145">
        <f t="shared" ref="T109:T112" si="54">H2H($Q109,$G109,$AB109,{$G$109:$G$112,$Q$109:$Q$112},3)</f>
        <v>1</v>
      </c>
      <c r="U109" s="22"/>
      <c r="V109" s="22"/>
      <c r="W109" s="22"/>
      <c r="X109" s="22"/>
      <c r="Y109" s="22"/>
      <c r="Z109" s="22"/>
      <c r="AA109" s="22"/>
      <c r="AB109" s="8" t="str">
        <f t="shared" si="1"/>
        <v>E</v>
      </c>
      <c r="AC109" s="133"/>
      <c r="AD109" s="117" t="str">
        <f>IFERROR(__xludf.DUMMYFUNCTION("""COMPUTED_VALUE"""),"UKR")</f>
        <v>UKR</v>
      </c>
      <c r="AE109" s="49">
        <f>IFERROR(__xludf.DUMMYFUNCTION("sum(iferror(query({indirect(""Group""&amp;$AB109)},""select Col2-Col3 where Col1 = '""&amp;$AD109&amp;""' and Col4 = '""&amp;indirect(address(CHAR2NUM($AB109)*$AK$13 + 1, column()))&amp;""'""),0),
     iferror(query({INDIRECT(""Group""&amp;$AB109)},""select Col3-Col2 where Col1 "&amp;"= '""&amp;indirect(address(CHAR2NUM($AB109)*$AK$13 + 1, column()))&amp;""' and Col4 = '""&amp;$AD109&amp;""'""),0))"),-1.0)</f>
        <v>-1</v>
      </c>
      <c r="AF109" s="49">
        <f>IFERROR(__xludf.DUMMYFUNCTION("sum(iferror(query({indirect(""Group""&amp;$AB109)},""select Col2-Col3 where Col1 = '""&amp;$AD109&amp;""' and Col4 = '""&amp;indirect(address(CHAR2NUM($AB109)*$AK$13 + 1, column()))&amp;""'""),0),
     iferror(query({INDIRECT(""Group""&amp;$AB109)},""select Col3-Col2 where Col1 "&amp;"= '""&amp;indirect(address(CHAR2NUM($AB109)*$AK$13 + 1, column()))&amp;""' and Col4 = '""&amp;$AD109&amp;""'""),0))"),1.0)</f>
        <v>1</v>
      </c>
      <c r="AG109" s="49">
        <f>IFERROR(__xludf.DUMMYFUNCTION("sum(iferror(query({indirect(""Group""&amp;$AB109)},""select Col2-Col3 where Col1 = '""&amp;$AD109&amp;""' and Col4 = '""&amp;indirect(address(CHAR2NUM($AB109)*$AK$13 + 1, column()))&amp;""'""),0),
     iferror(query({INDIRECT(""Group""&amp;$AB109)},""select Col3-Col2 where Col1 "&amp;"= '""&amp;indirect(address(CHAR2NUM($AB109)*$AK$13 + 1, column()))&amp;""' and Col4 = '""&amp;$AD109&amp;""'""),0))"),-1.0)</f>
        <v>-1</v>
      </c>
      <c r="AH109" s="118"/>
      <c r="AI109" s="6">
        <v>2.0</v>
      </c>
      <c r="AJ109" s="21"/>
      <c r="AK109" s="22"/>
      <c r="AL109" s="6"/>
      <c r="AM109" s="6"/>
      <c r="AN109" s="22"/>
      <c r="AO109" s="22"/>
      <c r="AP109" s="22"/>
      <c r="AQ109" s="22"/>
      <c r="AR109" s="6"/>
      <c r="AS109" s="6"/>
      <c r="AT109" s="6"/>
      <c r="AU109" s="6"/>
      <c r="AV109" s="22"/>
      <c r="AW109" s="6"/>
      <c r="AX109" s="149"/>
      <c r="AY109" s="33"/>
      <c r="AZ109" s="22"/>
    </row>
    <row r="110" ht="15.0" customHeight="1">
      <c r="G110" s="49" t="s">
        <v>135</v>
      </c>
      <c r="H110" s="144" t="s">
        <v>39</v>
      </c>
      <c r="I110" s="49">
        <v>3.0</v>
      </c>
      <c r="J110" s="49">
        <v>2.0</v>
      </c>
      <c r="K110" s="49">
        <v>0.0</v>
      </c>
      <c r="L110" s="49">
        <v>1.0</v>
      </c>
      <c r="M110" s="49">
        <v>2.0</v>
      </c>
      <c r="N110" s="49">
        <v>1.0</v>
      </c>
      <c r="O110" s="49">
        <v>1.0</v>
      </c>
      <c r="P110" s="49">
        <v>6.0</v>
      </c>
      <c r="Q110" s="145" t="str">
        <f>ifs(I110 = 0, "", not(Q109 = ""), Q109, P110 = P111, "A", TRUE, "")</f>
        <v>A</v>
      </c>
      <c r="R110" s="145">
        <f t="shared" si="52"/>
        <v>0</v>
      </c>
      <c r="S110" s="146">
        <f t="shared" si="53"/>
        <v>-1</v>
      </c>
      <c r="T110" s="145">
        <f t="shared" si="54"/>
        <v>0</v>
      </c>
      <c r="U110" s="22"/>
      <c r="V110" s="22"/>
      <c r="W110" s="22"/>
      <c r="X110" s="22"/>
      <c r="Y110" s="22"/>
      <c r="Z110" s="22"/>
      <c r="AA110" s="22"/>
      <c r="AB110" s="8" t="str">
        <f t="shared" si="1"/>
        <v>E</v>
      </c>
      <c r="AC110" s="116" t="s">
        <v>110</v>
      </c>
      <c r="AD110" s="117" t="str">
        <f>IFERROR(__xludf.DUMMYFUNCTION("""COMPUTED_VALUE"""),"ROU")</f>
        <v>ROU</v>
      </c>
      <c r="AE110" s="118"/>
      <c r="AF110" s="49">
        <f>IFERROR(__xludf.DUMMYFUNCTION("ifna(query({indirect(""Group""&amp;$AB110)},""select Col2 where Col1 = '""&amp;$AD110&amp;""' and Col4 = '""&amp;indirect(address(CHAR2NUM($AB110)*$AK$13 + 1, column()))&amp;""'"",0),
      query({INDIRECT(""Group""&amp;$AB110)},""select Col3 where Col1 = '""&amp;indirect(address(CH"&amp;"AR2NUM($AB110)*$AK$13 + 1, column()))&amp;""' and Col4 = '""&amp;$AD110&amp;""'"",0))"),0.0)</f>
        <v>0</v>
      </c>
      <c r="AG110" s="49">
        <f>IFERROR(__xludf.DUMMYFUNCTION("ifna(query({indirect(""Group""&amp;$AB110)},""select Col2 where Col1 = '""&amp;$AD110&amp;""' and Col4 = '""&amp;indirect(address(CHAR2NUM($AB110)*$AK$13 + 1, column()))&amp;""'"",0),
      query({INDIRECT(""Group""&amp;$AB110)},""select Col3 where Col1 = '""&amp;indirect(address(CH"&amp;"AR2NUM($AB110)*$AK$13 + 1, column()))&amp;""' and Col4 = '""&amp;$AD110&amp;""'"",0))"),0.0)</f>
        <v>0</v>
      </c>
      <c r="AH110" s="49">
        <f>IFERROR(__xludf.DUMMYFUNCTION("ifna(query({indirect(""Group""&amp;$AB110)},""select Col2 where Col1 = '""&amp;$AD110&amp;""' and Col4 = '""&amp;indirect(address(CHAR2NUM($AB110)*$AK$13 + 1, column()))&amp;""'"",0),
      query({INDIRECT(""Group""&amp;$AB110)},""select Col3 where Col1 = '""&amp;indirect(address(CH"&amp;"AR2NUM($AB110)*$AK$13 + 1, column()))&amp;""' and Col4 = '""&amp;$AD110&amp;""'"",0))"),1.0)</f>
        <v>1</v>
      </c>
      <c r="AI110" s="6">
        <v>3.0</v>
      </c>
      <c r="AJ110" s="21"/>
      <c r="AK110" s="22"/>
      <c r="AL110" s="6"/>
      <c r="AM110" s="6"/>
      <c r="AN110" s="22"/>
      <c r="AO110" s="22"/>
      <c r="AP110" s="22"/>
      <c r="AQ110" s="22"/>
      <c r="AR110" s="6"/>
      <c r="AS110" s="6"/>
      <c r="AT110" s="6"/>
      <c r="AU110" s="6"/>
      <c r="AV110" s="22"/>
      <c r="AW110" s="6"/>
      <c r="AX110" s="149"/>
      <c r="AY110" s="33"/>
      <c r="AZ110" s="22"/>
    </row>
    <row r="111" ht="15.0" customHeight="1">
      <c r="G111" s="49" t="s">
        <v>133</v>
      </c>
      <c r="H111" s="144" t="s">
        <v>33</v>
      </c>
      <c r="I111" s="49">
        <v>3.0</v>
      </c>
      <c r="J111" s="49">
        <v>1.0</v>
      </c>
      <c r="K111" s="49">
        <v>0.0</v>
      </c>
      <c r="L111" s="49">
        <v>2.0</v>
      </c>
      <c r="M111" s="49">
        <v>1.0</v>
      </c>
      <c r="N111" s="49">
        <v>2.0</v>
      </c>
      <c r="O111" s="49">
        <v>-1.0</v>
      </c>
      <c r="P111" s="49">
        <v>3.0</v>
      </c>
      <c r="Q111" s="145" t="str">
        <f>ifs(I111 = 0, "", P110 = P111, Q110, P111 = P112, if(Q110 = "A", "B", "A"), TRUE, "")</f>
        <v>B</v>
      </c>
      <c r="R111" s="145">
        <f t="shared" si="52"/>
        <v>3</v>
      </c>
      <c r="S111" s="146">
        <f t="shared" si="53"/>
        <v>1</v>
      </c>
      <c r="T111" s="145">
        <f t="shared" si="54"/>
        <v>1</v>
      </c>
      <c r="U111" s="22"/>
      <c r="V111" s="22"/>
      <c r="W111" s="22"/>
      <c r="X111" s="22"/>
      <c r="Y111" s="22"/>
      <c r="Z111" s="22"/>
      <c r="AA111" s="22"/>
      <c r="AB111" s="8" t="str">
        <f t="shared" si="1"/>
        <v>E</v>
      </c>
      <c r="AC111" s="131"/>
      <c r="AD111" s="117" t="str">
        <f>IFERROR(__xludf.DUMMYFUNCTION("""COMPUTED_VALUE"""),"BEL")</f>
        <v>BEL</v>
      </c>
      <c r="AE111" s="49">
        <f>IFERROR(__xludf.DUMMYFUNCTION("ifna(query({indirect(""Group""&amp;$AB111)},""select Col2 where Col1 = '""&amp;$AD111&amp;""' and Col4 = '""&amp;indirect(address(CHAR2NUM($AB111)*$AK$13 + 1, column()))&amp;""'"",0),
      query({INDIRECT(""Group""&amp;$AB111)},""select Col3 where Col1 = '""&amp;indirect(address(CH"&amp;"AR2NUM($AB111)*$AK$13 + 1, column()))&amp;""' and Col4 = '""&amp;$AD111&amp;""'"",0))"),1.0)</f>
        <v>1</v>
      </c>
      <c r="AF111" s="118"/>
      <c r="AG111" s="49">
        <f>IFERROR(__xludf.DUMMYFUNCTION("ifna(query({indirect(""Group""&amp;$AB111)},""select Col2 where Col1 = '""&amp;$AD111&amp;""' and Col4 = '""&amp;indirect(address(CHAR2NUM($AB111)*$AK$13 + 1, column()))&amp;""'"",0),
      query({INDIRECT(""Group""&amp;$AB111)},""select Col3 where Col1 = '""&amp;indirect(address(CH"&amp;"AR2NUM($AB111)*$AK$13 + 1, column()))&amp;""' and Col4 = '""&amp;$AD111&amp;""'"",0))"),1.0)</f>
        <v>1</v>
      </c>
      <c r="AH111" s="49">
        <f>IFERROR(__xludf.DUMMYFUNCTION("ifna(query({indirect(""Group""&amp;$AB111)},""select Col2 where Col1 = '""&amp;$AD111&amp;""' and Col4 = '""&amp;indirect(address(CHAR2NUM($AB111)*$AK$13 + 1, column()))&amp;""'"",0),
      query({INDIRECT(""Group""&amp;$AB111)},""select Col3 where Col1 = '""&amp;indirect(address(CH"&amp;"AR2NUM($AB111)*$AK$13 + 1, column()))&amp;""' and Col4 = '""&amp;$AD111&amp;""'"",0))"),0.0)</f>
        <v>0</v>
      </c>
      <c r="AI111" s="6">
        <v>3.0</v>
      </c>
      <c r="AJ111" s="21"/>
      <c r="AK111" s="22"/>
      <c r="AL111" s="6"/>
      <c r="AM111" s="6"/>
      <c r="AN111" s="22"/>
      <c r="AO111" s="22"/>
      <c r="AP111" s="22"/>
      <c r="AQ111" s="22"/>
      <c r="AR111" s="6"/>
      <c r="AS111" s="6"/>
      <c r="AT111" s="6"/>
      <c r="AU111" s="6"/>
      <c r="AV111" s="22"/>
      <c r="AW111" s="6"/>
      <c r="AX111" s="149"/>
      <c r="AY111" s="33"/>
      <c r="AZ111" s="6"/>
    </row>
    <row r="112" ht="15.0" customHeight="1">
      <c r="G112" s="49" t="s">
        <v>136</v>
      </c>
      <c r="H112" s="144" t="s">
        <v>37</v>
      </c>
      <c r="I112" s="49">
        <v>3.0</v>
      </c>
      <c r="J112" s="49">
        <v>1.0</v>
      </c>
      <c r="K112" s="49">
        <v>0.0</v>
      </c>
      <c r="L112" s="49">
        <v>2.0</v>
      </c>
      <c r="M112" s="49">
        <v>1.0</v>
      </c>
      <c r="N112" s="49">
        <v>2.0</v>
      </c>
      <c r="O112" s="49">
        <v>-1.0</v>
      </c>
      <c r="P112" s="49">
        <v>3.0</v>
      </c>
      <c r="Q112" s="145" t="str">
        <f>if(and(I112 &gt; 0, P111 = P112), Q111, "")</f>
        <v>B</v>
      </c>
      <c r="R112" s="145">
        <f t="shared" si="52"/>
        <v>0</v>
      </c>
      <c r="S112" s="146">
        <f t="shared" si="53"/>
        <v>-1</v>
      </c>
      <c r="T112" s="145">
        <f t="shared" si="54"/>
        <v>0</v>
      </c>
      <c r="U112" s="22"/>
      <c r="V112" s="22"/>
      <c r="W112" s="22"/>
      <c r="X112" s="22"/>
      <c r="Y112" s="22"/>
      <c r="Z112" s="22"/>
      <c r="AA112" s="22"/>
      <c r="AB112" s="8" t="str">
        <f t="shared" si="1"/>
        <v>E</v>
      </c>
      <c r="AC112" s="131"/>
      <c r="AD112" s="117" t="str">
        <f>IFERROR(__xludf.DUMMYFUNCTION("""COMPUTED_VALUE"""),"SVK")</f>
        <v>SVK</v>
      </c>
      <c r="AE112" s="49">
        <f>IFERROR(__xludf.DUMMYFUNCTION("ifna(query({indirect(""Group""&amp;$AB112)},""select Col2 where Col1 = '""&amp;$AD112&amp;""' and Col4 = '""&amp;indirect(address(CHAR2NUM($AB112)*$AK$13 + 1, column()))&amp;""'"",0),
      query({INDIRECT(""Group""&amp;$AB112)},""select Col3 where Col1 = '""&amp;indirect(address(CH"&amp;"AR2NUM($AB112)*$AK$13 + 1, column()))&amp;""' and Col4 = '""&amp;$AD112&amp;""'"",0))"),1.0)</f>
        <v>1</v>
      </c>
      <c r="AF112" s="49">
        <f>IFERROR(__xludf.DUMMYFUNCTION("ifna(query({indirect(""Group""&amp;$AB112)},""select Col2 where Col1 = '""&amp;$AD112&amp;""' and Col4 = '""&amp;indirect(address(CHAR2NUM($AB112)*$AK$13 + 1, column()))&amp;""'"",0),
      query({INDIRECT(""Group""&amp;$AB112)},""select Col3 where Col1 = '""&amp;indirect(address(CH"&amp;"AR2NUM($AB112)*$AK$13 + 1, column()))&amp;""' and Col4 = '""&amp;$AD112&amp;""'"",0))"),0.0)</f>
        <v>0</v>
      </c>
      <c r="AG112" s="118"/>
      <c r="AH112" s="49">
        <f>IFERROR(__xludf.DUMMYFUNCTION("ifna(query({indirect(""Group""&amp;$AB112)},""select Col2 where Col1 = '""&amp;$AD112&amp;""' and Col4 = '""&amp;indirect(address(CHAR2NUM($AB112)*$AK$13 + 1, column()))&amp;""'"",0),
      query({INDIRECT(""Group""&amp;$AB112)},""select Col3 where Col1 = '""&amp;indirect(address(CH"&amp;"AR2NUM($AB112)*$AK$13 + 1, column()))&amp;""' and Col4 = '""&amp;$AD112&amp;""'"",0))"),1.0)</f>
        <v>1</v>
      </c>
      <c r="AI112" s="6">
        <v>3.0</v>
      </c>
      <c r="AJ112" s="21"/>
      <c r="AK112" s="22"/>
      <c r="AL112" s="6"/>
      <c r="AM112" s="6"/>
      <c r="AN112" s="22"/>
      <c r="AO112" s="22"/>
      <c r="AP112" s="22"/>
      <c r="AQ112" s="22"/>
      <c r="AR112" s="6"/>
      <c r="AS112" s="6"/>
      <c r="AT112" s="6"/>
      <c r="AU112" s="6"/>
      <c r="AV112" s="22"/>
      <c r="AW112" s="6"/>
      <c r="AX112" s="149"/>
      <c r="AY112" s="33"/>
      <c r="AZ112" s="6"/>
    </row>
    <row r="113" ht="15.0" customHeight="1">
      <c r="G113" s="22"/>
      <c r="H113" s="33"/>
      <c r="I113" s="22">
        <f t="array" ref="I113:T113">$I$13:$T$13</f>
        <v>3</v>
      </c>
      <c r="J113" s="22">
        <v>4.0</v>
      </c>
      <c r="K113" s="22">
        <v>5.0</v>
      </c>
      <c r="L113" s="22">
        <v>6.0</v>
      </c>
      <c r="M113" s="22">
        <v>7.0</v>
      </c>
      <c r="N113" s="22">
        <v>8.0</v>
      </c>
      <c r="O113" s="22">
        <v>9.0</v>
      </c>
      <c r="P113" s="22">
        <v>10.0</v>
      </c>
      <c r="Q113" s="22">
        <v>11.0</v>
      </c>
      <c r="R113" s="22">
        <v>12.0</v>
      </c>
      <c r="S113" s="22">
        <v>13.0</v>
      </c>
      <c r="T113" s="22">
        <v>14.0</v>
      </c>
      <c r="U113" s="22"/>
      <c r="V113" s="22"/>
      <c r="W113" s="22"/>
      <c r="X113" s="22"/>
      <c r="Y113" s="22"/>
      <c r="Z113" s="22"/>
      <c r="AA113" s="22"/>
      <c r="AB113" s="8" t="str">
        <f t="shared" si="1"/>
        <v>E</v>
      </c>
      <c r="AC113" s="133"/>
      <c r="AD113" s="117" t="str">
        <f>IFERROR(__xludf.DUMMYFUNCTION("""COMPUTED_VALUE"""),"UKR")</f>
        <v>UKR</v>
      </c>
      <c r="AE113" s="49">
        <f>IFERROR(__xludf.DUMMYFUNCTION("ifna(query({indirect(""Group""&amp;$AB113)},""select Col2 where Col1 = '""&amp;$AD113&amp;""' and Col4 = '""&amp;indirect(address(CHAR2NUM($AB113)*$AK$13 + 1, column()))&amp;""'"",0),
      query({INDIRECT(""Group""&amp;$AB113)},""select Col3 where Col1 = '""&amp;indirect(address(CH"&amp;"AR2NUM($AB113)*$AK$13 + 1, column()))&amp;""' and Col4 = '""&amp;$AD113&amp;""'"",0))"),0.0)</f>
        <v>0</v>
      </c>
      <c r="AF113" s="49">
        <f>IFERROR(__xludf.DUMMYFUNCTION("ifna(query({indirect(""Group""&amp;$AB113)},""select Col2 where Col1 = '""&amp;$AD113&amp;""' and Col4 = '""&amp;indirect(address(CHAR2NUM($AB113)*$AK$13 + 1, column()))&amp;""'"",0),
      query({INDIRECT(""Group""&amp;$AB113)},""select Col3 where Col1 = '""&amp;indirect(address(CH"&amp;"AR2NUM($AB113)*$AK$13 + 1, column()))&amp;""' and Col4 = '""&amp;$AD113&amp;""'"",0))"),1.0)</f>
        <v>1</v>
      </c>
      <c r="AG113" s="49">
        <f>IFERROR(__xludf.DUMMYFUNCTION("ifna(query({indirect(""Group""&amp;$AB113)},""select Col2 where Col1 = '""&amp;$AD113&amp;""' and Col4 = '""&amp;indirect(address(CHAR2NUM($AB113)*$AK$13 + 1, column()))&amp;""'"",0),
      query({INDIRECT(""Group""&amp;$AB113)},""select Col3 where Col1 = '""&amp;indirect(address(CH"&amp;"AR2NUM($AB113)*$AK$13 + 1, column()))&amp;""' and Col4 = '""&amp;$AD113&amp;""'"",0))"),0.0)</f>
        <v>0</v>
      </c>
      <c r="AH113" s="118"/>
      <c r="AI113" s="6">
        <v>3.0</v>
      </c>
      <c r="AJ113" s="21"/>
      <c r="AK113" s="22"/>
      <c r="AL113" s="6"/>
      <c r="AM113" s="6"/>
      <c r="AN113" s="22"/>
      <c r="AO113" s="22"/>
      <c r="AP113" s="22"/>
      <c r="AQ113" s="22"/>
      <c r="AR113" s="6"/>
      <c r="AS113" s="6"/>
      <c r="AT113" s="6"/>
      <c r="AU113" s="6"/>
      <c r="AV113" s="22"/>
      <c r="AW113" s="6"/>
      <c r="AX113" s="149"/>
      <c r="AY113" s="33"/>
      <c r="AZ113" s="6"/>
    </row>
    <row r="114" ht="15.0" customHeight="1">
      <c r="G114" s="114" t="str">
        <f t="array" ref="G114:AA114">$G$14:$AA$14</f>
        <v>Code</v>
      </c>
      <c r="H114" s="115" t="s">
        <v>26</v>
      </c>
      <c r="I114" s="114" t="s">
        <v>7</v>
      </c>
      <c r="J114" s="114" t="s">
        <v>8</v>
      </c>
      <c r="K114" s="114" t="s">
        <v>9</v>
      </c>
      <c r="L114" s="114" t="s">
        <v>10</v>
      </c>
      <c r="M114" s="114" t="s">
        <v>11</v>
      </c>
      <c r="N114" s="114" t="s">
        <v>12</v>
      </c>
      <c r="O114" s="114" t="s">
        <v>13</v>
      </c>
      <c r="P114" s="114" t="s">
        <v>14</v>
      </c>
      <c r="Q114" s="114" t="s">
        <v>99</v>
      </c>
      <c r="R114" s="162" t="s">
        <v>100</v>
      </c>
      <c r="S114" s="162" t="s">
        <v>101</v>
      </c>
      <c r="T114" s="162" t="s">
        <v>102</v>
      </c>
      <c r="U114" s="108" t="s">
        <v>121</v>
      </c>
      <c r="V114" s="108" t="s">
        <v>122</v>
      </c>
      <c r="W114" s="153" t="s">
        <v>123</v>
      </c>
      <c r="X114" s="108" t="s">
        <v>124</v>
      </c>
      <c r="Y114" s="154" t="s">
        <v>125</v>
      </c>
      <c r="Z114" s="154" t="s">
        <v>126</v>
      </c>
      <c r="AA114" s="154" t="s">
        <v>127</v>
      </c>
      <c r="AB114" s="8" t="str">
        <f t="shared" si="1"/>
        <v>E</v>
      </c>
      <c r="AC114" s="6"/>
      <c r="AD114" s="6"/>
      <c r="AE114" s="6"/>
      <c r="AF114" s="6"/>
      <c r="AG114" s="6"/>
      <c r="AH114" s="6"/>
      <c r="AI114" s="6"/>
      <c r="AJ114" s="21"/>
      <c r="AK114" s="22"/>
      <c r="AL114" s="6"/>
      <c r="AM114" s="6"/>
      <c r="AN114" s="22"/>
      <c r="AO114" s="22"/>
      <c r="AP114" s="22"/>
      <c r="AQ114" s="22"/>
      <c r="AR114" s="6"/>
      <c r="AS114" s="6"/>
      <c r="AT114" s="6"/>
      <c r="AU114" s="6"/>
      <c r="AV114" s="22"/>
      <c r="AW114" s="6"/>
      <c r="AX114" s="149"/>
      <c r="AY114" s="180"/>
      <c r="AZ114" s="180"/>
    </row>
    <row r="115" ht="15.0" customHeight="1">
      <c r="G115" s="49" t="str">
        <f t="array" ref="G115:T118">sort(G109:T112, xlookup("Pts", $I$8:$T$8, $I$13:$T$13), false,
              xlookup("P1", $I$8:$T$8, $I$13:$T$13), false, xlookup("G1", $I$8:$T$8, $I$13:$T$13), false, xlookup("F1", $I$8:$T$8, $I$13:$T$13), false,
              xlookup("GD", $I$8:$T$8, $I$13:$T$13), false, xlookup("F", $I$8:$T$8, $I$13:$T$13), false)</f>
        <v>BEL</v>
      </c>
      <c r="H115" s="144" t="s">
        <v>38</v>
      </c>
      <c r="I115" s="49">
        <v>3.0</v>
      </c>
      <c r="J115" s="49">
        <v>2.0</v>
      </c>
      <c r="K115" s="49">
        <v>0.0</v>
      </c>
      <c r="L115" s="49">
        <v>1.0</v>
      </c>
      <c r="M115" s="49">
        <v>2.0</v>
      </c>
      <c r="N115" s="49">
        <v>1.0</v>
      </c>
      <c r="O115" s="49">
        <v>1.0</v>
      </c>
      <c r="P115" s="49">
        <v>6.0</v>
      </c>
      <c r="Q115" s="49" t="s">
        <v>12</v>
      </c>
      <c r="R115" s="49">
        <v>3.0</v>
      </c>
      <c r="S115" s="50">
        <v>1.0</v>
      </c>
      <c r="T115" s="49">
        <v>1.0</v>
      </c>
      <c r="U115" s="145" t="str">
        <f>if(not(Q115=""),if(and(R115=R116,S115=S116,T115=T116),Q115,""),"")</f>
        <v/>
      </c>
      <c r="V115" s="145" t="str">
        <f t="shared" ref="V115:V118" si="55">H2H($U115,$G115,$AB115,{$G$115:$G$118,$U$115:$U$118},1)</f>
        <v/>
      </c>
      <c r="W115" s="146" t="str">
        <f t="shared" ref="W115:W118" si="56">H2H($U115,$G115,$AB115,{$G$115:$G$118,$U$115:$U$118},2)</f>
        <v/>
      </c>
      <c r="X115" s="145" t="str">
        <f t="shared" ref="X115:X118" si="57">H2H($U115,$G115,$AB115,{$G$115:$G$118,$U$115:$U$118},3)</f>
        <v/>
      </c>
      <c r="Y115" s="155" t="str">
        <f>IFERROR(__xludf.DUMMYFUNCTION("ifna(query({indirect(""Penalties""&amp;$AB115)},""select Col2 where Col1 = '""&amp;G115&amp;""'"",0), query({indirect(""Penalties""&amp;$AB115)},""select Col3 where Col4 = '""&amp;G115&amp;""'"",0))"),"")</f>
        <v/>
      </c>
      <c r="Z115" s="155">
        <f t="array" ref="Z115:Z118">xlookup(indirect(address(row(), column($G:$G), 4)&amp;":"&amp;address(row() + $AK$3 - 1, column($G:$G))), index(teamInfo,,2), index(teamInfo,,7))</f>
        <v>0</v>
      </c>
      <c r="AA115" s="155">
        <f>IFERROR(__xludf.DUMMYFUNCTION("if(xlookup($G115, index(teamInfo,,2), index(teamInfo,,11)) = """",
    xlookup($G115, index(teamInfo,,2), index(teamInfo,,8)), query({teamInfo}, ""select Col11 where Col2 = '""&amp;$G115&amp;""'"", 0))"),4.0)</f>
        <v>4</v>
      </c>
      <c r="AB115" s="8" t="str">
        <f t="shared" si="1"/>
        <v>E</v>
      </c>
      <c r="AC115" s="7" t="str">
        <f>"Group "&amp;AB114&amp;" Ranking Explanation"</f>
        <v>Group E Ranking Explanation</v>
      </c>
      <c r="AI115" s="6"/>
      <c r="AJ115" s="21"/>
      <c r="AK115" s="22"/>
      <c r="AL115" s="6"/>
      <c r="AM115" s="6"/>
      <c r="AN115" s="22"/>
      <c r="AO115" s="22"/>
      <c r="AP115" s="22"/>
      <c r="AQ115" s="22"/>
      <c r="AR115" s="6"/>
      <c r="AS115" s="6"/>
      <c r="AT115" s="6"/>
      <c r="AU115" s="6"/>
      <c r="AV115" s="22"/>
      <c r="AW115" s="6"/>
      <c r="AX115" s="149"/>
      <c r="AY115" s="180"/>
      <c r="AZ115" s="180"/>
    </row>
    <row r="116" ht="15.0" customHeight="1">
      <c r="G116" s="49" t="s">
        <v>135</v>
      </c>
      <c r="H116" s="144" t="s">
        <v>39</v>
      </c>
      <c r="I116" s="49">
        <v>3.0</v>
      </c>
      <c r="J116" s="49">
        <v>2.0</v>
      </c>
      <c r="K116" s="49">
        <v>0.0</v>
      </c>
      <c r="L116" s="49">
        <v>1.0</v>
      </c>
      <c r="M116" s="49">
        <v>2.0</v>
      </c>
      <c r="N116" s="49">
        <v>1.0</v>
      </c>
      <c r="O116" s="49">
        <v>1.0</v>
      </c>
      <c r="P116" s="49">
        <v>6.0</v>
      </c>
      <c r="Q116" s="49" t="s">
        <v>12</v>
      </c>
      <c r="R116" s="49">
        <v>0.0</v>
      </c>
      <c r="S116" s="50">
        <v>-1.0</v>
      </c>
      <c r="T116" s="49">
        <v>0.0</v>
      </c>
      <c r="U116" s="145" t="str">
        <f>if(not(Q116=""),if(and(R115=R116,S115=S116,T115=T116),Q115,if(and(R116=R117,S116=S117,T116=T117),Q116,"")),"")</f>
        <v/>
      </c>
      <c r="V116" s="145" t="str">
        <f t="shared" si="55"/>
        <v/>
      </c>
      <c r="W116" s="146" t="str">
        <f t="shared" si="56"/>
        <v/>
      </c>
      <c r="X116" s="145" t="str">
        <f t="shared" si="57"/>
        <v/>
      </c>
      <c r="Y116" s="155" t="str">
        <f>IFERROR(__xludf.DUMMYFUNCTION("ifna(query({indirect(""Penalties""&amp;$AB116)},""select Col2 where Col1 = '""&amp;G116&amp;""'"",0), query({indirect(""Penalties""&amp;$AB116)},""select Col3 where Col4 = '""&amp;G116&amp;""'"",0))"),"")</f>
        <v/>
      </c>
      <c r="Z116" s="155">
        <v>0.0</v>
      </c>
      <c r="AA116" s="155">
        <f>IFERROR(__xludf.DUMMYFUNCTION("if(xlookup($G116, index(teamInfo,,2), index(teamInfo,,11)) = """",
    xlookup($G116, index(teamInfo,,2), index(teamInfo,,8)), query({teamInfo}, ""select Col11 where Col2 = '""&amp;$G116&amp;""'"", 0))"),16.0)</f>
        <v>16</v>
      </c>
      <c r="AB116" s="8" t="str">
        <f t="shared" si="1"/>
        <v>E</v>
      </c>
      <c r="AC116" s="156"/>
      <c r="AD116" s="59"/>
      <c r="AE116" s="59"/>
      <c r="AF116" s="59"/>
      <c r="AG116" s="59"/>
      <c r="AH116" s="60"/>
      <c r="AI116" s="6"/>
      <c r="AJ116" s="21"/>
      <c r="AK116" s="22"/>
      <c r="AL116" s="6"/>
      <c r="AM116" s="6"/>
      <c r="AN116" s="22"/>
      <c r="AO116" s="22"/>
      <c r="AP116" s="22"/>
      <c r="AQ116" s="22"/>
      <c r="AR116" s="6"/>
      <c r="AS116" s="6"/>
      <c r="AT116" s="6"/>
      <c r="AU116" s="6"/>
      <c r="AV116" s="22"/>
      <c r="AW116" s="6"/>
      <c r="AX116" s="149"/>
      <c r="AY116" s="180"/>
      <c r="AZ116" s="180"/>
    </row>
    <row r="117" ht="15.0" customHeight="1">
      <c r="G117" s="49" t="s">
        <v>133</v>
      </c>
      <c r="H117" s="144" t="s">
        <v>33</v>
      </c>
      <c r="I117" s="49">
        <v>3.0</v>
      </c>
      <c r="J117" s="49">
        <v>1.0</v>
      </c>
      <c r="K117" s="49">
        <v>0.0</v>
      </c>
      <c r="L117" s="49">
        <v>2.0</v>
      </c>
      <c r="M117" s="49">
        <v>1.0</v>
      </c>
      <c r="N117" s="49">
        <v>2.0</v>
      </c>
      <c r="O117" s="49">
        <v>-1.0</v>
      </c>
      <c r="P117" s="49">
        <v>3.0</v>
      </c>
      <c r="Q117" s="49" t="s">
        <v>34</v>
      </c>
      <c r="R117" s="49">
        <v>3.0</v>
      </c>
      <c r="S117" s="50">
        <v>1.0</v>
      </c>
      <c r="T117" s="49">
        <v>1.0</v>
      </c>
      <c r="U117" s="145" t="str">
        <f>if(not(Q117=""),if(and(R116=R117,S116=S117,T116=T117),Q117,if(and(R117=R118,S117=S118,T117=T118),Q117,"")),"")</f>
        <v/>
      </c>
      <c r="V117" s="145" t="str">
        <f t="shared" si="55"/>
        <v/>
      </c>
      <c r="W117" s="146" t="str">
        <f t="shared" si="56"/>
        <v/>
      </c>
      <c r="X117" s="145" t="str">
        <f t="shared" si="57"/>
        <v/>
      </c>
      <c r="Y117" s="155" t="str">
        <f>IFERROR(__xludf.DUMMYFUNCTION("ifna(query({indirect(""Penalties""&amp;$AB117)},""select Col2 where Col1 = '""&amp;G117&amp;""'"",0), query({indirect(""Penalties""&amp;$AB117)},""select Col3 where Col4 = '""&amp;G117&amp;""'"",0))"),"")</f>
        <v/>
      </c>
      <c r="Z117" s="155">
        <v>0.0</v>
      </c>
      <c r="AA117" s="155">
        <f>IFERROR(__xludf.DUMMYFUNCTION("if(xlookup($G117, index(teamInfo,,2), index(teamInfo,,11)) = """",
    xlookup($G117, index(teamInfo,,2), index(teamInfo,,8)), query({teamInfo}, ""select Col11 where Col2 = '""&amp;$G117&amp;""'"", 0))"),8.0)</f>
        <v>8</v>
      </c>
      <c r="AB117" s="8" t="str">
        <f t="shared" si="1"/>
        <v>E</v>
      </c>
      <c r="AC117" s="157"/>
      <c r="AH117" s="158"/>
      <c r="AI117" s="6"/>
      <c r="AJ117" s="21"/>
      <c r="AK117" s="22"/>
      <c r="AL117" s="6"/>
      <c r="AM117" s="6"/>
      <c r="AN117" s="22"/>
      <c r="AO117" s="22"/>
      <c r="AP117" s="22"/>
      <c r="AQ117" s="22"/>
      <c r="AR117" s="6"/>
      <c r="AS117" s="6"/>
      <c r="AT117" s="6"/>
      <c r="AU117" s="6"/>
      <c r="AV117" s="22"/>
      <c r="AW117" s="6"/>
      <c r="AX117" s="149"/>
      <c r="AY117" s="180"/>
      <c r="AZ117" s="180"/>
    </row>
    <row r="118" ht="15.0" customHeight="1">
      <c r="G118" s="49" t="s">
        <v>136</v>
      </c>
      <c r="H118" s="144" t="s">
        <v>37</v>
      </c>
      <c r="I118" s="49">
        <v>3.0</v>
      </c>
      <c r="J118" s="49">
        <v>1.0</v>
      </c>
      <c r="K118" s="49">
        <v>0.0</v>
      </c>
      <c r="L118" s="49">
        <v>2.0</v>
      </c>
      <c r="M118" s="49">
        <v>1.0</v>
      </c>
      <c r="N118" s="49">
        <v>2.0</v>
      </c>
      <c r="O118" s="49">
        <v>-1.0</v>
      </c>
      <c r="P118" s="49">
        <v>3.0</v>
      </c>
      <c r="Q118" s="49" t="s">
        <v>34</v>
      </c>
      <c r="R118" s="49">
        <v>0.0</v>
      </c>
      <c r="S118" s="50">
        <v>-1.0</v>
      </c>
      <c r="T118" s="49">
        <v>0.0</v>
      </c>
      <c r="U118" s="145" t="str">
        <f>if(not(Q118=""),if(and(R117=R118,S117=S118,T117=T118),Q118,""),"")</f>
        <v/>
      </c>
      <c r="V118" s="145" t="str">
        <f t="shared" si="55"/>
        <v/>
      </c>
      <c r="W118" s="146" t="str">
        <f t="shared" si="56"/>
        <v/>
      </c>
      <c r="X118" s="145" t="str">
        <f t="shared" si="57"/>
        <v/>
      </c>
      <c r="Y118" s="155" t="str">
        <f>IFERROR(__xludf.DUMMYFUNCTION("ifna(query({indirect(""Penalties""&amp;$AB118)},""select Col2 where Col1 = '""&amp;G118&amp;""'"",0), query({indirect(""Penalties""&amp;$AB118)},""select Col3 where Col4 = '""&amp;G118&amp;""'"",0))"),"")</f>
        <v/>
      </c>
      <c r="Z118" s="155">
        <v>0.0</v>
      </c>
      <c r="AA118" s="155">
        <f>IFERROR(__xludf.DUMMYFUNCTION("if(xlookup($G118, index(teamInfo,,2), index(teamInfo,,11)) = """",
    xlookup($G118, index(teamInfo,,2), index(teamInfo,,8)), query({teamInfo}, ""select Col11 where Col2 = '""&amp;$G118&amp;""'"", 0))"),21.0)</f>
        <v>21</v>
      </c>
      <c r="AB118" s="8" t="str">
        <f t="shared" si="1"/>
        <v>E</v>
      </c>
      <c r="AC118" s="157"/>
      <c r="AH118" s="158"/>
      <c r="AI118" s="5"/>
      <c r="AJ118" s="165"/>
      <c r="AK118" s="4"/>
      <c r="AL118" s="5"/>
      <c r="AM118" s="5"/>
      <c r="AN118" s="4"/>
      <c r="AO118" s="4"/>
      <c r="AP118" s="4"/>
      <c r="AQ118" s="4"/>
      <c r="AR118" s="5"/>
      <c r="AS118" s="5"/>
      <c r="AT118" s="5"/>
      <c r="AU118" s="5"/>
      <c r="AV118" s="22"/>
      <c r="AW118" s="6"/>
      <c r="AX118" s="149"/>
      <c r="AY118" s="180"/>
      <c r="AZ118" s="180"/>
    </row>
    <row r="119" ht="15.0" customHeight="1">
      <c r="A119" s="21" t="str">
        <f>IFERROR(__xludf.DUMMYFUNCTION("query({indirect(""Group""&amp;$AB119)}, ""select Col""&amp;column()&amp;"" offset 4"")"),"SVK")</f>
        <v>SVK</v>
      </c>
      <c r="B119" s="16"/>
      <c r="C119" s="16"/>
      <c r="D119" s="6" t="str">
        <f>IFERROR(__xludf.DUMMYFUNCTION("query({indirect(""Group""&amp;$AB119)}, ""select Col""&amp;column()&amp;"" offset 4"")"),"ROU")</f>
        <v>ROU</v>
      </c>
      <c r="E119" s="99"/>
      <c r="F119" s="159"/>
      <c r="G119" s="22"/>
      <c r="H119" s="33"/>
      <c r="I119" s="22">
        <f t="array" ref="I119:AA119">$I$19:$AA$19</f>
        <v>2</v>
      </c>
      <c r="J119" s="22">
        <v>3.0</v>
      </c>
      <c r="K119" s="22">
        <v>4.0</v>
      </c>
      <c r="L119" s="22">
        <v>5.0</v>
      </c>
      <c r="M119" s="22">
        <v>6.0</v>
      </c>
      <c r="N119" s="22">
        <v>7.0</v>
      </c>
      <c r="O119" s="22">
        <v>8.0</v>
      </c>
      <c r="P119" s="22">
        <v>9.0</v>
      </c>
      <c r="Q119" s="22">
        <v>10.0</v>
      </c>
      <c r="R119" s="22">
        <v>11.0</v>
      </c>
      <c r="S119" s="22">
        <v>12.0</v>
      </c>
      <c r="T119" s="22">
        <v>13.0</v>
      </c>
      <c r="U119" s="22">
        <v>14.0</v>
      </c>
      <c r="V119" s="22">
        <v>15.0</v>
      </c>
      <c r="W119" s="22">
        <v>16.0</v>
      </c>
      <c r="X119" s="22">
        <v>17.0</v>
      </c>
      <c r="Y119" s="7">
        <v>18.0</v>
      </c>
      <c r="Z119" s="22">
        <v>19.0</v>
      </c>
      <c r="AA119" s="22">
        <v>20.0</v>
      </c>
      <c r="AB119" s="8" t="str">
        <f t="shared" si="1"/>
        <v>E</v>
      </c>
      <c r="AC119" s="157"/>
      <c r="AH119" s="158"/>
      <c r="AI119" s="5"/>
      <c r="AJ119" s="165"/>
      <c r="AK119" s="4"/>
      <c r="AL119" s="5"/>
      <c r="AM119" s="5"/>
      <c r="AN119" s="4"/>
      <c r="AO119" s="4"/>
      <c r="AP119" s="4"/>
      <c r="AQ119" s="4"/>
      <c r="AR119" s="5"/>
      <c r="AS119" s="5"/>
      <c r="AT119" s="5"/>
      <c r="AU119" s="5"/>
      <c r="AV119" s="4"/>
      <c r="AW119" s="6"/>
      <c r="AX119" s="149"/>
      <c r="AY119" s="180"/>
      <c r="AZ119" s="180"/>
    </row>
    <row r="120" ht="15.0" customHeight="1">
      <c r="A120" s="21" t="str">
        <f>IFERROR(__xludf.DUMMYFUNCTION("""COMPUTED_VALUE"""),"UKR")</f>
        <v>UKR</v>
      </c>
      <c r="B120" s="16"/>
      <c r="C120" s="16"/>
      <c r="D120" s="6" t="str">
        <f>IFERROR(__xludf.DUMMYFUNCTION("""COMPUTED_VALUE"""),"BEL")</f>
        <v>BEL</v>
      </c>
      <c r="E120" s="99"/>
      <c r="F120" s="159"/>
      <c r="G120" s="160" t="str">
        <f>H114</f>
        <v>Team</v>
      </c>
      <c r="H120" s="3"/>
      <c r="I120" s="161" t="str">
        <f t="array" ref="I120:AA120">$I$14:$AA$14</f>
        <v>P</v>
      </c>
      <c r="J120" s="19" t="s">
        <v>8</v>
      </c>
      <c r="K120" s="19" t="s">
        <v>9</v>
      </c>
      <c r="L120" s="19" t="s">
        <v>10</v>
      </c>
      <c r="M120" s="19" t="s">
        <v>11</v>
      </c>
      <c r="N120" s="19" t="s">
        <v>12</v>
      </c>
      <c r="O120" s="19" t="s">
        <v>13</v>
      </c>
      <c r="P120" s="19" t="s">
        <v>14</v>
      </c>
      <c r="Q120" s="114" t="s">
        <v>99</v>
      </c>
      <c r="R120" s="162" t="s">
        <v>100</v>
      </c>
      <c r="S120" s="162" t="s">
        <v>101</v>
      </c>
      <c r="T120" s="162" t="s">
        <v>102</v>
      </c>
      <c r="U120" s="114" t="s">
        <v>121</v>
      </c>
      <c r="V120" s="162" t="s">
        <v>122</v>
      </c>
      <c r="W120" s="163" t="s">
        <v>123</v>
      </c>
      <c r="X120" s="162" t="s">
        <v>124</v>
      </c>
      <c r="Y120" s="162" t="s">
        <v>125</v>
      </c>
      <c r="Z120" s="114" t="s">
        <v>126</v>
      </c>
      <c r="AA120" s="162" t="s">
        <v>127</v>
      </c>
      <c r="AB120" s="8" t="str">
        <f t="shared" si="1"/>
        <v>E</v>
      </c>
      <c r="AC120" s="157"/>
      <c r="AH120" s="158"/>
      <c r="AI120" s="5"/>
      <c r="AJ120" s="165"/>
      <c r="AK120" s="4"/>
      <c r="AL120" s="5"/>
      <c r="AM120" s="5"/>
      <c r="AN120" s="4"/>
      <c r="AO120" s="4"/>
      <c r="AP120" s="4"/>
      <c r="AQ120" s="4"/>
      <c r="AR120" s="5"/>
      <c r="AS120" s="5"/>
      <c r="AT120" s="5"/>
      <c r="AU120" s="5"/>
      <c r="AV120" s="4"/>
      <c r="AW120" s="6"/>
      <c r="AX120" s="149"/>
      <c r="AY120" s="180"/>
      <c r="AZ120" s="180"/>
    </row>
    <row r="121" ht="15.0" customHeight="1">
      <c r="A121" s="179" t="str">
        <f>IFERROR(__xludf.DUMMYFUNCTION("""5) Discipline
6) European qualifiers ranking""&amp;
if(ISNA(query({teamInfo}, ""select Col1 where Col3 = '""&amp;AB121&amp;""' and Col1 matches '""&amp;IF(counta(Hosts) &gt; 1, ""(""&amp;join(""|"", filter(Hosts,Hosts&lt;&gt;""""))&amp;"")"", ""(""&amp;{Hosts}&amp;"")"")&amp;""'"")),"""",
char(10)"&amp;"&amp;""Unless the comparison involves hosts ""&amp;query({teamInfo}, ""select Col1 where Col3 = '""&amp;AB121&amp;""' and Col1 matches '""&amp;IF(counta(Hosts) &gt; 1, ""(""&amp;join(""|"", filter(Hosts,Hosts&lt;&gt;""""))&amp;"")"", ""(""&amp;{Hosts}&amp;"")"")&amp;""'"")&amp;"", in which case a drawing of"&amp;" lots will take place (see note in cell ""&amp;regexextract(address(1,match(""DoL"",$1:$1,0),4), ""[A-Z]+"")&amp;""1)"")"),"5) Discipline
6) European qualifiers ranking")</f>
        <v>5) Discipline
6) European qualifiers ranking</v>
      </c>
      <c r="G121" s="23" t="str">
        <f t="array" ref="G121:G124">xlookup(H121:H124,index(teamInfo,,1),index(teamInfo,,9),"")</f>
        <v/>
      </c>
      <c r="H121" s="164" t="str">
        <f t="array" ref="H121:AA124">sort(H115:AA118, xlookup("Pts", $I$14:$AA$14, $I$19:$AA$19), false,
                xlookup("P1", $I$14:$AA$14, $I$19:$AA$19), false, xlookup("G1", $I$14:$AA$14, $I$19:$AA$19), false, xlookup("F1", $I$14:$AA$14, $I$19:$AA$19), false,
                xlookup("P2", $I$14:$AA$14, $I$19:$AA$19), false, xlookup("G2", $I$14:$AA$14, $I$19:$AA$19), false, xlookup("F2", $I$14:$AA$14, $I$19:$AA$19), false,
                xlookup("GD", $I$14:$AA$14, $I$19:$AA$19), false, xlookup("F", $I$14:$AA$14, $I$19:$AA$19), false,
                xlookup("Pn", $I$14:$AA$14, $I$19:$AA$19), false, xlookup("Ds", $I$14:$AA$14, $I$19:$AA$19), false, xlookup("R", $I$14:$AA$14, $I$19:$AA$19), true)</f>
        <v>Belgium</v>
      </c>
      <c r="I121" s="36">
        <v>3.0</v>
      </c>
      <c r="J121" s="36">
        <v>2.0</v>
      </c>
      <c r="K121" s="36">
        <v>0.0</v>
      </c>
      <c r="L121" s="36">
        <v>1.0</v>
      </c>
      <c r="M121" s="36">
        <v>2.0</v>
      </c>
      <c r="N121" s="36">
        <v>1.0</v>
      </c>
      <c r="O121" s="36">
        <v>1.0</v>
      </c>
      <c r="P121" s="36">
        <v>6.0</v>
      </c>
      <c r="Q121" s="49" t="s">
        <v>12</v>
      </c>
      <c r="R121" s="49">
        <v>3.0</v>
      </c>
      <c r="S121" s="50">
        <v>1.0</v>
      </c>
      <c r="T121" s="49">
        <v>1.0</v>
      </c>
      <c r="U121" s="49" t="s">
        <v>77</v>
      </c>
      <c r="V121" s="49" t="s">
        <v>77</v>
      </c>
      <c r="W121" s="50" t="s">
        <v>77</v>
      </c>
      <c r="X121" s="49" t="s">
        <v>77</v>
      </c>
      <c r="Y121" s="49"/>
      <c r="Z121" s="49">
        <v>0.0</v>
      </c>
      <c r="AA121" s="49">
        <v>4.0</v>
      </c>
      <c r="AB121" s="8" t="str">
        <f t="shared" si="1"/>
        <v>E</v>
      </c>
      <c r="AC121" s="157"/>
      <c r="AH121" s="158"/>
      <c r="AI121" s="5"/>
      <c r="AJ121" s="165"/>
      <c r="AK121" s="4"/>
      <c r="AL121" s="5"/>
      <c r="AM121" s="5"/>
      <c r="AN121" s="4"/>
      <c r="AO121" s="4"/>
      <c r="AP121" s="4"/>
      <c r="AQ121" s="4"/>
      <c r="AR121" s="5"/>
      <c r="AS121" s="5"/>
      <c r="AT121" s="5"/>
      <c r="AU121" s="5"/>
      <c r="AV121" s="4"/>
      <c r="AW121" s="6"/>
      <c r="AX121" s="149"/>
      <c r="AY121" s="180"/>
      <c r="AZ121" s="180"/>
    </row>
    <row r="122" ht="15.0" customHeight="1">
      <c r="G122" s="166"/>
      <c r="H122" s="164" t="s">
        <v>39</v>
      </c>
      <c r="I122" s="36">
        <v>3.0</v>
      </c>
      <c r="J122" s="36">
        <v>2.0</v>
      </c>
      <c r="K122" s="36">
        <v>0.0</v>
      </c>
      <c r="L122" s="36">
        <v>1.0</v>
      </c>
      <c r="M122" s="36">
        <v>2.0</v>
      </c>
      <c r="N122" s="36">
        <v>1.0</v>
      </c>
      <c r="O122" s="36">
        <v>1.0</v>
      </c>
      <c r="P122" s="36">
        <v>6.0</v>
      </c>
      <c r="Q122" s="49" t="s">
        <v>12</v>
      </c>
      <c r="R122" s="49">
        <v>0.0</v>
      </c>
      <c r="S122" s="50">
        <v>-1.0</v>
      </c>
      <c r="T122" s="49">
        <v>0.0</v>
      </c>
      <c r="U122" s="49" t="s">
        <v>77</v>
      </c>
      <c r="V122" s="49" t="s">
        <v>77</v>
      </c>
      <c r="W122" s="50" t="s">
        <v>77</v>
      </c>
      <c r="X122" s="49" t="s">
        <v>77</v>
      </c>
      <c r="Y122" s="49"/>
      <c r="Z122" s="49">
        <v>0.0</v>
      </c>
      <c r="AA122" s="49">
        <v>16.0</v>
      </c>
      <c r="AB122" s="8" t="str">
        <f t="shared" si="1"/>
        <v>E</v>
      </c>
      <c r="AC122" s="157"/>
      <c r="AH122" s="158"/>
      <c r="AI122" s="5"/>
      <c r="AJ122" s="165"/>
      <c r="AK122" s="4"/>
      <c r="AL122" s="5"/>
      <c r="AM122" s="5"/>
      <c r="AN122" s="4"/>
      <c r="AO122" s="4"/>
      <c r="AP122" s="4"/>
      <c r="AQ122" s="4"/>
      <c r="AR122" s="5"/>
      <c r="AS122" s="5"/>
      <c r="AT122" s="5"/>
      <c r="AU122" s="5"/>
      <c r="AV122" s="4"/>
      <c r="AW122" s="6"/>
      <c r="AX122" s="149"/>
      <c r="AY122" s="180"/>
      <c r="AZ122" s="180"/>
    </row>
    <row r="123" ht="15.0" customHeight="1">
      <c r="G123" s="167"/>
      <c r="H123" s="168" t="s">
        <v>33</v>
      </c>
      <c r="I123" s="169">
        <v>3.0</v>
      </c>
      <c r="J123" s="169">
        <v>1.0</v>
      </c>
      <c r="K123" s="169">
        <v>0.0</v>
      </c>
      <c r="L123" s="169">
        <v>2.0</v>
      </c>
      <c r="M123" s="169">
        <v>1.0</v>
      </c>
      <c r="N123" s="169">
        <v>2.0</v>
      </c>
      <c r="O123" s="169">
        <v>-1.0</v>
      </c>
      <c r="P123" s="169">
        <v>3.0</v>
      </c>
      <c r="Q123" s="49" t="s">
        <v>34</v>
      </c>
      <c r="R123" s="49">
        <v>3.0</v>
      </c>
      <c r="S123" s="50">
        <v>1.0</v>
      </c>
      <c r="T123" s="49">
        <v>1.0</v>
      </c>
      <c r="U123" s="49" t="s">
        <v>77</v>
      </c>
      <c r="V123" s="49" t="s">
        <v>77</v>
      </c>
      <c r="W123" s="50" t="s">
        <v>77</v>
      </c>
      <c r="X123" s="49" t="s">
        <v>77</v>
      </c>
      <c r="Y123" s="49"/>
      <c r="Z123" s="49">
        <v>0.0</v>
      </c>
      <c r="AA123" s="49">
        <v>8.0</v>
      </c>
      <c r="AB123" s="8" t="str">
        <f t="shared" si="1"/>
        <v>E</v>
      </c>
      <c r="AC123" s="157"/>
      <c r="AH123" s="158"/>
      <c r="AI123" s="5"/>
      <c r="AJ123" s="165"/>
      <c r="AK123" s="4"/>
      <c r="AL123" s="5"/>
      <c r="AM123" s="5"/>
      <c r="AN123" s="4"/>
      <c r="AO123" s="4"/>
      <c r="AP123" s="4"/>
      <c r="AQ123" s="4"/>
      <c r="AR123" s="5"/>
      <c r="AS123" s="5"/>
      <c r="AT123" s="5"/>
      <c r="AU123" s="5"/>
      <c r="AV123" s="4"/>
      <c r="AW123" s="6"/>
      <c r="AX123" s="149"/>
      <c r="AY123" s="180"/>
      <c r="AZ123" s="180"/>
    </row>
    <row r="124" ht="15.0" customHeight="1">
      <c r="G124" s="170"/>
      <c r="H124" s="171" t="s">
        <v>37</v>
      </c>
      <c r="I124" s="49">
        <v>3.0</v>
      </c>
      <c r="J124" s="49">
        <v>1.0</v>
      </c>
      <c r="K124" s="49">
        <v>0.0</v>
      </c>
      <c r="L124" s="49">
        <v>2.0</v>
      </c>
      <c r="M124" s="49">
        <v>1.0</v>
      </c>
      <c r="N124" s="49">
        <v>2.0</v>
      </c>
      <c r="O124" s="49">
        <v>-1.0</v>
      </c>
      <c r="P124" s="49">
        <v>3.0</v>
      </c>
      <c r="Q124" s="49" t="s">
        <v>34</v>
      </c>
      <c r="R124" s="49">
        <v>0.0</v>
      </c>
      <c r="S124" s="50">
        <v>-1.0</v>
      </c>
      <c r="T124" s="49">
        <v>0.0</v>
      </c>
      <c r="U124" s="49" t="s">
        <v>77</v>
      </c>
      <c r="V124" s="49" t="s">
        <v>77</v>
      </c>
      <c r="W124" s="50" t="s">
        <v>77</v>
      </c>
      <c r="X124" s="49" t="s">
        <v>77</v>
      </c>
      <c r="Y124" s="49"/>
      <c r="Z124" s="49">
        <v>0.0</v>
      </c>
      <c r="AA124" s="49">
        <v>21.0</v>
      </c>
      <c r="AB124" s="8" t="str">
        <f t="shared" si="1"/>
        <v>E</v>
      </c>
      <c r="AC124" s="172"/>
      <c r="AD124" s="173"/>
      <c r="AE124" s="173"/>
      <c r="AF124" s="173"/>
      <c r="AG124" s="173"/>
      <c r="AH124" s="174"/>
      <c r="AI124" s="6"/>
      <c r="AJ124" s="21"/>
      <c r="AK124" s="22"/>
      <c r="AL124" s="6"/>
      <c r="AM124" s="6"/>
      <c r="AN124" s="22"/>
      <c r="AO124" s="22"/>
      <c r="AP124" s="22"/>
      <c r="AQ124" s="22"/>
      <c r="AR124" s="6"/>
      <c r="AS124" s="6"/>
      <c r="AT124" s="6"/>
      <c r="AU124" s="6"/>
      <c r="AV124" s="4"/>
      <c r="AW124" s="6"/>
      <c r="AX124" s="149"/>
      <c r="AY124" s="180"/>
      <c r="AZ124" s="180"/>
    </row>
    <row r="125" ht="15.0" customHeight="1">
      <c r="A125" s="6"/>
      <c r="B125" s="6"/>
      <c r="C125" s="6"/>
      <c r="D125" s="6"/>
      <c r="E125" s="6"/>
      <c r="F125" s="22"/>
      <c r="G125" s="7"/>
      <c r="H125" s="33"/>
      <c r="I125" s="22" t="str">
        <f t="array" ref="I125:AA125">$I$25:$AA$25</f>
        <v/>
      </c>
      <c r="J125" s="22"/>
      <c r="K125" s="22"/>
      <c r="L125" s="22"/>
      <c r="M125" s="22"/>
      <c r="N125" s="22"/>
      <c r="O125" s="22"/>
      <c r="P125" s="22"/>
      <c r="Q125" s="22"/>
      <c r="R125" s="22"/>
      <c r="S125" s="22"/>
      <c r="T125" s="22"/>
      <c r="U125" s="22"/>
      <c r="V125" s="22"/>
      <c r="W125" s="22"/>
      <c r="X125" s="22"/>
      <c r="Y125" s="22"/>
      <c r="Z125" s="22"/>
      <c r="AA125" s="22"/>
      <c r="AB125" s="8" t="str">
        <f t="shared" si="1"/>
        <v>E</v>
      </c>
      <c r="AC125" s="22"/>
      <c r="AD125" s="6"/>
      <c r="AE125" s="6"/>
      <c r="AF125" s="6"/>
      <c r="AG125" s="6"/>
      <c r="AH125" s="6"/>
      <c r="AI125" s="5"/>
      <c r="AJ125" s="165"/>
      <c r="AK125" s="4"/>
      <c r="AL125" s="5"/>
      <c r="AM125" s="5"/>
      <c r="AN125" s="4"/>
      <c r="AO125" s="4"/>
      <c r="AP125" s="4"/>
      <c r="AQ125" s="4"/>
      <c r="AR125" s="5"/>
      <c r="AS125" s="5"/>
      <c r="AT125" s="5"/>
      <c r="AU125" s="5"/>
      <c r="AV125" s="22"/>
      <c r="AW125" s="6"/>
      <c r="AX125" s="149"/>
      <c r="AY125" s="180"/>
      <c r="AZ125" s="180"/>
    </row>
    <row r="126" ht="15.0" customHeight="1">
      <c r="A126" s="104" t="str">
        <f>char(code(right(A101)) + 1)</f>
        <v>F</v>
      </c>
      <c r="B126" s="105"/>
      <c r="C126" s="105"/>
      <c r="D126" s="105"/>
      <c r="E126" s="105"/>
      <c r="F126" s="105"/>
      <c r="G126" s="105"/>
      <c r="H126" s="106"/>
      <c r="I126" s="105"/>
      <c r="J126" s="105"/>
      <c r="K126" s="105"/>
      <c r="L126" s="105"/>
      <c r="M126" s="105"/>
      <c r="N126" s="105"/>
      <c r="O126" s="105"/>
      <c r="P126" s="105"/>
      <c r="Q126" s="105"/>
      <c r="R126" s="105"/>
      <c r="S126" s="105"/>
      <c r="T126" s="105"/>
      <c r="U126" s="105"/>
      <c r="V126" s="105"/>
      <c r="W126" s="105"/>
      <c r="X126" s="105"/>
      <c r="Y126" s="105"/>
      <c r="Z126" s="105"/>
      <c r="AA126" s="107"/>
      <c r="AB126" s="8" t="str">
        <f t="shared" si="1"/>
        <v>F</v>
      </c>
      <c r="AC126" s="66"/>
      <c r="AD126" s="108" t="str">
        <f>AD101</f>
        <v>H2H</v>
      </c>
      <c r="AE126" s="109" t="str">
        <f>IFERROR(__xludf.DUMMYFUNCTION("transpose(query({teamInfo}, ""select Col2 where Col3 = '""&amp;AB126&amp;""'"", 0))"),"TUR")</f>
        <v>TUR</v>
      </c>
      <c r="AF126" s="109" t="str">
        <f>IFERROR(__xludf.DUMMYFUNCTION("""COMPUTED_VALUE"""),"POR")</f>
        <v>POR</v>
      </c>
      <c r="AG126" s="109" t="str">
        <f>IFERROR(__xludf.DUMMYFUNCTION("""COMPUTED_VALUE"""),"GEO")</f>
        <v>GEO</v>
      </c>
      <c r="AH126" s="109" t="str">
        <f>IFERROR(__xludf.DUMMYFUNCTION("""COMPUTED_VALUE"""),"CZE")</f>
        <v>CZE</v>
      </c>
      <c r="AI126" s="6"/>
      <c r="AJ126" s="21"/>
      <c r="AK126" s="22"/>
      <c r="AL126" s="6"/>
      <c r="AM126" s="6"/>
      <c r="AN126" s="22"/>
      <c r="AO126" s="22"/>
      <c r="AP126" s="22"/>
      <c r="AQ126" s="22"/>
      <c r="AR126" s="6"/>
      <c r="AS126" s="6"/>
      <c r="AT126" s="6"/>
      <c r="AU126" s="6"/>
      <c r="AV126" s="4"/>
      <c r="AW126" s="6"/>
      <c r="AX126" s="149"/>
      <c r="AY126" s="180"/>
      <c r="AZ126" s="180"/>
    </row>
    <row r="127" ht="15.0" customHeight="1">
      <c r="A127" s="15" t="str">
        <f>IFERROR(__xludf.DUMMYFUNCTION("arrayformula(ifna(vlookup(QUERY({index(Wallchart,, COLUMN() + 1)}, ""where Col1 &lt;&gt; '' limit ""&amp;$AK$12&amp;"" offset ""&amp;CHAR2NUM($AB127) * $AK$12,0), teamInfo, 2, 0), """"))"),"TUR")</f>
        <v>TUR</v>
      </c>
      <c r="B127" s="7">
        <f>indirect("Wallchart!R"&amp;row() - $AK$11 * CHAR2NUM($AB127)&amp;"C"&amp;column() + 1&amp;":R"&amp;row() - $AK$11 * CHAR2NUM($AB127) + $AK$12 - 1&amp;"C"&amp;column() + 2, false)</f>
        <v>1</v>
      </c>
      <c r="C127" s="7">
        <v>0.0</v>
      </c>
      <c r="D127" s="17" t="str">
        <f>IFERROR(__xludf.DUMMYFUNCTION("arrayformula(ifna(vlookup(QUERY({index(Wallchart,, COLUMN() + 1)}, ""where Col1 &lt;&gt; '' limit ""&amp;$AK$12&amp;"" offset ""&amp;CHAR2NUM($AB127) * $AK$12,0), teamInfo, 2, 0), """"))"),"GEO")</f>
        <v>GEO</v>
      </c>
      <c r="E127" s="22">
        <f t="shared" ref="E127:E132" si="58">ifs(or($B127 = "", $C127 = ""), "", $B127 &gt; $C127, 3, $B127 = $C127, 1, $B127 &lt; $C127, 0)</f>
        <v>3</v>
      </c>
      <c r="F127" s="22">
        <f t="shared" ref="F127:F132" si="59">ifs(or($B127 = "", $C127 = ""), "", $B127 &lt; $C127, 3, $B127 = $C127, 1, $B127 &gt; $C127, 0)</f>
        <v>0</v>
      </c>
      <c r="G127" s="114" t="str">
        <f t="array" ref="G127:Q127">$G$2:$Q$2</f>
        <v>Code</v>
      </c>
      <c r="H127" s="115" t="s">
        <v>26</v>
      </c>
      <c r="I127" s="114" t="s">
        <v>7</v>
      </c>
      <c r="J127" s="175" t="s">
        <v>8</v>
      </c>
      <c r="K127" s="114" t="s">
        <v>9</v>
      </c>
      <c r="L127" s="114" t="s">
        <v>10</v>
      </c>
      <c r="M127" s="114" t="s">
        <v>11</v>
      </c>
      <c r="N127" s="114" t="s">
        <v>12</v>
      </c>
      <c r="O127" s="114" t="s">
        <v>13</v>
      </c>
      <c r="P127" s="114" t="s">
        <v>14</v>
      </c>
      <c r="Q127" s="114" t="s">
        <v>73</v>
      </c>
      <c r="R127" s="22"/>
      <c r="S127" s="22"/>
      <c r="T127" s="22"/>
      <c r="U127" s="22"/>
      <c r="V127" s="22"/>
      <c r="W127" s="22"/>
      <c r="X127" s="22"/>
      <c r="Y127" s="22"/>
      <c r="Z127" s="22"/>
      <c r="AA127" s="22"/>
      <c r="AB127" s="8" t="str">
        <f t="shared" si="1"/>
        <v>F</v>
      </c>
      <c r="AC127" s="116" t="s">
        <v>74</v>
      </c>
      <c r="AD127" s="117" t="str">
        <f>IFERROR(__xludf.DUMMYFUNCTION("arrayformula(transpose(split(rept(concatenate(query({teamInfo}, ""select Col2 where Col3 = '""&amp;AB126&amp;""'"",0)&amp;""~""), 3), ""~"")))"),"TUR")</f>
        <v>TUR</v>
      </c>
      <c r="AE127" s="181"/>
      <c r="AF127" s="49">
        <f>IFERROR(__xludf.DUMMYFUNCTION("ifna(query({indirect(""Group""&amp;$AB127)},""select Col5 where Col1 = '""&amp;$AD127&amp;""' and Col4 = '""&amp;indirect(address(CHAR2NUM($AB127)*$AK$13 + 1, column()))&amp;""'"",0),
      query({INDIRECT(""Group""&amp;$AB127)},""select Col6 where Col1 = '""&amp;indirect(address(CH"&amp;"AR2NUM($AB127)*$AK$13  + 1, column()))&amp;""' and Col4 = '""&amp;$AD127&amp;""'"",0))"),3.0)</f>
        <v>3</v>
      </c>
      <c r="AG127" s="49">
        <f>IFERROR(__xludf.DUMMYFUNCTION("ifna(query({indirect(""Group""&amp;$AB127)},""select Col5 where Col1 = '""&amp;$AD127&amp;""' and Col4 = '""&amp;indirect(address(CHAR2NUM($AB127)*$AK$13 + 1, column()))&amp;""'"",0),
      query({INDIRECT(""Group""&amp;$AB127)},""select Col6 where Col1 = '""&amp;indirect(address(CH"&amp;"AR2NUM($AB127)*$AK$13  + 1, column()))&amp;""' and Col4 = '""&amp;$AD127&amp;""'"",0))"),3.0)</f>
        <v>3</v>
      </c>
      <c r="AH127" s="49">
        <f>IFERROR(__xludf.DUMMYFUNCTION("ifna(query({indirect(""Group""&amp;$AB127)},""select Col5 where Col1 = '""&amp;$AD127&amp;""' and Col4 = '""&amp;indirect(address(CHAR2NUM($AB127)*$AK$13 + 1, column()))&amp;""'"",0),
      query({INDIRECT(""Group""&amp;$AB127)},""select Col6 where Col1 = '""&amp;indirect(address(CH"&amp;"AR2NUM($AB127)*$AK$13  + 1, column()))&amp;""' and Col4 = '""&amp;$AD127&amp;""'"",0))"),0.0)</f>
        <v>0</v>
      </c>
      <c r="AI127" s="15">
        <f t="array" ref="AI127:AI138">ROUNDUP(sequence($AK$3*3)/$AK$3,0)</f>
        <v>1</v>
      </c>
      <c r="AJ127" s="21"/>
      <c r="AK127" s="22"/>
      <c r="AL127" s="6"/>
      <c r="AM127" s="6"/>
      <c r="AN127" s="22"/>
      <c r="AO127" s="22"/>
      <c r="AP127" s="22"/>
      <c r="AQ127" s="22"/>
      <c r="AR127" s="6"/>
      <c r="AS127" s="6"/>
      <c r="AT127" s="6"/>
      <c r="AU127" s="6"/>
      <c r="AV127" s="22"/>
      <c r="AW127" s="6"/>
      <c r="AX127" s="149"/>
      <c r="AY127" s="180"/>
      <c r="AZ127" s="180"/>
    </row>
    <row r="128" ht="15.0" customHeight="1">
      <c r="A128" s="15" t="str">
        <f>IFERROR(__xludf.DUMMYFUNCTION("""COMPUTED_VALUE"""),"POR")</f>
        <v>POR</v>
      </c>
      <c r="B128" s="7">
        <v>1.0</v>
      </c>
      <c r="C128" s="7">
        <v>0.0</v>
      </c>
      <c r="D128" s="17" t="str">
        <f>IFERROR(__xludf.DUMMYFUNCTION("""COMPUTED_VALUE"""),"CZE")</f>
        <v>CZE</v>
      </c>
      <c r="E128" s="22">
        <f t="shared" si="58"/>
        <v>3</v>
      </c>
      <c r="F128" s="22">
        <f t="shared" si="59"/>
        <v>0</v>
      </c>
      <c r="G128" s="117" t="str">
        <f>IFERROR(__xludf.DUMMYFUNCTION("query({teamInfo}, ""select Col2, Col1 where Col3 = '""&amp;AB128&amp;""'"", 0)"),"TUR")</f>
        <v>TUR</v>
      </c>
      <c r="H128" s="128" t="str">
        <f>IFERROR(__xludf.DUMMYFUNCTION("""COMPUTED_VALUE"""),"Türkiye")</f>
        <v>Türkiye</v>
      </c>
      <c r="I128" s="49">
        <f t="shared" ref="I128:I131" si="60">sum(J128:L128)</f>
        <v>3</v>
      </c>
      <c r="J128" s="48">
        <f>IFERROR(__xludf.DUMMYFUNCTION("sum(query(indirect(""Group""&amp;$AB128),""select count(E) where A = '""&amp;$G128&amp;""' and E = 3"",0), query(indirect(""Group""&amp;$AB128),""select count(F) where D = '""&amp;$G128&amp;""' and F = 3"",0))"),2.0)</f>
        <v>2</v>
      </c>
      <c r="K128" s="49">
        <f>IFERROR(__xludf.DUMMYFUNCTION("sum(query(indirect(""Group""&amp;$AB128),""select count(E) where A = '""&amp;$G128&amp;""' and E = 1"",0), query(indirect(""Group""&amp;$AB128),""select count(F) where D = '""&amp;$G128&amp;""' and F = 1"",0))"),0.0)</f>
        <v>0</v>
      </c>
      <c r="L128" s="49">
        <f>IFERROR(__xludf.DUMMYFUNCTION("sum(query(indirect(""Group""&amp;$AB128),""select count(E) where A = '""&amp;$G128&amp;""' and E = 0"",0), query(indirect(""Group""&amp;$AB128),""select count(F) where D = '""&amp;$G128&amp;""' and F = 0"",0))"),1.0)</f>
        <v>1</v>
      </c>
      <c r="M128" s="49">
        <f>IFERROR(__xludf.DUMMYFUNCTION("ifna(sum(query(indirect(""Group""&amp;$AB128),""select B where A = '""&amp;$G128&amp;""'"",0), query(indirect(""Group""&amp;$AB128),""select C where D = '""&amp;$G128&amp;""'"",0)),0)"),2.0)</f>
        <v>2</v>
      </c>
      <c r="N128" s="49">
        <f>IFERROR(__xludf.DUMMYFUNCTION("ifna(sum(query(indirect(""Group""&amp;$AB128),""select C where A = '""&amp;$G128&amp;""'"",0), query(indirect(""Group""&amp;$AB128),""select B where D = '""&amp;$G128&amp;""'"",0)), 0)"),1.0)</f>
        <v>1</v>
      </c>
      <c r="O128" s="49">
        <f t="shared" ref="O128:O131" si="61">M128-N128</f>
        <v>1</v>
      </c>
      <c r="P128" s="49">
        <f t="shared" ref="P128:P131" si="62">J128*3+K128-abs(Q128)</f>
        <v>6</v>
      </c>
      <c r="Q128" s="140"/>
      <c r="R128" s="129" t="str">
        <f>$R$3</f>
        <v>The last column will only be used if points have been deducted.</v>
      </c>
      <c r="U128" s="177"/>
      <c r="V128" s="177"/>
      <c r="W128" s="177"/>
      <c r="X128" s="177"/>
      <c r="Y128" s="177"/>
      <c r="Z128" s="177"/>
      <c r="AA128" s="177"/>
      <c r="AB128" s="8" t="str">
        <f t="shared" si="1"/>
        <v>F</v>
      </c>
      <c r="AC128" s="131"/>
      <c r="AD128" s="117" t="str">
        <f>IFERROR(__xludf.DUMMYFUNCTION("""COMPUTED_VALUE"""),"POR")</f>
        <v>POR</v>
      </c>
      <c r="AE128" s="49">
        <f>IFERROR(__xludf.DUMMYFUNCTION("ifna(query({indirect(""Group""&amp;$AB128)},""select Col5 where Col1 = '""&amp;$AD128&amp;""' and Col4 = '""&amp;indirect(address(CHAR2NUM($AB128)*$AK$13 + 1, column()))&amp;""'"",0),
      query({INDIRECT(""Group""&amp;$AB128)},""select Col6 where Col1 = '""&amp;indirect(address(CH"&amp;"AR2NUM($AB128)*$AK$13  + 1, column()))&amp;""' and Col4 = '""&amp;$AD128&amp;""'"",0))"),0.0)</f>
        <v>0</v>
      </c>
      <c r="AF128" s="118"/>
      <c r="AG128" s="49">
        <f>IFERROR(__xludf.DUMMYFUNCTION("ifna(query({indirect(""Group""&amp;$AB128)},""select Col5 where Col1 = '""&amp;$AD128&amp;""' and Col4 = '""&amp;indirect(address(CHAR2NUM($AB128)*$AK$13 + 1, column()))&amp;""'"",0),
      query({INDIRECT(""Group""&amp;$AB128)},""select Col6 where Col1 = '""&amp;indirect(address(CH"&amp;"AR2NUM($AB128)*$AK$13  + 1, column()))&amp;""' and Col4 = '""&amp;$AD128&amp;""'"",0))"),0.0)</f>
        <v>0</v>
      </c>
      <c r="AH128" s="49">
        <f>IFERROR(__xludf.DUMMYFUNCTION("ifna(query({indirect(""Group""&amp;$AB128)},""select Col5 where Col1 = '""&amp;$AD128&amp;""' and Col4 = '""&amp;indirect(address(CHAR2NUM($AB128)*$AK$13 + 1, column()))&amp;""'"",0),
      query({INDIRECT(""Group""&amp;$AB128)},""select Col6 where Col1 = '""&amp;indirect(address(CH"&amp;"AR2NUM($AB128)*$AK$13  + 1, column()))&amp;""' and Col4 = '""&amp;$AD128&amp;""'"",0))"),3.0)</f>
        <v>3</v>
      </c>
      <c r="AI128" s="6">
        <v>1.0</v>
      </c>
      <c r="AJ128" s="21"/>
      <c r="AK128" s="22"/>
      <c r="AL128" s="6"/>
      <c r="AM128" s="6"/>
      <c r="AN128" s="22"/>
      <c r="AO128" s="22"/>
      <c r="AP128" s="22"/>
      <c r="AQ128" s="22"/>
      <c r="AR128" s="6"/>
      <c r="AS128" s="6"/>
      <c r="AT128" s="6"/>
      <c r="AU128" s="6"/>
      <c r="AV128" s="22"/>
      <c r="AW128" s="6"/>
      <c r="AX128" s="149"/>
      <c r="AY128" s="180"/>
      <c r="AZ128" s="180"/>
    </row>
    <row r="129" ht="15.0" customHeight="1">
      <c r="A129" s="15" t="str">
        <f>IFERROR(__xludf.DUMMYFUNCTION("""COMPUTED_VALUE"""),"GEO")</f>
        <v>GEO</v>
      </c>
      <c r="B129" s="7">
        <v>1.0</v>
      </c>
      <c r="C129" s="7">
        <v>0.0</v>
      </c>
      <c r="D129" s="17" t="str">
        <f>IFERROR(__xludf.DUMMYFUNCTION("""COMPUTED_VALUE"""),"CZE")</f>
        <v>CZE</v>
      </c>
      <c r="E129" s="22">
        <f t="shared" si="58"/>
        <v>3</v>
      </c>
      <c r="F129" s="22">
        <f t="shared" si="59"/>
        <v>0</v>
      </c>
      <c r="G129" s="117" t="str">
        <f>IFERROR(__xludf.DUMMYFUNCTION("""COMPUTED_VALUE"""),"POR")</f>
        <v>POR</v>
      </c>
      <c r="H129" s="144" t="str">
        <f>IFERROR(__xludf.DUMMYFUNCTION("""COMPUTED_VALUE"""),"Portugal")</f>
        <v>Portugal</v>
      </c>
      <c r="I129" s="49">
        <f t="shared" si="60"/>
        <v>3</v>
      </c>
      <c r="J129" s="48">
        <f>IFERROR(__xludf.DUMMYFUNCTION("sum(query(indirect(""Group""&amp;$AB129),""select count(E) where A = '""&amp;$G129&amp;""' and E = 3"",0), query(indirect(""Group""&amp;$AB129),""select count(F) where D = '""&amp;$G129&amp;""' and F = 3"",0))"),1.0)</f>
        <v>1</v>
      </c>
      <c r="K129" s="49">
        <f>IFERROR(__xludf.DUMMYFUNCTION("sum(query(indirect(""Group""&amp;$AB129),""select count(E) where A = '""&amp;$G129&amp;""' and E = 1"",0), query(indirect(""Group""&amp;$AB129),""select count(F) where D = '""&amp;$G129&amp;""' and F = 1"",0))"),0.0)</f>
        <v>0</v>
      </c>
      <c r="L129" s="49">
        <f>IFERROR(__xludf.DUMMYFUNCTION("sum(query(indirect(""Group""&amp;$AB129),""select count(E) where A = '""&amp;$G129&amp;""' and E = 0"",0), query(indirect(""Group""&amp;$AB129),""select count(F) where D = '""&amp;$G129&amp;""' and F = 0"",0))"),2.0)</f>
        <v>2</v>
      </c>
      <c r="M129" s="49">
        <f>IFERROR(__xludf.DUMMYFUNCTION("ifna(sum(query(indirect(""Group""&amp;$AB129),""select B where A = '""&amp;$G129&amp;""'"",0), query(indirect(""Group""&amp;$AB129),""select C where D = '""&amp;$G129&amp;""'"",0)),0)"),1.0)</f>
        <v>1</v>
      </c>
      <c r="N129" s="49">
        <f>IFERROR(__xludf.DUMMYFUNCTION("ifna(sum(query(indirect(""Group""&amp;$AB129),""select C where A = '""&amp;$G129&amp;""'"",0), query(indirect(""Group""&amp;$AB129),""select B where D = '""&amp;$G129&amp;""'"",0)), 0)"),2.0)</f>
        <v>2</v>
      </c>
      <c r="O129" s="49">
        <f t="shared" si="61"/>
        <v>-1</v>
      </c>
      <c r="P129" s="49">
        <f t="shared" si="62"/>
        <v>3</v>
      </c>
      <c r="Q129" s="140"/>
      <c r="U129" s="177"/>
      <c r="V129" s="177"/>
      <c r="W129" s="177"/>
      <c r="X129" s="177"/>
      <c r="Y129" s="177"/>
      <c r="Z129" s="177"/>
      <c r="AA129" s="177"/>
      <c r="AB129" s="8" t="str">
        <f t="shared" si="1"/>
        <v>F</v>
      </c>
      <c r="AC129" s="131"/>
      <c r="AD129" s="117" t="str">
        <f>IFERROR(__xludf.DUMMYFUNCTION("""COMPUTED_VALUE"""),"GEO")</f>
        <v>GEO</v>
      </c>
      <c r="AE129" s="49">
        <f>IFERROR(__xludf.DUMMYFUNCTION("ifna(query({indirect(""Group""&amp;$AB129)},""select Col5 where Col1 = '""&amp;$AD129&amp;""' and Col4 = '""&amp;indirect(address(CHAR2NUM($AB129)*$AK$13 + 1, column()))&amp;""'"",0),
      query({INDIRECT(""Group""&amp;$AB129)},""select Col6 where Col1 = '""&amp;indirect(address(CH"&amp;"AR2NUM($AB129)*$AK$13  + 1, column()))&amp;""' and Col4 = '""&amp;$AD129&amp;""'"",0))"),0.0)</f>
        <v>0</v>
      </c>
      <c r="AF129" s="49">
        <f>IFERROR(__xludf.DUMMYFUNCTION("ifna(query({indirect(""Group""&amp;$AB129)},""select Col5 where Col1 = '""&amp;$AD129&amp;""' and Col4 = '""&amp;indirect(address(CHAR2NUM($AB129)*$AK$13 + 1, column()))&amp;""'"",0),
      query({INDIRECT(""Group""&amp;$AB129)},""select Col6 where Col1 = '""&amp;indirect(address(CH"&amp;"AR2NUM($AB129)*$AK$13  + 1, column()))&amp;""' and Col4 = '""&amp;$AD129&amp;""'"",0))"),3.0)</f>
        <v>3</v>
      </c>
      <c r="AG129" s="118"/>
      <c r="AH129" s="49">
        <f>IFERROR(__xludf.DUMMYFUNCTION("ifna(query({indirect(""Group""&amp;$AB129)},""select Col5 where Col1 = '""&amp;$AD129&amp;""' and Col4 = '""&amp;indirect(address(CHAR2NUM($AB129)*$AK$13 + 1, column()))&amp;""'"",0),
      query({INDIRECT(""Group""&amp;$AB129)},""select Col6 where Col1 = '""&amp;indirect(address(CH"&amp;"AR2NUM($AB129)*$AK$13  + 1, column()))&amp;""' and Col4 = '""&amp;$AD129&amp;""'"",0))"),3.0)</f>
        <v>3</v>
      </c>
      <c r="AI129" s="6">
        <v>1.0</v>
      </c>
      <c r="AJ129" s="21"/>
      <c r="AK129" s="22"/>
      <c r="AL129" s="6"/>
      <c r="AM129" s="6"/>
      <c r="AN129" s="22"/>
      <c r="AO129" s="22"/>
      <c r="AP129" s="22"/>
      <c r="AQ129" s="22"/>
      <c r="AR129" s="6"/>
      <c r="AS129" s="6"/>
      <c r="AT129" s="6"/>
      <c r="AU129" s="6"/>
      <c r="AV129" s="22"/>
      <c r="AW129" s="6"/>
      <c r="AX129" s="149"/>
      <c r="AY129" s="180"/>
      <c r="AZ129" s="180"/>
    </row>
    <row r="130" ht="15.0" customHeight="1">
      <c r="A130" s="15" t="str">
        <f>IFERROR(__xludf.DUMMYFUNCTION("""COMPUTED_VALUE"""),"TUR")</f>
        <v>TUR</v>
      </c>
      <c r="B130" s="7">
        <v>1.0</v>
      </c>
      <c r="C130" s="7">
        <v>0.0</v>
      </c>
      <c r="D130" s="17" t="str">
        <f>IFERROR(__xludf.DUMMYFUNCTION("""COMPUTED_VALUE"""),"POR")</f>
        <v>POR</v>
      </c>
      <c r="E130" s="22">
        <f t="shared" si="58"/>
        <v>3</v>
      </c>
      <c r="F130" s="22">
        <f t="shared" si="59"/>
        <v>0</v>
      </c>
      <c r="G130" s="117" t="str">
        <f>IFERROR(__xludf.DUMMYFUNCTION("""COMPUTED_VALUE"""),"GEO")</f>
        <v>GEO</v>
      </c>
      <c r="H130" s="144" t="str">
        <f>IFERROR(__xludf.DUMMYFUNCTION("""COMPUTED_VALUE"""),"Georgia")</f>
        <v>Georgia</v>
      </c>
      <c r="I130" s="49">
        <f t="shared" si="60"/>
        <v>3</v>
      </c>
      <c r="J130" s="48">
        <f>IFERROR(__xludf.DUMMYFUNCTION("sum(query(indirect(""Group""&amp;$AB130),""select count(E) where A = '""&amp;$G130&amp;""' and E = 3"",0), query(indirect(""Group""&amp;$AB130),""select count(F) where D = '""&amp;$G130&amp;""' and F = 3"",0))"),2.0)</f>
        <v>2</v>
      </c>
      <c r="K130" s="49">
        <f>IFERROR(__xludf.DUMMYFUNCTION("sum(query(indirect(""Group""&amp;$AB130),""select count(E) where A = '""&amp;$G130&amp;""' and E = 1"",0), query(indirect(""Group""&amp;$AB130),""select count(F) where D = '""&amp;$G130&amp;""' and F = 1"",0))"),0.0)</f>
        <v>0</v>
      </c>
      <c r="L130" s="49">
        <f>IFERROR(__xludf.DUMMYFUNCTION("sum(query(indirect(""Group""&amp;$AB130),""select count(E) where A = '""&amp;$G130&amp;""' and E = 0"",0), query(indirect(""Group""&amp;$AB130),""select count(F) where D = '""&amp;$G130&amp;""' and F = 0"",0))"),1.0)</f>
        <v>1</v>
      </c>
      <c r="M130" s="49">
        <f>IFERROR(__xludf.DUMMYFUNCTION("ifna(sum(query(indirect(""Group""&amp;$AB130),""select B where A = '""&amp;$G130&amp;""'"",0), query(indirect(""Group""&amp;$AB130),""select C where D = '""&amp;$G130&amp;""'"",0)),0)"),2.0)</f>
        <v>2</v>
      </c>
      <c r="N130" s="49">
        <f>IFERROR(__xludf.DUMMYFUNCTION("ifna(sum(query(indirect(""Group""&amp;$AB130),""select C where A = '""&amp;$G130&amp;""'"",0), query(indirect(""Group""&amp;$AB130),""select B where D = '""&amp;$G130&amp;""'"",0)), 0)"),1.0)</f>
        <v>1</v>
      </c>
      <c r="O130" s="49">
        <f t="shared" si="61"/>
        <v>1</v>
      </c>
      <c r="P130" s="49">
        <f t="shared" si="62"/>
        <v>6</v>
      </c>
      <c r="Q130" s="16"/>
      <c r="U130" s="177"/>
      <c r="V130" s="177"/>
      <c r="W130" s="177"/>
      <c r="X130" s="177"/>
      <c r="Y130" s="177"/>
      <c r="Z130" s="177"/>
      <c r="AA130" s="177"/>
      <c r="AB130" s="8" t="str">
        <f t="shared" si="1"/>
        <v>F</v>
      </c>
      <c r="AC130" s="133"/>
      <c r="AD130" s="117" t="str">
        <f>IFERROR(__xludf.DUMMYFUNCTION("""COMPUTED_VALUE"""),"CZE")</f>
        <v>CZE</v>
      </c>
      <c r="AE130" s="49">
        <f>IFERROR(__xludf.DUMMYFUNCTION("ifna(query({indirect(""Group""&amp;$AB130)},""select Col5 where Col1 = '""&amp;$AD130&amp;""' and Col4 = '""&amp;indirect(address(CHAR2NUM($AB130)*$AK$13 + 1, column()))&amp;""'"",0),
      query({INDIRECT(""Group""&amp;$AB130)},""select Col6 where Col1 = '""&amp;indirect(address(CH"&amp;"AR2NUM($AB130)*$AK$13  + 1, column()))&amp;""' and Col4 = '""&amp;$AD130&amp;""'"",0))"),3.0)</f>
        <v>3</v>
      </c>
      <c r="AF130" s="49">
        <f>IFERROR(__xludf.DUMMYFUNCTION("ifna(query({indirect(""Group""&amp;$AB130)},""select Col5 where Col1 = '""&amp;$AD130&amp;""' and Col4 = '""&amp;indirect(address(CHAR2NUM($AB130)*$AK$13 + 1, column()))&amp;""'"",0),
      query({INDIRECT(""Group""&amp;$AB130)},""select Col6 where Col1 = '""&amp;indirect(address(CH"&amp;"AR2NUM($AB130)*$AK$13  + 1, column()))&amp;""' and Col4 = '""&amp;$AD130&amp;""'"",0))"),0.0)</f>
        <v>0</v>
      </c>
      <c r="AG130" s="49">
        <f>IFERROR(__xludf.DUMMYFUNCTION("ifna(query({indirect(""Group""&amp;$AB130)},""select Col5 where Col1 = '""&amp;$AD130&amp;""' and Col4 = '""&amp;indirect(address(CHAR2NUM($AB130)*$AK$13 + 1, column()))&amp;""'"",0),
      query({INDIRECT(""Group""&amp;$AB130)},""select Col6 where Col1 = '""&amp;indirect(address(CH"&amp;"AR2NUM($AB130)*$AK$13  + 1, column()))&amp;""' and Col4 = '""&amp;$AD130&amp;""'"",0))"),0.0)</f>
        <v>0</v>
      </c>
      <c r="AH130" s="118"/>
      <c r="AI130" s="6">
        <v>1.0</v>
      </c>
      <c r="AJ130" s="21"/>
      <c r="AK130" s="22"/>
      <c r="AL130" s="6"/>
      <c r="AM130" s="6"/>
      <c r="AN130" s="22"/>
      <c r="AO130" s="22"/>
      <c r="AP130" s="22"/>
      <c r="AQ130" s="22"/>
      <c r="AR130" s="6"/>
      <c r="AS130" s="6"/>
      <c r="AT130" s="6"/>
      <c r="AU130" s="6"/>
      <c r="AV130" s="22"/>
      <c r="AW130" s="6"/>
      <c r="AX130" s="149"/>
      <c r="AY130" s="180"/>
      <c r="AZ130" s="180"/>
    </row>
    <row r="131" ht="15.0" customHeight="1">
      <c r="A131" s="15" t="str">
        <f>IFERROR(__xludf.DUMMYFUNCTION("""COMPUTED_VALUE"""),"GEO")</f>
        <v>GEO</v>
      </c>
      <c r="B131" s="7">
        <v>1.0</v>
      </c>
      <c r="C131" s="7">
        <v>0.0</v>
      </c>
      <c r="D131" s="17" t="str">
        <f>IFERROR(__xludf.DUMMYFUNCTION("""COMPUTED_VALUE"""),"POR")</f>
        <v>POR</v>
      </c>
      <c r="E131" s="22">
        <f t="shared" si="58"/>
        <v>3</v>
      </c>
      <c r="F131" s="22">
        <f t="shared" si="59"/>
        <v>0</v>
      </c>
      <c r="G131" s="117" t="str">
        <f>IFERROR(__xludf.DUMMYFUNCTION("""COMPUTED_VALUE"""),"CZE")</f>
        <v>CZE</v>
      </c>
      <c r="H131" s="144" t="str">
        <f>IFERROR(__xludf.DUMMYFUNCTION("""COMPUTED_VALUE"""),"Czechia")</f>
        <v>Czechia</v>
      </c>
      <c r="I131" s="49">
        <f t="shared" si="60"/>
        <v>3</v>
      </c>
      <c r="J131" s="48">
        <f>IFERROR(__xludf.DUMMYFUNCTION("sum(query(indirect(""Group""&amp;$AB131),""select count(E) where A = '""&amp;$G131&amp;""' and E = 3"",0), query(indirect(""Group""&amp;$AB131),""select count(F) where D = '""&amp;$G131&amp;""' and F = 3"",0))"),1.0)</f>
        <v>1</v>
      </c>
      <c r="K131" s="49">
        <f>IFERROR(__xludf.DUMMYFUNCTION("sum(query(indirect(""Group""&amp;$AB131),""select count(E) where A = '""&amp;$G131&amp;""' and E = 1"",0), query(indirect(""Group""&amp;$AB131),""select count(F) where D = '""&amp;$G131&amp;""' and F = 1"",0))"),0.0)</f>
        <v>0</v>
      </c>
      <c r="L131" s="49">
        <f>IFERROR(__xludf.DUMMYFUNCTION("sum(query(indirect(""Group""&amp;$AB131),""select count(E) where A = '""&amp;$G131&amp;""' and E = 0"",0), query(indirect(""Group""&amp;$AB131),""select count(F) where D = '""&amp;$G131&amp;""' and F = 0"",0))"),2.0)</f>
        <v>2</v>
      </c>
      <c r="M131" s="49">
        <f>IFERROR(__xludf.DUMMYFUNCTION("ifna(sum(query(indirect(""Group""&amp;$AB131),""select B where A = '""&amp;$G131&amp;""'"",0), query(indirect(""Group""&amp;$AB131),""select C where D = '""&amp;$G131&amp;""'"",0)),0)"),1.0)</f>
        <v>1</v>
      </c>
      <c r="N131" s="49">
        <f>IFERROR(__xludf.DUMMYFUNCTION("ifna(sum(query(indirect(""Group""&amp;$AB131),""select C where A = '""&amp;$G131&amp;""'"",0), query(indirect(""Group""&amp;$AB131),""select B where D = '""&amp;$G131&amp;""'"",0)), 0)"),2.0)</f>
        <v>2</v>
      </c>
      <c r="O131" s="49">
        <f t="shared" si="61"/>
        <v>-1</v>
      </c>
      <c r="P131" s="49">
        <f t="shared" si="62"/>
        <v>3</v>
      </c>
      <c r="Q131" s="140"/>
      <c r="U131" s="177"/>
      <c r="V131" s="177"/>
      <c r="W131" s="177"/>
      <c r="X131" s="177"/>
      <c r="Y131" s="177"/>
      <c r="Z131" s="177"/>
      <c r="AA131" s="177"/>
      <c r="AB131" s="8" t="str">
        <f t="shared" si="1"/>
        <v>F</v>
      </c>
      <c r="AC131" s="116" t="s">
        <v>13</v>
      </c>
      <c r="AD131" s="117" t="str">
        <f>IFERROR(__xludf.DUMMYFUNCTION("""COMPUTED_VALUE"""),"TUR")</f>
        <v>TUR</v>
      </c>
      <c r="AE131" s="118"/>
      <c r="AF131" s="49">
        <f>IFERROR(__xludf.DUMMYFUNCTION("sum(iferror(query({indirect(""Group""&amp;$AB131)},""select Col2-Col3 where Col1 = '""&amp;$AD131&amp;""' and Col4 = '""&amp;indirect(address(CHAR2NUM($AB131)*$AK$13 + 1, column()))&amp;""'""),0),
     iferror(query({INDIRECT(""Group""&amp;$AB131)},""select Col3-Col2 where Col1 "&amp;"= '""&amp;indirect(address(CHAR2NUM($AB131)*$AK$13 + 1, column()))&amp;""' and Col4 = '""&amp;$AD131&amp;""'""),0))"),1.0)</f>
        <v>1</v>
      </c>
      <c r="AG131" s="49">
        <f>IFERROR(__xludf.DUMMYFUNCTION("sum(iferror(query({indirect(""Group""&amp;$AB131)},""select Col2-Col3 where Col1 = '""&amp;$AD131&amp;""' and Col4 = '""&amp;indirect(address(CHAR2NUM($AB131)*$AK$13 + 1, column()))&amp;""'""),0),
     iferror(query({INDIRECT(""Group""&amp;$AB131)},""select Col3-Col2 where Col1 "&amp;"= '""&amp;indirect(address(CHAR2NUM($AB131)*$AK$13 + 1, column()))&amp;""' and Col4 = '""&amp;$AD131&amp;""'""),0))"),1.0)</f>
        <v>1</v>
      </c>
      <c r="AH131" s="49">
        <f>IFERROR(__xludf.DUMMYFUNCTION("sum(iferror(query({indirect(""Group""&amp;$AB131)},""select Col2-Col3 where Col1 = '""&amp;$AD131&amp;""' and Col4 = '""&amp;indirect(address(CHAR2NUM($AB131)*$AK$13 + 1, column()))&amp;""'""),0),
     iferror(query({INDIRECT(""Group""&amp;$AB131)},""select Col3-Col2 where Col1 "&amp;"= '""&amp;indirect(address(CHAR2NUM($AB131)*$AK$13 + 1, column()))&amp;""' and Col4 = '""&amp;$AD131&amp;""'""),0))"),-1.0)</f>
        <v>-1</v>
      </c>
      <c r="AI131" s="6">
        <v>2.0</v>
      </c>
      <c r="AJ131" s="21"/>
      <c r="AK131" s="22"/>
      <c r="AL131" s="6"/>
      <c r="AM131" s="6"/>
      <c r="AN131" s="22"/>
      <c r="AO131" s="22"/>
      <c r="AP131" s="22"/>
      <c r="AQ131" s="22"/>
      <c r="AR131" s="6"/>
      <c r="AS131" s="6"/>
      <c r="AT131" s="6"/>
      <c r="AU131" s="6"/>
      <c r="AV131" s="22"/>
      <c r="AW131" s="6"/>
      <c r="AX131" s="149"/>
      <c r="AY131" s="180"/>
      <c r="AZ131" s="180"/>
    </row>
    <row r="132" ht="15.0" customHeight="1">
      <c r="A132" s="15" t="str">
        <f>IFERROR(__xludf.DUMMYFUNCTION("""COMPUTED_VALUE"""),"CZE")</f>
        <v>CZE</v>
      </c>
      <c r="B132" s="7">
        <v>1.0</v>
      </c>
      <c r="C132" s="7">
        <v>0.0</v>
      </c>
      <c r="D132" s="17" t="str">
        <f>IFERROR(__xludf.DUMMYFUNCTION("""COMPUTED_VALUE"""),"TUR")</f>
        <v>TUR</v>
      </c>
      <c r="E132" s="22">
        <f t="shared" si="58"/>
        <v>3</v>
      </c>
      <c r="F132" s="22">
        <f t="shared" si="59"/>
        <v>0</v>
      </c>
      <c r="G132" s="22"/>
      <c r="H132" s="33"/>
      <c r="I132" s="22">
        <f t="array" ref="I132:P132">$I$7:$P$7</f>
        <v>3</v>
      </c>
      <c r="J132" s="22">
        <v>4.0</v>
      </c>
      <c r="K132" s="22">
        <v>5.0</v>
      </c>
      <c r="L132" s="22">
        <v>6.0</v>
      </c>
      <c r="M132" s="22">
        <v>7.0</v>
      </c>
      <c r="N132" s="22">
        <v>8.0</v>
      </c>
      <c r="O132" s="22">
        <v>9.0</v>
      </c>
      <c r="P132" s="22">
        <v>10.0</v>
      </c>
      <c r="Q132" s="22"/>
      <c r="R132" s="22"/>
      <c r="S132" s="22"/>
      <c r="T132" s="22"/>
      <c r="U132" s="22"/>
      <c r="V132" s="22"/>
      <c r="W132" s="22"/>
      <c r="X132" s="22"/>
      <c r="Y132" s="22"/>
      <c r="Z132" s="22"/>
      <c r="AA132" s="22"/>
      <c r="AB132" s="8" t="str">
        <f t="shared" si="1"/>
        <v>F</v>
      </c>
      <c r="AC132" s="131"/>
      <c r="AD132" s="117" t="str">
        <f>IFERROR(__xludf.DUMMYFUNCTION("""COMPUTED_VALUE"""),"POR")</f>
        <v>POR</v>
      </c>
      <c r="AE132" s="49">
        <f>IFERROR(__xludf.DUMMYFUNCTION("sum(iferror(query({indirect(""Group""&amp;$AB132)},""select Col2-Col3 where Col1 = '""&amp;$AD132&amp;""' and Col4 = '""&amp;indirect(address(CHAR2NUM($AB132)*$AK$13 + 1, column()))&amp;""'""),0),
     iferror(query({INDIRECT(""Group""&amp;$AB132)},""select Col3-Col2 where Col1 "&amp;"= '""&amp;indirect(address(CHAR2NUM($AB132)*$AK$13 + 1, column()))&amp;""' and Col4 = '""&amp;$AD132&amp;""'""),0))"),-1.0)</f>
        <v>-1</v>
      </c>
      <c r="AF132" s="118"/>
      <c r="AG132" s="49">
        <f>IFERROR(__xludf.DUMMYFUNCTION("sum(iferror(query({indirect(""Group""&amp;$AB132)},""select Col2-Col3 where Col1 = '""&amp;$AD132&amp;""' and Col4 = '""&amp;indirect(address(CHAR2NUM($AB132)*$AK$13 + 1, column()))&amp;""'""),0),
     iferror(query({INDIRECT(""Group""&amp;$AB132)},""select Col3-Col2 where Col1 "&amp;"= '""&amp;indirect(address(CHAR2NUM($AB132)*$AK$13 + 1, column()))&amp;""' and Col4 = '""&amp;$AD132&amp;""'""),0))"),-1.0)</f>
        <v>-1</v>
      </c>
      <c r="AH132" s="49">
        <f>IFERROR(__xludf.DUMMYFUNCTION("sum(iferror(query({indirect(""Group""&amp;$AB132)},""select Col2-Col3 where Col1 = '""&amp;$AD132&amp;""' and Col4 = '""&amp;indirect(address(CHAR2NUM($AB132)*$AK$13 + 1, column()))&amp;""'""),0),
     iferror(query({INDIRECT(""Group""&amp;$AB132)},""select Col3-Col2 where Col1 "&amp;"= '""&amp;indirect(address(CHAR2NUM($AB132)*$AK$13 + 1, column()))&amp;""' and Col4 = '""&amp;$AD132&amp;""'""),0))"),1.0)</f>
        <v>1</v>
      </c>
      <c r="AI132" s="6">
        <v>2.0</v>
      </c>
      <c r="AJ132" s="21"/>
      <c r="AK132" s="22"/>
      <c r="AL132" s="6"/>
      <c r="AM132" s="6"/>
      <c r="AN132" s="22"/>
      <c r="AO132" s="22"/>
      <c r="AP132" s="22"/>
      <c r="AQ132" s="22"/>
      <c r="AR132" s="6"/>
      <c r="AS132" s="6"/>
      <c r="AT132" s="6"/>
      <c r="AU132" s="6"/>
      <c r="AV132" s="22"/>
      <c r="AW132" s="6"/>
      <c r="AX132" s="149"/>
      <c r="AY132" s="180"/>
      <c r="AZ132" s="180"/>
    </row>
    <row r="133" ht="15.0" customHeight="1">
      <c r="A133" s="99" t="str">
        <f>$A$8</f>
        <v>Teams are sorted by points. If teams are tied then the following tie-breaking criteria are applied:
1) Head-to-head: a) points b) goal difference c) goals scored
2) If teams are still tied, use 1) with tied teams
3) Overall: a) goal difference b) goals scored
4) Penalties: If two teams face-off in the last round of the group stage, have the same number of points, goals scored and conceded, and their score finishes level then their ranking is determined by a penalty shoot-out (not used if more than two teams have equal points)</v>
      </c>
      <c r="G133" s="114" t="str">
        <f t="array" ref="G133:T133">$G$8:$T$8</f>
        <v>Code</v>
      </c>
      <c r="H133" s="115" t="s">
        <v>26</v>
      </c>
      <c r="I133" s="114" t="s">
        <v>7</v>
      </c>
      <c r="J133" s="114" t="s">
        <v>8</v>
      </c>
      <c r="K133" s="114" t="s">
        <v>9</v>
      </c>
      <c r="L133" s="114" t="s">
        <v>10</v>
      </c>
      <c r="M133" s="114" t="s">
        <v>11</v>
      </c>
      <c r="N133" s="114" t="s">
        <v>12</v>
      </c>
      <c r="O133" s="114" t="s">
        <v>13</v>
      </c>
      <c r="P133" s="114" t="s">
        <v>14</v>
      </c>
      <c r="Q133" s="108" t="s">
        <v>99</v>
      </c>
      <c r="R133" s="108" t="s">
        <v>100</v>
      </c>
      <c r="S133" s="108" t="s">
        <v>101</v>
      </c>
      <c r="T133" s="108" t="s">
        <v>102</v>
      </c>
      <c r="U133" s="22"/>
      <c r="V133" s="22"/>
      <c r="W133" s="22"/>
      <c r="X133" s="22"/>
      <c r="Y133" s="22"/>
      <c r="Z133" s="22"/>
      <c r="AA133" s="22"/>
      <c r="AB133" s="8" t="str">
        <f t="shared" si="1"/>
        <v>F</v>
      </c>
      <c r="AC133" s="131"/>
      <c r="AD133" s="117" t="str">
        <f>IFERROR(__xludf.DUMMYFUNCTION("""COMPUTED_VALUE"""),"GEO")</f>
        <v>GEO</v>
      </c>
      <c r="AE133" s="49">
        <f>IFERROR(__xludf.DUMMYFUNCTION("sum(iferror(query({indirect(""Group""&amp;$AB133)},""select Col2-Col3 where Col1 = '""&amp;$AD133&amp;""' and Col4 = '""&amp;indirect(address(CHAR2NUM($AB133)*$AK$13 + 1, column()))&amp;""'""),0),
     iferror(query({INDIRECT(""Group""&amp;$AB133)},""select Col3-Col2 where Col1 "&amp;"= '""&amp;indirect(address(CHAR2NUM($AB133)*$AK$13 + 1, column()))&amp;""' and Col4 = '""&amp;$AD133&amp;""'""),0))"),-1.0)</f>
        <v>-1</v>
      </c>
      <c r="AF133" s="49">
        <f>IFERROR(__xludf.DUMMYFUNCTION("sum(iferror(query({indirect(""Group""&amp;$AB133)},""select Col2-Col3 where Col1 = '""&amp;$AD133&amp;""' and Col4 = '""&amp;indirect(address(CHAR2NUM($AB133)*$AK$13 + 1, column()))&amp;""'""),0),
     iferror(query({INDIRECT(""Group""&amp;$AB133)},""select Col3-Col2 where Col1 "&amp;"= '""&amp;indirect(address(CHAR2NUM($AB133)*$AK$13 + 1, column()))&amp;""' and Col4 = '""&amp;$AD133&amp;""'""),0))"),1.0)</f>
        <v>1</v>
      </c>
      <c r="AG133" s="118"/>
      <c r="AH133" s="49">
        <f>IFERROR(__xludf.DUMMYFUNCTION("sum(iferror(query({indirect(""Group""&amp;$AB133)},""select Col2-Col3 where Col1 = '""&amp;$AD133&amp;""' and Col4 = '""&amp;indirect(address(CHAR2NUM($AB133)*$AK$13 + 1, column()))&amp;""'""),0),
     iferror(query({INDIRECT(""Group""&amp;$AB133)},""select Col3-Col2 where Col1 "&amp;"= '""&amp;indirect(address(CHAR2NUM($AB133)*$AK$13 + 1, column()))&amp;""' and Col4 = '""&amp;$AD133&amp;""'""),0))"),1.0)</f>
        <v>1</v>
      </c>
      <c r="AI133" s="6">
        <v>2.0</v>
      </c>
      <c r="AJ133" s="21"/>
      <c r="AK133" s="22"/>
      <c r="AL133" s="6"/>
      <c r="AM133" s="6"/>
      <c r="AN133" s="22"/>
      <c r="AO133" s="22"/>
      <c r="AP133" s="22"/>
      <c r="AQ133" s="22"/>
      <c r="AR133" s="6"/>
      <c r="AS133" s="6"/>
      <c r="AT133" s="6"/>
      <c r="AU133" s="6"/>
      <c r="AV133" s="22"/>
      <c r="AW133" s="6"/>
      <c r="AX133" s="149"/>
      <c r="AY133" s="180"/>
      <c r="AZ133" s="180"/>
    </row>
    <row r="134" ht="15.0" customHeight="1">
      <c r="G134" s="49" t="str">
        <f t="array" ref="G134:P137">sort(G128:P131, xlookup("Pts", $I$2:$P$2, $I$7:$P$7), false)</f>
        <v>TUR</v>
      </c>
      <c r="H134" s="144" t="s">
        <v>48</v>
      </c>
      <c r="I134" s="49">
        <v>3.0</v>
      </c>
      <c r="J134" s="49">
        <v>2.0</v>
      </c>
      <c r="K134" s="49">
        <v>0.0</v>
      </c>
      <c r="L134" s="49">
        <v>1.0</v>
      </c>
      <c r="M134" s="49">
        <v>2.0</v>
      </c>
      <c r="N134" s="49">
        <v>1.0</v>
      </c>
      <c r="O134" s="49">
        <v>1.0</v>
      </c>
      <c r="P134" s="49">
        <v>6.0</v>
      </c>
      <c r="Q134" s="145" t="str">
        <f>if(and(I134 &gt; 0, P134=P135),"A","")</f>
        <v>A</v>
      </c>
      <c r="R134" s="145">
        <f t="shared" ref="R134:R137" si="63">H2H($Q134,$G134,$AB134,{$G$134:$G$137,$Q$134:$Q$137},1)</f>
        <v>3</v>
      </c>
      <c r="S134" s="146">
        <f t="shared" ref="S134:S137" si="64">H2H($Q134,$G134,$AB134,{$G$134:$G$137,$Q$134:$Q$137},2)</f>
        <v>1</v>
      </c>
      <c r="T134" s="145">
        <f t="shared" ref="T134:T137" si="65">H2H($Q134,$G134,$AB134,{$G$134:$G$137,$Q$134:$Q$137},3)</f>
        <v>1</v>
      </c>
      <c r="U134" s="22"/>
      <c r="V134" s="22"/>
      <c r="W134" s="22"/>
      <c r="X134" s="22"/>
      <c r="Y134" s="22"/>
      <c r="Z134" s="22"/>
      <c r="AA134" s="22"/>
      <c r="AB134" s="8" t="str">
        <f t="shared" si="1"/>
        <v>F</v>
      </c>
      <c r="AC134" s="133"/>
      <c r="AD134" s="117" t="str">
        <f>IFERROR(__xludf.DUMMYFUNCTION("""COMPUTED_VALUE"""),"CZE")</f>
        <v>CZE</v>
      </c>
      <c r="AE134" s="49">
        <f>IFERROR(__xludf.DUMMYFUNCTION("sum(iferror(query({indirect(""Group""&amp;$AB134)},""select Col2-Col3 where Col1 = '""&amp;$AD134&amp;""' and Col4 = '""&amp;indirect(address(CHAR2NUM($AB134)*$AK$13 + 1, column()))&amp;""'""),0),
     iferror(query({INDIRECT(""Group""&amp;$AB134)},""select Col3-Col2 where Col1 "&amp;"= '""&amp;indirect(address(CHAR2NUM($AB134)*$AK$13 + 1, column()))&amp;""' and Col4 = '""&amp;$AD134&amp;""'""),0))"),1.0)</f>
        <v>1</v>
      </c>
      <c r="AF134" s="49">
        <f>IFERROR(__xludf.DUMMYFUNCTION("sum(iferror(query({indirect(""Group""&amp;$AB134)},""select Col2-Col3 where Col1 = '""&amp;$AD134&amp;""' and Col4 = '""&amp;indirect(address(CHAR2NUM($AB134)*$AK$13 + 1, column()))&amp;""'""),0),
     iferror(query({INDIRECT(""Group""&amp;$AB134)},""select Col3-Col2 where Col1 "&amp;"= '""&amp;indirect(address(CHAR2NUM($AB134)*$AK$13 + 1, column()))&amp;""' and Col4 = '""&amp;$AD134&amp;""'""),0))"),-1.0)</f>
        <v>-1</v>
      </c>
      <c r="AG134" s="49">
        <f>IFERROR(__xludf.DUMMYFUNCTION("sum(iferror(query({indirect(""Group""&amp;$AB134)},""select Col2-Col3 where Col1 = '""&amp;$AD134&amp;""' and Col4 = '""&amp;indirect(address(CHAR2NUM($AB134)*$AK$13 + 1, column()))&amp;""'""),0),
     iferror(query({INDIRECT(""Group""&amp;$AB134)},""select Col3-Col2 where Col1 "&amp;"= '""&amp;indirect(address(CHAR2NUM($AB134)*$AK$13 + 1, column()))&amp;""' and Col4 = '""&amp;$AD134&amp;""'""),0))"),-1.0)</f>
        <v>-1</v>
      </c>
      <c r="AH134" s="118"/>
      <c r="AI134" s="6">
        <v>2.0</v>
      </c>
      <c r="AJ134" s="21"/>
      <c r="AK134" s="22"/>
      <c r="AL134" s="6"/>
      <c r="AM134" s="6"/>
      <c r="AN134" s="22"/>
      <c r="AO134" s="22"/>
      <c r="AP134" s="22"/>
      <c r="AQ134" s="22"/>
      <c r="AR134" s="6"/>
      <c r="AS134" s="6"/>
      <c r="AT134" s="6"/>
      <c r="AU134" s="6"/>
      <c r="AV134" s="22"/>
      <c r="AW134" s="6"/>
      <c r="AX134" s="149"/>
      <c r="AY134" s="180"/>
      <c r="AZ134" s="180"/>
    </row>
    <row r="135" ht="15.0" customHeight="1">
      <c r="G135" s="49" t="s">
        <v>139</v>
      </c>
      <c r="H135" s="144" t="s">
        <v>49</v>
      </c>
      <c r="I135" s="49">
        <v>3.0</v>
      </c>
      <c r="J135" s="49">
        <v>2.0</v>
      </c>
      <c r="K135" s="49">
        <v>0.0</v>
      </c>
      <c r="L135" s="49">
        <v>1.0</v>
      </c>
      <c r="M135" s="49">
        <v>2.0</v>
      </c>
      <c r="N135" s="49">
        <v>1.0</v>
      </c>
      <c r="O135" s="49">
        <v>1.0</v>
      </c>
      <c r="P135" s="49">
        <v>6.0</v>
      </c>
      <c r="Q135" s="145" t="str">
        <f>ifs(I135 = 0, "", not(Q134 = ""), Q134, P135 = P136, "A", TRUE, "")</f>
        <v>A</v>
      </c>
      <c r="R135" s="145">
        <f t="shared" si="63"/>
        <v>0</v>
      </c>
      <c r="S135" s="146">
        <f t="shared" si="64"/>
        <v>-1</v>
      </c>
      <c r="T135" s="145">
        <f t="shared" si="65"/>
        <v>0</v>
      </c>
      <c r="U135" s="22"/>
      <c r="V135" s="22"/>
      <c r="W135" s="22"/>
      <c r="X135" s="22"/>
      <c r="Y135" s="22"/>
      <c r="Z135" s="22"/>
      <c r="AA135" s="22"/>
      <c r="AB135" s="8" t="str">
        <f t="shared" si="1"/>
        <v>F</v>
      </c>
      <c r="AC135" s="116" t="s">
        <v>110</v>
      </c>
      <c r="AD135" s="117" t="str">
        <f>IFERROR(__xludf.DUMMYFUNCTION("""COMPUTED_VALUE"""),"TUR")</f>
        <v>TUR</v>
      </c>
      <c r="AE135" s="118"/>
      <c r="AF135" s="49">
        <f>IFERROR(__xludf.DUMMYFUNCTION("ifna(query({indirect(""Group""&amp;$AB135)},""select Col2 where Col1 = '""&amp;$AD135&amp;""' and Col4 = '""&amp;indirect(address(CHAR2NUM($AB135)*$AK$13 + 1, column()))&amp;""'"",0),
      query({INDIRECT(""Group""&amp;$AB135)},""select Col3 where Col1 = '""&amp;indirect(address(CH"&amp;"AR2NUM($AB135)*$AK$13 + 1, column()))&amp;""' and Col4 = '""&amp;$AD135&amp;""'"",0))"),1.0)</f>
        <v>1</v>
      </c>
      <c r="AG135" s="49">
        <f>IFERROR(__xludf.DUMMYFUNCTION("ifna(query({indirect(""Group""&amp;$AB135)},""select Col2 where Col1 = '""&amp;$AD135&amp;""' and Col4 = '""&amp;indirect(address(CHAR2NUM($AB135)*$AK$13 + 1, column()))&amp;""'"",0),
      query({INDIRECT(""Group""&amp;$AB135)},""select Col3 where Col1 = '""&amp;indirect(address(CH"&amp;"AR2NUM($AB135)*$AK$13 + 1, column()))&amp;""' and Col4 = '""&amp;$AD135&amp;""'"",0))"),1.0)</f>
        <v>1</v>
      </c>
      <c r="AH135" s="49">
        <f>IFERROR(__xludf.DUMMYFUNCTION("ifna(query({indirect(""Group""&amp;$AB135)},""select Col2 where Col1 = '""&amp;$AD135&amp;""' and Col4 = '""&amp;indirect(address(CHAR2NUM($AB135)*$AK$13 + 1, column()))&amp;""'"",0),
      query({INDIRECT(""Group""&amp;$AB135)},""select Col3 where Col1 = '""&amp;indirect(address(CH"&amp;"AR2NUM($AB135)*$AK$13 + 1, column()))&amp;""' and Col4 = '""&amp;$AD135&amp;""'"",0))"),0.0)</f>
        <v>0</v>
      </c>
      <c r="AI135" s="6">
        <v>3.0</v>
      </c>
      <c r="AJ135" s="21"/>
      <c r="AK135" s="22"/>
      <c r="AL135" s="6"/>
      <c r="AM135" s="6"/>
      <c r="AN135" s="22"/>
      <c r="AO135" s="22"/>
      <c r="AP135" s="22"/>
      <c r="AQ135" s="22"/>
      <c r="AR135" s="6"/>
      <c r="AS135" s="6"/>
      <c r="AT135" s="6"/>
      <c r="AU135" s="6"/>
      <c r="AV135" s="22"/>
      <c r="AW135" s="6"/>
      <c r="AX135" s="149"/>
      <c r="AY135" s="180"/>
      <c r="AZ135" s="180"/>
    </row>
    <row r="136" ht="15.0" customHeight="1">
      <c r="G136" s="49" t="s">
        <v>138</v>
      </c>
      <c r="H136" s="144" t="s">
        <v>29</v>
      </c>
      <c r="I136" s="49">
        <v>3.0</v>
      </c>
      <c r="J136" s="49">
        <v>1.0</v>
      </c>
      <c r="K136" s="49">
        <v>0.0</v>
      </c>
      <c r="L136" s="49">
        <v>2.0</v>
      </c>
      <c r="M136" s="49">
        <v>1.0</v>
      </c>
      <c r="N136" s="49">
        <v>2.0</v>
      </c>
      <c r="O136" s="49">
        <v>-1.0</v>
      </c>
      <c r="P136" s="49">
        <v>3.0</v>
      </c>
      <c r="Q136" s="145" t="str">
        <f>ifs(I136 = 0, "", P135 = P136, Q135, P136 = P137, if(Q135 = "A", "B", "A"), TRUE, "")</f>
        <v>B</v>
      </c>
      <c r="R136" s="145">
        <f t="shared" si="63"/>
        <v>3</v>
      </c>
      <c r="S136" s="146">
        <f t="shared" si="64"/>
        <v>1</v>
      </c>
      <c r="T136" s="145">
        <f t="shared" si="65"/>
        <v>1</v>
      </c>
      <c r="U136" s="22"/>
      <c r="V136" s="22"/>
      <c r="W136" s="22"/>
      <c r="X136" s="22"/>
      <c r="Y136" s="22"/>
      <c r="Z136" s="22"/>
      <c r="AA136" s="22"/>
      <c r="AB136" s="8" t="str">
        <f t="shared" si="1"/>
        <v>F</v>
      </c>
      <c r="AC136" s="131"/>
      <c r="AD136" s="117" t="str">
        <f>IFERROR(__xludf.DUMMYFUNCTION("""COMPUTED_VALUE"""),"POR")</f>
        <v>POR</v>
      </c>
      <c r="AE136" s="49">
        <f>IFERROR(__xludf.DUMMYFUNCTION("ifna(query({indirect(""Group""&amp;$AB136)},""select Col2 where Col1 = '""&amp;$AD136&amp;""' and Col4 = '""&amp;indirect(address(CHAR2NUM($AB136)*$AK$13 + 1, column()))&amp;""'"",0),
      query({INDIRECT(""Group""&amp;$AB136)},""select Col3 where Col1 = '""&amp;indirect(address(CH"&amp;"AR2NUM($AB136)*$AK$13 + 1, column()))&amp;""' and Col4 = '""&amp;$AD136&amp;""'"",0))"),0.0)</f>
        <v>0</v>
      </c>
      <c r="AF136" s="118"/>
      <c r="AG136" s="49">
        <f>IFERROR(__xludf.DUMMYFUNCTION("ifna(query({indirect(""Group""&amp;$AB136)},""select Col2 where Col1 = '""&amp;$AD136&amp;""' and Col4 = '""&amp;indirect(address(CHAR2NUM($AB136)*$AK$13 + 1, column()))&amp;""'"",0),
      query({INDIRECT(""Group""&amp;$AB136)},""select Col3 where Col1 = '""&amp;indirect(address(CH"&amp;"AR2NUM($AB136)*$AK$13 + 1, column()))&amp;""' and Col4 = '""&amp;$AD136&amp;""'"",0))"),0.0)</f>
        <v>0</v>
      </c>
      <c r="AH136" s="49">
        <f>IFERROR(__xludf.DUMMYFUNCTION("ifna(query({indirect(""Group""&amp;$AB136)},""select Col2 where Col1 = '""&amp;$AD136&amp;""' and Col4 = '""&amp;indirect(address(CHAR2NUM($AB136)*$AK$13 + 1, column()))&amp;""'"",0),
      query({INDIRECT(""Group""&amp;$AB136)},""select Col3 where Col1 = '""&amp;indirect(address(CH"&amp;"AR2NUM($AB136)*$AK$13 + 1, column()))&amp;""' and Col4 = '""&amp;$AD136&amp;""'"",0))"),1.0)</f>
        <v>1</v>
      </c>
      <c r="AI136" s="6">
        <v>3.0</v>
      </c>
      <c r="AJ136" s="21"/>
      <c r="AK136" s="22"/>
      <c r="AL136" s="6"/>
      <c r="AM136" s="6"/>
      <c r="AN136" s="22"/>
      <c r="AO136" s="22"/>
      <c r="AP136" s="22"/>
      <c r="AQ136" s="22"/>
      <c r="AR136" s="6"/>
      <c r="AS136" s="6"/>
      <c r="AT136" s="6"/>
      <c r="AU136" s="6"/>
      <c r="AV136" s="22"/>
      <c r="AW136" s="6"/>
      <c r="AX136" s="149"/>
      <c r="AY136" s="180"/>
      <c r="AZ136" s="180"/>
    </row>
    <row r="137" ht="15.0" customHeight="1">
      <c r="G137" s="49" t="s">
        <v>140</v>
      </c>
      <c r="H137" s="144" t="s">
        <v>51</v>
      </c>
      <c r="I137" s="49">
        <v>3.0</v>
      </c>
      <c r="J137" s="49">
        <v>1.0</v>
      </c>
      <c r="K137" s="49">
        <v>0.0</v>
      </c>
      <c r="L137" s="49">
        <v>2.0</v>
      </c>
      <c r="M137" s="49">
        <v>1.0</v>
      </c>
      <c r="N137" s="49">
        <v>2.0</v>
      </c>
      <c r="O137" s="49">
        <v>-1.0</v>
      </c>
      <c r="P137" s="49">
        <v>3.0</v>
      </c>
      <c r="Q137" s="145" t="str">
        <f>if(and(I137 &gt; 0, P136 = P137), Q136, "")</f>
        <v>B</v>
      </c>
      <c r="R137" s="145">
        <f t="shared" si="63"/>
        <v>0</v>
      </c>
      <c r="S137" s="146">
        <f t="shared" si="64"/>
        <v>-1</v>
      </c>
      <c r="T137" s="145">
        <f t="shared" si="65"/>
        <v>0</v>
      </c>
      <c r="U137" s="22"/>
      <c r="V137" s="22"/>
      <c r="W137" s="22"/>
      <c r="X137" s="22"/>
      <c r="Y137" s="22"/>
      <c r="Z137" s="22"/>
      <c r="AA137" s="22"/>
      <c r="AB137" s="8" t="str">
        <f t="shared" si="1"/>
        <v>F</v>
      </c>
      <c r="AC137" s="131"/>
      <c r="AD137" s="117" t="str">
        <f>IFERROR(__xludf.DUMMYFUNCTION("""COMPUTED_VALUE"""),"GEO")</f>
        <v>GEO</v>
      </c>
      <c r="AE137" s="49">
        <f>IFERROR(__xludf.DUMMYFUNCTION("ifna(query({indirect(""Group""&amp;$AB137)},""select Col2 where Col1 = '""&amp;$AD137&amp;""' and Col4 = '""&amp;indirect(address(CHAR2NUM($AB137)*$AK$13 + 1, column()))&amp;""'"",0),
      query({INDIRECT(""Group""&amp;$AB137)},""select Col3 where Col1 = '""&amp;indirect(address(CH"&amp;"AR2NUM($AB137)*$AK$13 + 1, column()))&amp;""' and Col4 = '""&amp;$AD137&amp;""'"",0))"),0.0)</f>
        <v>0</v>
      </c>
      <c r="AF137" s="49">
        <f>IFERROR(__xludf.DUMMYFUNCTION("ifna(query({indirect(""Group""&amp;$AB137)},""select Col2 where Col1 = '""&amp;$AD137&amp;""' and Col4 = '""&amp;indirect(address(CHAR2NUM($AB137)*$AK$13 + 1, column()))&amp;""'"",0),
      query({INDIRECT(""Group""&amp;$AB137)},""select Col3 where Col1 = '""&amp;indirect(address(CH"&amp;"AR2NUM($AB137)*$AK$13 + 1, column()))&amp;""' and Col4 = '""&amp;$AD137&amp;""'"",0))"),1.0)</f>
        <v>1</v>
      </c>
      <c r="AG137" s="118"/>
      <c r="AH137" s="49">
        <f>IFERROR(__xludf.DUMMYFUNCTION("ifna(query({indirect(""Group""&amp;$AB137)},""select Col2 where Col1 = '""&amp;$AD137&amp;""' and Col4 = '""&amp;indirect(address(CHAR2NUM($AB137)*$AK$13 + 1, column()))&amp;""'"",0),
      query({INDIRECT(""Group""&amp;$AB137)},""select Col3 where Col1 = '""&amp;indirect(address(CH"&amp;"AR2NUM($AB137)*$AK$13 + 1, column()))&amp;""' and Col4 = '""&amp;$AD137&amp;""'"",0))"),1.0)</f>
        <v>1</v>
      </c>
      <c r="AI137" s="6">
        <v>3.0</v>
      </c>
      <c r="AJ137" s="21"/>
      <c r="AK137" s="22"/>
      <c r="AL137" s="6"/>
      <c r="AM137" s="6"/>
      <c r="AN137" s="22"/>
      <c r="AO137" s="22"/>
      <c r="AP137" s="22"/>
      <c r="AQ137" s="22"/>
      <c r="AR137" s="6"/>
      <c r="AS137" s="6"/>
      <c r="AT137" s="6"/>
      <c r="AU137" s="6"/>
      <c r="AV137" s="22"/>
      <c r="AW137" s="6"/>
      <c r="AX137" s="149"/>
      <c r="AY137" s="180"/>
      <c r="AZ137" s="180"/>
    </row>
    <row r="138" ht="15.0" customHeight="1">
      <c r="G138" s="22"/>
      <c r="H138" s="33"/>
      <c r="I138" s="22">
        <f t="array" ref="I138:T138">$I$13:$T$13</f>
        <v>3</v>
      </c>
      <c r="J138" s="22">
        <v>4.0</v>
      </c>
      <c r="K138" s="22">
        <v>5.0</v>
      </c>
      <c r="L138" s="22">
        <v>6.0</v>
      </c>
      <c r="M138" s="22">
        <v>7.0</v>
      </c>
      <c r="N138" s="22">
        <v>8.0</v>
      </c>
      <c r="O138" s="22">
        <v>9.0</v>
      </c>
      <c r="P138" s="22">
        <v>10.0</v>
      </c>
      <c r="Q138" s="22">
        <v>11.0</v>
      </c>
      <c r="R138" s="22">
        <v>12.0</v>
      </c>
      <c r="S138" s="22">
        <v>13.0</v>
      </c>
      <c r="T138" s="22">
        <v>14.0</v>
      </c>
      <c r="U138" s="22"/>
      <c r="V138" s="22"/>
      <c r="W138" s="22"/>
      <c r="X138" s="22"/>
      <c r="Y138" s="22"/>
      <c r="Z138" s="22"/>
      <c r="AA138" s="22"/>
      <c r="AB138" s="8" t="str">
        <f t="shared" si="1"/>
        <v>F</v>
      </c>
      <c r="AC138" s="133"/>
      <c r="AD138" s="117" t="str">
        <f>IFERROR(__xludf.DUMMYFUNCTION("""COMPUTED_VALUE"""),"CZE")</f>
        <v>CZE</v>
      </c>
      <c r="AE138" s="49">
        <f>IFERROR(__xludf.DUMMYFUNCTION("ifna(query({indirect(""Group""&amp;$AB138)},""select Col2 where Col1 = '""&amp;$AD138&amp;""' and Col4 = '""&amp;indirect(address(CHAR2NUM($AB138)*$AK$13 + 1, column()))&amp;""'"",0),
      query({INDIRECT(""Group""&amp;$AB138)},""select Col3 where Col1 = '""&amp;indirect(address(CH"&amp;"AR2NUM($AB138)*$AK$13 + 1, column()))&amp;""' and Col4 = '""&amp;$AD138&amp;""'"",0))"),1.0)</f>
        <v>1</v>
      </c>
      <c r="AF138" s="49">
        <f>IFERROR(__xludf.DUMMYFUNCTION("ifna(query({indirect(""Group""&amp;$AB138)},""select Col2 where Col1 = '""&amp;$AD138&amp;""' and Col4 = '""&amp;indirect(address(CHAR2NUM($AB138)*$AK$13 + 1, column()))&amp;""'"",0),
      query({INDIRECT(""Group""&amp;$AB138)},""select Col3 where Col1 = '""&amp;indirect(address(CH"&amp;"AR2NUM($AB138)*$AK$13 + 1, column()))&amp;""' and Col4 = '""&amp;$AD138&amp;""'"",0))"),0.0)</f>
        <v>0</v>
      </c>
      <c r="AG138" s="49">
        <f>IFERROR(__xludf.DUMMYFUNCTION("ifna(query({indirect(""Group""&amp;$AB138)},""select Col2 where Col1 = '""&amp;$AD138&amp;""' and Col4 = '""&amp;indirect(address(CHAR2NUM($AB138)*$AK$13 + 1, column()))&amp;""'"",0),
      query({INDIRECT(""Group""&amp;$AB138)},""select Col3 where Col1 = '""&amp;indirect(address(CH"&amp;"AR2NUM($AB138)*$AK$13 + 1, column()))&amp;""' and Col4 = '""&amp;$AD138&amp;""'"",0))"),0.0)</f>
        <v>0</v>
      </c>
      <c r="AH138" s="118"/>
      <c r="AI138" s="6">
        <v>3.0</v>
      </c>
      <c r="AJ138" s="21"/>
      <c r="AK138" s="22"/>
      <c r="AL138" s="6"/>
      <c r="AM138" s="6"/>
      <c r="AN138" s="22"/>
      <c r="AO138" s="22"/>
      <c r="AP138" s="22"/>
      <c r="AQ138" s="22"/>
      <c r="AR138" s="6"/>
      <c r="AS138" s="6"/>
      <c r="AT138" s="6"/>
      <c r="AU138" s="6"/>
      <c r="AV138" s="22"/>
      <c r="AW138" s="6"/>
      <c r="AX138" s="149"/>
      <c r="AY138" s="180"/>
      <c r="AZ138" s="180"/>
    </row>
    <row r="139" ht="15.0" customHeight="1">
      <c r="G139" s="114" t="str">
        <f t="array" ref="G139:AA139">$G$14:$AA$14</f>
        <v>Code</v>
      </c>
      <c r="H139" s="115" t="s">
        <v>26</v>
      </c>
      <c r="I139" s="114" t="s">
        <v>7</v>
      </c>
      <c r="J139" s="114" t="s">
        <v>8</v>
      </c>
      <c r="K139" s="114" t="s">
        <v>9</v>
      </c>
      <c r="L139" s="114" t="s">
        <v>10</v>
      </c>
      <c r="M139" s="114" t="s">
        <v>11</v>
      </c>
      <c r="N139" s="114" t="s">
        <v>12</v>
      </c>
      <c r="O139" s="114" t="s">
        <v>13</v>
      </c>
      <c r="P139" s="114" t="s">
        <v>14</v>
      </c>
      <c r="Q139" s="114" t="s">
        <v>99</v>
      </c>
      <c r="R139" s="162" t="s">
        <v>100</v>
      </c>
      <c r="S139" s="162" t="s">
        <v>101</v>
      </c>
      <c r="T139" s="162" t="s">
        <v>102</v>
      </c>
      <c r="U139" s="108" t="s">
        <v>121</v>
      </c>
      <c r="V139" s="108" t="s">
        <v>122</v>
      </c>
      <c r="W139" s="153" t="s">
        <v>123</v>
      </c>
      <c r="X139" s="108" t="s">
        <v>124</v>
      </c>
      <c r="Y139" s="154" t="s">
        <v>125</v>
      </c>
      <c r="Z139" s="154" t="s">
        <v>126</v>
      </c>
      <c r="AA139" s="154" t="s">
        <v>127</v>
      </c>
      <c r="AB139" s="8" t="str">
        <f t="shared" si="1"/>
        <v>F</v>
      </c>
      <c r="AC139" s="6"/>
      <c r="AD139" s="6"/>
      <c r="AE139" s="6"/>
      <c r="AF139" s="6"/>
      <c r="AG139" s="6"/>
      <c r="AH139" s="6"/>
      <c r="AI139" s="6"/>
      <c r="AJ139" s="21"/>
      <c r="AK139" s="22"/>
      <c r="AL139" s="6"/>
      <c r="AM139" s="6"/>
      <c r="AN139" s="22"/>
      <c r="AO139" s="22"/>
      <c r="AP139" s="22"/>
      <c r="AQ139" s="22"/>
      <c r="AR139" s="6"/>
      <c r="AS139" s="6"/>
      <c r="AT139" s="6"/>
      <c r="AU139" s="6"/>
      <c r="AV139" s="22"/>
      <c r="AW139" s="6"/>
      <c r="AX139" s="149"/>
      <c r="AY139" s="180"/>
      <c r="AZ139" s="180"/>
    </row>
    <row r="140" ht="15.0" customHeight="1">
      <c r="G140" s="49" t="str">
        <f t="array" ref="G140:T143">sort(G134:T137, xlookup("Pts", $I$8:$T$8, $I$13:$T$13), false,
              xlookup("P1", $I$8:$T$8, $I$13:$T$13), false, xlookup("G1", $I$8:$T$8, $I$13:$T$13), false, xlookup("F1", $I$8:$T$8, $I$13:$T$13), false,
              xlookup("GD", $I$8:$T$8, $I$13:$T$13), false, xlookup("F", $I$8:$T$8, $I$13:$T$13), false)</f>
        <v>TUR</v>
      </c>
      <c r="H140" s="144" t="s">
        <v>48</v>
      </c>
      <c r="I140" s="49">
        <v>3.0</v>
      </c>
      <c r="J140" s="49">
        <v>2.0</v>
      </c>
      <c r="K140" s="49">
        <v>0.0</v>
      </c>
      <c r="L140" s="49">
        <v>1.0</v>
      </c>
      <c r="M140" s="49">
        <v>2.0</v>
      </c>
      <c r="N140" s="49">
        <v>1.0</v>
      </c>
      <c r="O140" s="49">
        <v>1.0</v>
      </c>
      <c r="P140" s="49">
        <v>6.0</v>
      </c>
      <c r="Q140" s="49" t="s">
        <v>12</v>
      </c>
      <c r="R140" s="49">
        <v>3.0</v>
      </c>
      <c r="S140" s="50">
        <v>1.0</v>
      </c>
      <c r="T140" s="49">
        <v>1.0</v>
      </c>
      <c r="U140" s="145" t="str">
        <f>if(not(Q140=""),if(and(R140=R141,S140=S141,T140=T141),Q140,""),"")</f>
        <v/>
      </c>
      <c r="V140" s="145" t="str">
        <f t="shared" ref="V140:V143" si="66">H2H($U140,$G140,$AB140,{$G$140:$G$143,$U$140:$U$143},1)</f>
        <v/>
      </c>
      <c r="W140" s="146" t="str">
        <f t="shared" ref="W140:W143" si="67">H2H($U140,$G140,$AB140,{$G$140:$G$143,$U$140:$U$143},2)</f>
        <v/>
      </c>
      <c r="X140" s="145" t="str">
        <f t="shared" ref="X140:X143" si="68">H2H($U140,$G140,$AB140,{$G$140:$G$143,$U$140:$U$143},3)</f>
        <v/>
      </c>
      <c r="Y140" s="155" t="str">
        <f>IFERROR(__xludf.DUMMYFUNCTION("ifna(query({indirect(""Penalties""&amp;$AB140)},""select Col2 where Col1 = '""&amp;G140&amp;""'"",0), query({indirect(""Penalties""&amp;$AB140)},""select Col3 where Col4 = '""&amp;G140&amp;""'"",0))"),"")</f>
        <v/>
      </c>
      <c r="Z140" s="155">
        <f t="array" ref="Z140:Z143">xlookup(indirect(address(row(), column($G:$G), 4)&amp;":"&amp;address(row() + $AK$3 - 1, column($G:$G))), index(teamInfo,,2), index(teamInfo,,7))</f>
        <v>0</v>
      </c>
      <c r="AA140" s="155">
        <f>IFERROR(__xludf.DUMMYFUNCTION("if(xlookup($G140, index(teamInfo,,2), index(teamInfo,,11)) = """",
    xlookup($G140, index(teamInfo,,2), index(teamInfo,,8)), query({teamInfo}, ""select Col11 where Col2 = '""&amp;$G140&amp;""'"", 0))"),7.0)</f>
        <v>7</v>
      </c>
      <c r="AB140" s="8" t="str">
        <f t="shared" si="1"/>
        <v>F</v>
      </c>
      <c r="AC140" s="7" t="str">
        <f>"Group "&amp;AB139&amp;" Ranking Explanation"</f>
        <v>Group F Ranking Explanation</v>
      </c>
      <c r="AI140" s="6"/>
      <c r="AJ140" s="21"/>
      <c r="AK140" s="22"/>
      <c r="AL140" s="6"/>
      <c r="AM140" s="6"/>
      <c r="AN140" s="22"/>
      <c r="AO140" s="22"/>
      <c r="AP140" s="22"/>
      <c r="AQ140" s="22"/>
      <c r="AR140" s="6"/>
      <c r="AS140" s="6"/>
      <c r="AT140" s="6"/>
      <c r="AU140" s="6"/>
      <c r="AV140" s="22"/>
      <c r="AW140" s="6"/>
      <c r="AX140" s="149"/>
      <c r="AY140" s="180"/>
      <c r="AZ140" s="180"/>
    </row>
    <row r="141" ht="15.0" customHeight="1">
      <c r="G141" s="49" t="s">
        <v>139</v>
      </c>
      <c r="H141" s="144" t="s">
        <v>49</v>
      </c>
      <c r="I141" s="49">
        <v>3.0</v>
      </c>
      <c r="J141" s="49">
        <v>2.0</v>
      </c>
      <c r="K141" s="49">
        <v>0.0</v>
      </c>
      <c r="L141" s="49">
        <v>1.0</v>
      </c>
      <c r="M141" s="49">
        <v>2.0</v>
      </c>
      <c r="N141" s="49">
        <v>1.0</v>
      </c>
      <c r="O141" s="49">
        <v>1.0</v>
      </c>
      <c r="P141" s="49">
        <v>6.0</v>
      </c>
      <c r="Q141" s="49" t="s">
        <v>12</v>
      </c>
      <c r="R141" s="49">
        <v>0.0</v>
      </c>
      <c r="S141" s="50">
        <v>-1.0</v>
      </c>
      <c r="T141" s="49">
        <v>0.0</v>
      </c>
      <c r="U141" s="145" t="str">
        <f>if(not(Q141=""),if(and(R140=R141,S140=S141,T140=T141),Q140,if(and(R141=R142,S141=S142,T141=T142),Q141,"")),"")</f>
        <v/>
      </c>
      <c r="V141" s="145" t="str">
        <f t="shared" si="66"/>
        <v/>
      </c>
      <c r="W141" s="146" t="str">
        <f t="shared" si="67"/>
        <v/>
      </c>
      <c r="X141" s="145" t="str">
        <f t="shared" si="68"/>
        <v/>
      </c>
      <c r="Y141" s="155" t="str">
        <f>IFERROR(__xludf.DUMMYFUNCTION("ifna(query({indirect(""Penalties""&amp;$AB141)},""select Col2 where Col1 = '""&amp;G141&amp;""'"",0), query({indirect(""Penalties""&amp;$AB141)},""select Col3 where Col4 = '""&amp;G141&amp;""'"",0))"),"")</f>
        <v/>
      </c>
      <c r="Z141" s="155">
        <v>0.0</v>
      </c>
      <c r="AA141" s="155">
        <f>IFERROR(__xludf.DUMMYFUNCTION("if(xlookup($G141, index(teamInfo,,2), index(teamInfo,,11)) = """",
    xlookup($G141, index(teamInfo,,2), index(teamInfo,,8)), query({teamInfo}, ""select Col11 where Col2 = '""&amp;$G141&amp;""'"", 0))"),34.0)</f>
        <v>34</v>
      </c>
      <c r="AB141" s="8" t="str">
        <f t="shared" si="1"/>
        <v>F</v>
      </c>
      <c r="AC141" s="156"/>
      <c r="AD141" s="59"/>
      <c r="AE141" s="59"/>
      <c r="AF141" s="59"/>
      <c r="AG141" s="59"/>
      <c r="AH141" s="60"/>
      <c r="AI141" s="6"/>
      <c r="AJ141" s="21"/>
      <c r="AK141" s="22"/>
      <c r="AL141" s="6"/>
      <c r="AM141" s="6"/>
      <c r="AN141" s="22"/>
      <c r="AO141" s="22"/>
      <c r="AP141" s="22"/>
      <c r="AQ141" s="22"/>
      <c r="AR141" s="6"/>
      <c r="AS141" s="6"/>
      <c r="AT141" s="6"/>
      <c r="AU141" s="6"/>
      <c r="AV141" s="22"/>
    </row>
    <row r="142" ht="15.0" customHeight="1">
      <c r="G142" s="49" t="s">
        <v>138</v>
      </c>
      <c r="H142" s="144" t="s">
        <v>29</v>
      </c>
      <c r="I142" s="49">
        <v>3.0</v>
      </c>
      <c r="J142" s="49">
        <v>1.0</v>
      </c>
      <c r="K142" s="49">
        <v>0.0</v>
      </c>
      <c r="L142" s="49">
        <v>2.0</v>
      </c>
      <c r="M142" s="49">
        <v>1.0</v>
      </c>
      <c r="N142" s="49">
        <v>2.0</v>
      </c>
      <c r="O142" s="49">
        <v>-1.0</v>
      </c>
      <c r="P142" s="49">
        <v>3.0</v>
      </c>
      <c r="Q142" s="49" t="s">
        <v>34</v>
      </c>
      <c r="R142" s="49">
        <v>3.0</v>
      </c>
      <c r="S142" s="50">
        <v>1.0</v>
      </c>
      <c r="T142" s="49">
        <v>1.0</v>
      </c>
      <c r="U142" s="145" t="str">
        <f>if(not(Q142=""),if(and(R141=R142,S141=S142,T141=T142),Q142,if(and(R142=R143,S142=S143,T142=T143),Q142,"")),"")</f>
        <v/>
      </c>
      <c r="V142" s="145" t="str">
        <f t="shared" si="66"/>
        <v/>
      </c>
      <c r="W142" s="146" t="str">
        <f t="shared" si="67"/>
        <v/>
      </c>
      <c r="X142" s="145" t="str">
        <f t="shared" si="68"/>
        <v/>
      </c>
      <c r="Y142" s="155" t="str">
        <f>IFERROR(__xludf.DUMMYFUNCTION("ifna(query({indirect(""Penalties""&amp;$AB142)},""select Col2 where Col1 = '""&amp;G142&amp;""'"",0), query({indirect(""Penalties""&amp;$AB142)},""select Col3 where Col4 = '""&amp;G142&amp;""'"",0))"),"")</f>
        <v/>
      </c>
      <c r="Z142" s="155">
        <v>0.0</v>
      </c>
      <c r="AA142" s="155">
        <f>IFERROR(__xludf.DUMMYFUNCTION("if(xlookup($G142, index(teamInfo,,2), index(teamInfo,,11)) = """",
    xlookup($G142, index(teamInfo,,2), index(teamInfo,,8)), query({teamInfo}, ""select Col11 where Col2 = '""&amp;$G142&amp;""'"", 0))"),1.0)</f>
        <v>1</v>
      </c>
      <c r="AB142" s="8" t="str">
        <f t="shared" si="1"/>
        <v>F</v>
      </c>
      <c r="AC142" s="157"/>
      <c r="AH142" s="158"/>
      <c r="AI142" s="6"/>
      <c r="AJ142" s="21"/>
      <c r="AK142" s="22"/>
      <c r="AL142" s="6"/>
      <c r="AM142" s="6"/>
      <c r="AN142" s="22"/>
      <c r="AO142" s="22"/>
      <c r="AP142" s="22"/>
      <c r="AQ142" s="22"/>
      <c r="AR142" s="6"/>
      <c r="AS142" s="6"/>
      <c r="AT142" s="6"/>
      <c r="AU142" s="6"/>
      <c r="AV142" s="22"/>
    </row>
    <row r="143" ht="15.0" customHeight="1">
      <c r="G143" s="49" t="s">
        <v>140</v>
      </c>
      <c r="H143" s="144" t="s">
        <v>51</v>
      </c>
      <c r="I143" s="49">
        <v>3.0</v>
      </c>
      <c r="J143" s="49">
        <v>1.0</v>
      </c>
      <c r="K143" s="49">
        <v>0.0</v>
      </c>
      <c r="L143" s="49">
        <v>2.0</v>
      </c>
      <c r="M143" s="49">
        <v>1.0</v>
      </c>
      <c r="N143" s="49">
        <v>2.0</v>
      </c>
      <c r="O143" s="49">
        <v>-1.0</v>
      </c>
      <c r="P143" s="49">
        <v>3.0</v>
      </c>
      <c r="Q143" s="49" t="s">
        <v>34</v>
      </c>
      <c r="R143" s="49">
        <v>0.0</v>
      </c>
      <c r="S143" s="50">
        <v>-1.0</v>
      </c>
      <c r="T143" s="49">
        <v>0.0</v>
      </c>
      <c r="U143" s="145" t="str">
        <f>if(not(Q143=""),if(and(R142=R143,S142=S143,T142=T143),Q143,""),"")</f>
        <v/>
      </c>
      <c r="V143" s="145" t="str">
        <f t="shared" si="66"/>
        <v/>
      </c>
      <c r="W143" s="146" t="str">
        <f t="shared" si="67"/>
        <v/>
      </c>
      <c r="X143" s="145" t="str">
        <f t="shared" si="68"/>
        <v/>
      </c>
      <c r="Y143" s="155" t="str">
        <f>IFERROR(__xludf.DUMMYFUNCTION("ifna(query({indirect(""Penalties""&amp;$AB143)},""select Col2 where Col1 = '""&amp;G143&amp;""'"",0), query({indirect(""Penalties""&amp;$AB143)},""select Col3 where Col4 = '""&amp;G143&amp;""'"",0))"),"")</f>
        <v/>
      </c>
      <c r="Z143" s="155">
        <v>0.0</v>
      </c>
      <c r="AA143" s="155">
        <f>IFERROR(__xludf.DUMMYFUNCTION("if(xlookup($G143, index(teamInfo,,2), index(teamInfo,,11)) = """",
    xlookup($G143, index(teamInfo,,2), index(teamInfo,,8)), query({teamInfo}, ""select Col11 where Col2 = '""&amp;$G143&amp;""'"", 0))"),17.0)</f>
        <v>17</v>
      </c>
      <c r="AB143" s="8" t="str">
        <f t="shared" si="1"/>
        <v>F</v>
      </c>
      <c r="AC143" s="157"/>
      <c r="AH143" s="158"/>
      <c r="AI143" s="73"/>
      <c r="AJ143" s="15"/>
      <c r="AK143" s="4"/>
      <c r="AL143" s="5"/>
      <c r="AM143" s="5"/>
      <c r="AN143" s="4"/>
      <c r="AO143" s="4"/>
      <c r="AP143" s="4"/>
      <c r="AQ143" s="4"/>
      <c r="AR143" s="5"/>
      <c r="AS143" s="5"/>
      <c r="AT143" s="5"/>
      <c r="AU143" s="5"/>
      <c r="AV143" s="22"/>
    </row>
    <row r="144" ht="15.0" customHeight="1">
      <c r="A144" s="21" t="str">
        <f>IFERROR(__xludf.DUMMYFUNCTION("query({indirect(""Group""&amp;$AB144)}, ""select Col""&amp;column()&amp;"" offset 4"")"),"GEO")</f>
        <v>GEO</v>
      </c>
      <c r="B144" s="16"/>
      <c r="C144" s="16"/>
      <c r="D144" s="6" t="str">
        <f>IFERROR(__xludf.DUMMYFUNCTION("query({indirect(""Group""&amp;$AB144)}, ""select Col""&amp;column()&amp;"" offset 4"")"),"POR")</f>
        <v>POR</v>
      </c>
      <c r="E144" s="99"/>
      <c r="F144" s="159"/>
      <c r="G144" s="22"/>
      <c r="H144" s="33"/>
      <c r="I144" s="22">
        <f t="array" ref="I144:AA144">$I$19:$AA$19</f>
        <v>2</v>
      </c>
      <c r="J144" s="22">
        <v>3.0</v>
      </c>
      <c r="K144" s="22">
        <v>4.0</v>
      </c>
      <c r="L144" s="22">
        <v>5.0</v>
      </c>
      <c r="M144" s="22">
        <v>6.0</v>
      </c>
      <c r="N144" s="22">
        <v>7.0</v>
      </c>
      <c r="O144" s="22">
        <v>8.0</v>
      </c>
      <c r="P144" s="22">
        <v>9.0</v>
      </c>
      <c r="Q144" s="22">
        <v>10.0</v>
      </c>
      <c r="R144" s="22">
        <v>11.0</v>
      </c>
      <c r="S144" s="22">
        <v>12.0</v>
      </c>
      <c r="T144" s="22">
        <v>13.0</v>
      </c>
      <c r="U144" s="22">
        <v>14.0</v>
      </c>
      <c r="V144" s="22">
        <v>15.0</v>
      </c>
      <c r="W144" s="22">
        <v>16.0</v>
      </c>
      <c r="X144" s="22">
        <v>17.0</v>
      </c>
      <c r="Y144" s="7">
        <v>18.0</v>
      </c>
      <c r="Z144" s="22">
        <v>19.0</v>
      </c>
      <c r="AA144" s="22">
        <v>20.0</v>
      </c>
      <c r="AB144" s="8" t="str">
        <f t="shared" si="1"/>
        <v>F</v>
      </c>
      <c r="AC144" s="157"/>
      <c r="AH144" s="158"/>
      <c r="AI144" s="5"/>
      <c r="AJ144" s="165"/>
      <c r="AK144" s="4"/>
      <c r="AL144" s="5"/>
      <c r="AM144" s="5"/>
      <c r="AN144" s="4"/>
      <c r="AO144" s="4"/>
      <c r="AP144" s="4"/>
      <c r="AQ144" s="4"/>
      <c r="AR144" s="5"/>
      <c r="AS144" s="5"/>
      <c r="AT144" s="5"/>
      <c r="AU144" s="5"/>
      <c r="AV144" s="4"/>
    </row>
    <row r="145" ht="15.0" customHeight="1">
      <c r="A145" s="21" t="str">
        <f>IFERROR(__xludf.DUMMYFUNCTION("""COMPUTED_VALUE"""),"CZE")</f>
        <v>CZE</v>
      </c>
      <c r="B145" s="16"/>
      <c r="C145" s="16"/>
      <c r="D145" s="6" t="str">
        <f>IFERROR(__xludf.DUMMYFUNCTION("""COMPUTED_VALUE"""),"TUR")</f>
        <v>TUR</v>
      </c>
      <c r="E145" s="99"/>
      <c r="F145" s="159"/>
      <c r="G145" s="160" t="str">
        <f>H139</f>
        <v>Team</v>
      </c>
      <c r="H145" s="3"/>
      <c r="I145" s="161" t="str">
        <f t="array" ref="I145:AA145">$I$14:$AA$14</f>
        <v>P</v>
      </c>
      <c r="J145" s="19" t="s">
        <v>8</v>
      </c>
      <c r="K145" s="19" t="s">
        <v>9</v>
      </c>
      <c r="L145" s="19" t="s">
        <v>10</v>
      </c>
      <c r="M145" s="19" t="s">
        <v>11</v>
      </c>
      <c r="N145" s="19" t="s">
        <v>12</v>
      </c>
      <c r="O145" s="19" t="s">
        <v>13</v>
      </c>
      <c r="P145" s="19" t="s">
        <v>14</v>
      </c>
      <c r="Q145" s="114" t="s">
        <v>99</v>
      </c>
      <c r="R145" s="162" t="s">
        <v>100</v>
      </c>
      <c r="S145" s="162" t="s">
        <v>101</v>
      </c>
      <c r="T145" s="162" t="s">
        <v>102</v>
      </c>
      <c r="U145" s="114" t="s">
        <v>121</v>
      </c>
      <c r="V145" s="162" t="s">
        <v>122</v>
      </c>
      <c r="W145" s="163" t="s">
        <v>123</v>
      </c>
      <c r="X145" s="162" t="s">
        <v>124</v>
      </c>
      <c r="Y145" s="162" t="s">
        <v>125</v>
      </c>
      <c r="Z145" s="114" t="s">
        <v>126</v>
      </c>
      <c r="AA145" s="162" t="s">
        <v>127</v>
      </c>
      <c r="AB145" s="8" t="str">
        <f t="shared" si="1"/>
        <v>F</v>
      </c>
      <c r="AC145" s="157"/>
      <c r="AH145" s="158"/>
      <c r="AI145" s="5"/>
      <c r="AJ145" s="165"/>
      <c r="AK145" s="4"/>
      <c r="AL145" s="5"/>
      <c r="AM145" s="5"/>
      <c r="AN145" s="4"/>
      <c r="AO145" s="4"/>
      <c r="AP145" s="4"/>
      <c r="AQ145" s="4"/>
      <c r="AR145" s="5"/>
      <c r="AS145" s="5"/>
      <c r="AT145" s="5"/>
      <c r="AU145" s="5"/>
      <c r="AV145" s="4"/>
    </row>
    <row r="146" ht="15.0" customHeight="1">
      <c r="A146" s="179" t="str">
        <f>IFERROR(__xludf.DUMMYFUNCTION("""5) Discipline
6) European qualifiers ranking""&amp;
if(ISNA(query({teamInfo}, ""select Col1 where Col3 = '""&amp;AB146&amp;""' and Col1 matches '""&amp;IF(counta(Hosts) &gt; 1, ""(""&amp;join(""|"", filter(Hosts,Hosts&lt;&gt;""""))&amp;"")"", ""(""&amp;{Hosts}&amp;"")"")&amp;""'"")),"""",
char(10)"&amp;"&amp;""Unless the comparison involves hosts ""&amp;query({teamInfo}, ""select Col1 where Col3 = '""&amp;AB146&amp;""' and Col1 matches '""&amp;IF(counta(Hosts) &gt; 1, ""(""&amp;join(""|"", filter(Hosts,Hosts&lt;&gt;""""))&amp;"")"", ""(""&amp;{Hosts}&amp;"")"")&amp;""'"")&amp;"", in which case a drawing of"&amp;" lots will take place (see note in cell ""&amp;regexextract(address(1,match(""DoL"",$1:$1,0),4), ""[A-Z]+"")&amp;""1)"")"),"5) Discipline
6) European qualifiers ranking")</f>
        <v>5) Discipline
6) European qualifiers ranking</v>
      </c>
      <c r="G146" s="23" t="str">
        <f t="array" ref="G146:G149">xlookup(H146:H149,index(teamInfo,,1),index(teamInfo,,9),"")</f>
        <v/>
      </c>
      <c r="H146" s="164" t="str">
        <f t="array" ref="H146:AA149">sort(H140:AA143, xlookup("Pts", $I$14:$AA$14, $I$19:$AA$19), false,
                xlookup("P1", $I$14:$AA$14, $I$19:$AA$19), false, xlookup("G1", $I$14:$AA$14, $I$19:$AA$19), false, xlookup("F1", $I$14:$AA$14, $I$19:$AA$19), false,
                xlookup("P2", $I$14:$AA$14, $I$19:$AA$19), false, xlookup("G2", $I$14:$AA$14, $I$19:$AA$19), false, xlookup("F2", $I$14:$AA$14, $I$19:$AA$19), false,
                xlookup("GD", $I$14:$AA$14, $I$19:$AA$19), false, xlookup("F", $I$14:$AA$14, $I$19:$AA$19), false,
                xlookup("Pn", $I$14:$AA$14, $I$19:$AA$19), false, xlookup("Ds", $I$14:$AA$14, $I$19:$AA$19), false, xlookup("R", $I$14:$AA$14, $I$19:$AA$19), true)</f>
        <v>Türkiye</v>
      </c>
      <c r="I146" s="36">
        <v>3.0</v>
      </c>
      <c r="J146" s="36">
        <v>2.0</v>
      </c>
      <c r="K146" s="36">
        <v>0.0</v>
      </c>
      <c r="L146" s="36">
        <v>1.0</v>
      </c>
      <c r="M146" s="36">
        <v>2.0</v>
      </c>
      <c r="N146" s="36">
        <v>1.0</v>
      </c>
      <c r="O146" s="36">
        <v>1.0</v>
      </c>
      <c r="P146" s="36">
        <v>6.0</v>
      </c>
      <c r="Q146" s="49" t="s">
        <v>12</v>
      </c>
      <c r="R146" s="49">
        <v>3.0</v>
      </c>
      <c r="S146" s="50">
        <v>1.0</v>
      </c>
      <c r="T146" s="49">
        <v>1.0</v>
      </c>
      <c r="U146" s="49" t="s">
        <v>77</v>
      </c>
      <c r="V146" s="49" t="s">
        <v>77</v>
      </c>
      <c r="W146" s="50" t="s">
        <v>77</v>
      </c>
      <c r="X146" s="49" t="s">
        <v>77</v>
      </c>
      <c r="Y146" s="49"/>
      <c r="Z146" s="49">
        <v>0.0</v>
      </c>
      <c r="AA146" s="49">
        <v>7.0</v>
      </c>
      <c r="AB146" s="8" t="str">
        <f t="shared" si="1"/>
        <v>F</v>
      </c>
      <c r="AC146" s="157"/>
      <c r="AH146" s="158"/>
      <c r="AI146" s="5"/>
      <c r="AJ146" s="165"/>
      <c r="AK146" s="4"/>
      <c r="AL146" s="5"/>
      <c r="AM146" s="5"/>
      <c r="AN146" s="4"/>
      <c r="AO146" s="4"/>
      <c r="AP146" s="4"/>
      <c r="AQ146" s="4"/>
      <c r="AR146" s="5"/>
      <c r="AS146" s="5"/>
      <c r="AT146" s="5"/>
      <c r="AU146" s="5"/>
      <c r="AV146" s="4"/>
    </row>
    <row r="147" ht="15.0" customHeight="1">
      <c r="G147" s="166"/>
      <c r="H147" s="164" t="s">
        <v>49</v>
      </c>
      <c r="I147" s="36">
        <v>3.0</v>
      </c>
      <c r="J147" s="36">
        <v>2.0</v>
      </c>
      <c r="K147" s="36">
        <v>0.0</v>
      </c>
      <c r="L147" s="36">
        <v>1.0</v>
      </c>
      <c r="M147" s="36">
        <v>2.0</v>
      </c>
      <c r="N147" s="36">
        <v>1.0</v>
      </c>
      <c r="O147" s="36">
        <v>1.0</v>
      </c>
      <c r="P147" s="36">
        <v>6.0</v>
      </c>
      <c r="Q147" s="49" t="s">
        <v>12</v>
      </c>
      <c r="R147" s="49">
        <v>0.0</v>
      </c>
      <c r="S147" s="50">
        <v>-1.0</v>
      </c>
      <c r="T147" s="49">
        <v>0.0</v>
      </c>
      <c r="U147" s="49" t="s">
        <v>77</v>
      </c>
      <c r="V147" s="49" t="s">
        <v>77</v>
      </c>
      <c r="W147" s="50" t="s">
        <v>77</v>
      </c>
      <c r="X147" s="49" t="s">
        <v>77</v>
      </c>
      <c r="Y147" s="49"/>
      <c r="Z147" s="49">
        <v>0.0</v>
      </c>
      <c r="AA147" s="49">
        <v>34.0</v>
      </c>
      <c r="AB147" s="8" t="str">
        <f t="shared" si="1"/>
        <v>F</v>
      </c>
      <c r="AC147" s="157"/>
      <c r="AH147" s="158"/>
      <c r="AI147" s="5"/>
      <c r="AJ147" s="165"/>
      <c r="AK147" s="4"/>
      <c r="AL147" s="5"/>
      <c r="AM147" s="5"/>
      <c r="AN147" s="4"/>
      <c r="AO147" s="4"/>
      <c r="AP147" s="4"/>
      <c r="AQ147" s="4"/>
      <c r="AR147" s="5"/>
      <c r="AS147" s="5"/>
      <c r="AT147" s="5"/>
      <c r="AU147" s="5"/>
      <c r="AV147" s="4"/>
    </row>
    <row r="148" ht="15.0" customHeight="1">
      <c r="G148" s="167"/>
      <c r="H148" s="168" t="s">
        <v>29</v>
      </c>
      <c r="I148" s="169">
        <v>3.0</v>
      </c>
      <c r="J148" s="169">
        <v>1.0</v>
      </c>
      <c r="K148" s="169">
        <v>0.0</v>
      </c>
      <c r="L148" s="169">
        <v>2.0</v>
      </c>
      <c r="M148" s="169">
        <v>1.0</v>
      </c>
      <c r="N148" s="169">
        <v>2.0</v>
      </c>
      <c r="O148" s="169">
        <v>-1.0</v>
      </c>
      <c r="P148" s="169">
        <v>3.0</v>
      </c>
      <c r="Q148" s="49" t="s">
        <v>34</v>
      </c>
      <c r="R148" s="49">
        <v>3.0</v>
      </c>
      <c r="S148" s="50">
        <v>1.0</v>
      </c>
      <c r="T148" s="49">
        <v>1.0</v>
      </c>
      <c r="U148" s="49" t="s">
        <v>77</v>
      </c>
      <c r="V148" s="49" t="s">
        <v>77</v>
      </c>
      <c r="W148" s="50" t="s">
        <v>77</v>
      </c>
      <c r="X148" s="49" t="s">
        <v>77</v>
      </c>
      <c r="Y148" s="49"/>
      <c r="Z148" s="49">
        <v>0.0</v>
      </c>
      <c r="AA148" s="49">
        <v>1.0</v>
      </c>
      <c r="AB148" s="8" t="str">
        <f t="shared" si="1"/>
        <v>F</v>
      </c>
      <c r="AC148" s="157"/>
      <c r="AH148" s="158"/>
      <c r="AI148" s="5"/>
      <c r="AJ148" s="165"/>
      <c r="AK148" s="4"/>
      <c r="AL148" s="5"/>
      <c r="AM148" s="5"/>
      <c r="AN148" s="4"/>
      <c r="AO148" s="4"/>
      <c r="AP148" s="4"/>
      <c r="AQ148" s="4"/>
      <c r="AR148" s="5"/>
      <c r="AS148" s="5"/>
      <c r="AT148" s="5"/>
      <c r="AU148" s="5"/>
      <c r="AV148" s="4"/>
    </row>
    <row r="149" ht="15.0" customHeight="1">
      <c r="G149" s="170"/>
      <c r="H149" s="171" t="s">
        <v>51</v>
      </c>
      <c r="I149" s="49">
        <v>3.0</v>
      </c>
      <c r="J149" s="49">
        <v>1.0</v>
      </c>
      <c r="K149" s="49">
        <v>0.0</v>
      </c>
      <c r="L149" s="49">
        <v>2.0</v>
      </c>
      <c r="M149" s="49">
        <v>1.0</v>
      </c>
      <c r="N149" s="49">
        <v>2.0</v>
      </c>
      <c r="O149" s="49">
        <v>-1.0</v>
      </c>
      <c r="P149" s="49">
        <v>3.0</v>
      </c>
      <c r="Q149" s="49" t="s">
        <v>34</v>
      </c>
      <c r="R149" s="49">
        <v>0.0</v>
      </c>
      <c r="S149" s="50">
        <v>-1.0</v>
      </c>
      <c r="T149" s="49">
        <v>0.0</v>
      </c>
      <c r="U149" s="49" t="s">
        <v>77</v>
      </c>
      <c r="V149" s="49" t="s">
        <v>77</v>
      </c>
      <c r="W149" s="50" t="s">
        <v>77</v>
      </c>
      <c r="X149" s="49" t="s">
        <v>77</v>
      </c>
      <c r="Y149" s="49"/>
      <c r="Z149" s="49">
        <v>0.0</v>
      </c>
      <c r="AA149" s="49">
        <v>17.0</v>
      </c>
      <c r="AB149" s="8" t="str">
        <f t="shared" si="1"/>
        <v>F</v>
      </c>
      <c r="AC149" s="172"/>
      <c r="AD149" s="173"/>
      <c r="AE149" s="173"/>
      <c r="AF149" s="173"/>
      <c r="AG149" s="173"/>
      <c r="AH149" s="174"/>
      <c r="AI149" s="6"/>
      <c r="AJ149" s="21"/>
      <c r="AK149" s="22"/>
      <c r="AL149" s="6"/>
      <c r="AM149" s="6"/>
      <c r="AN149" s="22"/>
      <c r="AO149" s="22"/>
      <c r="AP149" s="22"/>
      <c r="AQ149" s="22"/>
      <c r="AR149" s="6"/>
      <c r="AS149" s="6"/>
      <c r="AT149" s="6"/>
      <c r="AU149" s="6"/>
      <c r="AV149" s="4"/>
    </row>
    <row r="150" ht="15.0" customHeight="1">
      <c r="A150" s="6"/>
      <c r="B150" s="6"/>
      <c r="C150" s="6"/>
      <c r="D150" s="6"/>
      <c r="E150" s="6"/>
      <c r="F150" s="22"/>
      <c r="G150" s="7"/>
      <c r="H150" s="33"/>
      <c r="I150" s="22" t="str">
        <f t="array" ref="I150:AA150">$I$25:$AA$25</f>
        <v/>
      </c>
      <c r="J150" s="22"/>
      <c r="K150" s="22"/>
      <c r="L150" s="22"/>
      <c r="M150" s="22"/>
      <c r="N150" s="22"/>
      <c r="O150" s="22"/>
      <c r="P150" s="22"/>
      <c r="Q150" s="22"/>
      <c r="R150" s="22"/>
      <c r="S150" s="22"/>
      <c r="T150" s="22"/>
      <c r="U150" s="22"/>
      <c r="V150" s="22"/>
      <c r="W150" s="22"/>
      <c r="X150" s="22"/>
      <c r="Y150" s="22"/>
      <c r="Z150" s="22"/>
      <c r="AA150" s="22"/>
      <c r="AB150" s="8" t="str">
        <f t="shared" si="1"/>
        <v>F</v>
      </c>
      <c r="AC150" s="22"/>
      <c r="AD150" s="6"/>
      <c r="AE150" s="6"/>
      <c r="AF150" s="6"/>
      <c r="AG150" s="6"/>
      <c r="AH150" s="6"/>
      <c r="AI150" s="6"/>
      <c r="AJ150" s="21"/>
      <c r="AK150" s="22"/>
      <c r="AL150" s="6"/>
      <c r="AM150" s="6"/>
      <c r="AN150" s="22"/>
      <c r="AO150" s="22"/>
      <c r="AP150" s="22"/>
      <c r="AQ150" s="22"/>
      <c r="AR150" s="6"/>
      <c r="AS150" s="6"/>
      <c r="AT150" s="6"/>
      <c r="AU150" s="6"/>
      <c r="AV150" s="22"/>
    </row>
    <row r="151" ht="15.0" customHeight="1">
      <c r="A151" s="182" t="s">
        <v>141</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3"/>
      <c r="AB151" s="8"/>
      <c r="AC151" s="180"/>
      <c r="AD151" s="180"/>
      <c r="AE151" s="180"/>
      <c r="AF151" s="180"/>
      <c r="AG151" s="180"/>
      <c r="AH151" s="180"/>
      <c r="AI151" s="6"/>
      <c r="AJ151" s="21"/>
      <c r="AK151" s="22"/>
      <c r="AL151" s="6"/>
      <c r="AM151" s="6"/>
      <c r="AN151" s="22"/>
      <c r="AO151" s="22"/>
      <c r="AP151" s="22"/>
      <c r="AQ151" s="22"/>
      <c r="AR151" s="6"/>
      <c r="AS151" s="6"/>
      <c r="AT151" s="6"/>
      <c r="AU151" s="6"/>
      <c r="AV151" s="22"/>
    </row>
    <row r="152" ht="15.0" customHeight="1">
      <c r="A152" s="73"/>
      <c r="B152" s="73"/>
      <c r="C152" s="73"/>
      <c r="D152" s="73"/>
      <c r="E152" s="73"/>
      <c r="F152" s="114" t="str">
        <f t="array" ref="F152:P152">{"G", "Team", H2:P2}</f>
        <v>G</v>
      </c>
      <c r="G152" s="183" t="s">
        <v>26</v>
      </c>
      <c r="H152" s="3"/>
      <c r="I152" s="114" t="s">
        <v>7</v>
      </c>
      <c r="J152" s="175" t="s">
        <v>8</v>
      </c>
      <c r="K152" s="114" t="s">
        <v>9</v>
      </c>
      <c r="L152" s="114" t="s">
        <v>10</v>
      </c>
      <c r="M152" s="114" t="s">
        <v>11</v>
      </c>
      <c r="N152" s="114" t="s">
        <v>12</v>
      </c>
      <c r="O152" s="114" t="s">
        <v>13</v>
      </c>
      <c r="P152" s="114" t="s">
        <v>14</v>
      </c>
      <c r="Q152" s="114" t="str">
        <f t="array" ref="Q152:R152">Z14:AA14</f>
        <v>Ds</v>
      </c>
      <c r="R152" s="162" t="s">
        <v>127</v>
      </c>
      <c r="S152" s="114" t="s">
        <v>68</v>
      </c>
      <c r="T152" s="22"/>
      <c r="U152" s="22"/>
      <c r="V152" s="22"/>
      <c r="W152" s="22"/>
      <c r="X152" s="22"/>
      <c r="Y152" s="22"/>
      <c r="Z152" s="22"/>
      <c r="AA152" s="22"/>
      <c r="AB152" s="8"/>
      <c r="AC152" s="76"/>
      <c r="AD152" s="76"/>
      <c r="AE152" s="76"/>
      <c r="AF152" s="76"/>
      <c r="AG152" s="76"/>
      <c r="AH152" s="76"/>
      <c r="AI152" s="5"/>
      <c r="AJ152" s="165"/>
      <c r="AK152" s="4"/>
      <c r="AL152" s="5"/>
      <c r="AM152" s="5"/>
      <c r="AN152" s="4"/>
      <c r="AO152" s="4"/>
      <c r="AP152" s="4"/>
      <c r="AQ152" s="4"/>
      <c r="AR152" s="5"/>
      <c r="AS152" s="5"/>
      <c r="AT152" s="5"/>
      <c r="AU152" s="5"/>
      <c r="AV152" s="22"/>
    </row>
    <row r="153" ht="15.0" customHeight="1">
      <c r="A153" s="73"/>
      <c r="B153" s="73"/>
      <c r="C153" s="73"/>
      <c r="D153" s="73"/>
      <c r="E153" s="17"/>
      <c r="F153" s="117" t="str">
        <f>IFERROR(__xludf.DUMMYFUNCTION("arrayformula(regexextract(address(1,SEQUENCE($AK$2)), ""[A-Z]""))"),"A")</f>
        <v>A</v>
      </c>
      <c r="G153" s="184" t="str">
        <f>IFERROR(__xludf.DUMMYFUNCTION("{index(filter({FinalA}, {1,1,1,1,1,1,1,1,1,1,0,0,0,0,0,0,0,0,0,1,1} ), 3, );
  index(filter({FinalB}, {1,1,1,1,1,1,1,1,1,1,0,0,0,0,0,0,0,0,0,1,1} ), 3, );
  index(filter({FinalC}, {1,1,1,1,1,1,1,1,1,1,0,0,0,0,0,0,0,0,0,1,1} ), 3, );
  index(filter({FinalD"&amp;"}, {1,1,1,1,1,1,1,1,1,1,0,0,0,0,0,0,0,0,0,1,1} ), 3, );
  index(filter({FinalE}, {1,1,1,1,1,1,1,1,1,1,0,0,0,0,0,0,0,0,0,1,1} ), 3, );
  index(filter({FinalF}, {1,1,1,1,1,1,1,1,1,1,0,0,0,0,0,0,0,0,0,1,1} ), 3, )}"),"")</f>
        <v/>
      </c>
      <c r="H153" s="171" t="str">
        <f>IFERROR(__xludf.DUMMYFUNCTION("""COMPUTED_VALUE"""),"Switzerland")</f>
        <v>Switzerland</v>
      </c>
      <c r="I153" s="49">
        <f>IFERROR(__xludf.DUMMYFUNCTION("""COMPUTED_VALUE"""),3.0)</f>
        <v>3</v>
      </c>
      <c r="J153" s="49">
        <f>IFERROR(__xludf.DUMMYFUNCTION("""COMPUTED_VALUE"""),1.0)</f>
        <v>1</v>
      </c>
      <c r="K153" s="49">
        <f>IFERROR(__xludf.DUMMYFUNCTION("""COMPUTED_VALUE"""),0.0)</f>
        <v>0</v>
      </c>
      <c r="L153" s="49">
        <f>IFERROR(__xludf.DUMMYFUNCTION("""COMPUTED_VALUE"""),2.0)</f>
        <v>2</v>
      </c>
      <c r="M153" s="49">
        <f>IFERROR(__xludf.DUMMYFUNCTION("""COMPUTED_VALUE"""),4.0)</f>
        <v>4</v>
      </c>
      <c r="N153" s="49">
        <f>IFERROR(__xludf.DUMMYFUNCTION("""COMPUTED_VALUE"""),4.0)</f>
        <v>4</v>
      </c>
      <c r="O153" s="50">
        <f>IFERROR(__xludf.DUMMYFUNCTION("""COMPUTED_VALUE"""),0.0)</f>
        <v>0</v>
      </c>
      <c r="P153" s="49">
        <f>IFERROR(__xludf.DUMMYFUNCTION("""COMPUTED_VALUE"""),3.0)</f>
        <v>3</v>
      </c>
      <c r="Q153" s="49">
        <f>IFERROR(__xludf.DUMMYFUNCTION("""COMPUTED_VALUE"""),0.0)</f>
        <v>0</v>
      </c>
      <c r="R153" s="49">
        <f>IFERROR(__xludf.DUMMYFUNCTION("""COMPUTED_VALUE"""),20.0)</f>
        <v>20</v>
      </c>
      <c r="S153" s="16"/>
      <c r="T153" s="129" t="s">
        <v>142</v>
      </c>
      <c r="AB153" s="8"/>
      <c r="AC153" s="76"/>
      <c r="AD153" s="76"/>
      <c r="AE153" s="76"/>
      <c r="AF153" s="76"/>
      <c r="AG153" s="76"/>
      <c r="AH153" s="76"/>
      <c r="AI153" s="73"/>
      <c r="AJ153" s="15"/>
      <c r="AK153" s="4"/>
      <c r="AL153" s="5"/>
      <c r="AM153" s="5"/>
      <c r="AN153" s="4"/>
      <c r="AO153" s="4"/>
      <c r="AP153" s="4"/>
      <c r="AQ153" s="4"/>
      <c r="AR153" s="5"/>
      <c r="AS153" s="5"/>
      <c r="AT153" s="5"/>
      <c r="AU153" s="5"/>
      <c r="AV153" s="4"/>
    </row>
    <row r="154" ht="15.0" customHeight="1">
      <c r="A154" s="73"/>
      <c r="B154" s="73"/>
      <c r="C154" s="73"/>
      <c r="D154" s="73"/>
      <c r="E154" s="17"/>
      <c r="F154" s="117" t="str">
        <f>IFERROR(__xludf.DUMMYFUNCTION("""COMPUTED_VALUE"""),"B")</f>
        <v>B</v>
      </c>
      <c r="G154" s="184" t="str">
        <f>IFERROR(__xludf.DUMMYFUNCTION("""COMPUTED_VALUE"""),"")</f>
        <v/>
      </c>
      <c r="H154" s="171" t="str">
        <f>IFERROR(__xludf.DUMMYFUNCTION("""COMPUTED_VALUE"""),"Italy")</f>
        <v>Italy</v>
      </c>
      <c r="I154" s="49">
        <f>IFERROR(__xludf.DUMMYFUNCTION("""COMPUTED_VALUE"""),3.0)</f>
        <v>3</v>
      </c>
      <c r="J154" s="49">
        <f>IFERROR(__xludf.DUMMYFUNCTION("""COMPUTED_VALUE"""),1.0)</f>
        <v>1</v>
      </c>
      <c r="K154" s="49">
        <f>IFERROR(__xludf.DUMMYFUNCTION("""COMPUTED_VALUE"""),0.0)</f>
        <v>0</v>
      </c>
      <c r="L154" s="49">
        <f>IFERROR(__xludf.DUMMYFUNCTION("""COMPUTED_VALUE"""),2.0)</f>
        <v>2</v>
      </c>
      <c r="M154" s="49">
        <f>IFERROR(__xludf.DUMMYFUNCTION("""COMPUTED_VALUE"""),1.0)</f>
        <v>1</v>
      </c>
      <c r="N154" s="49">
        <f>IFERROR(__xludf.DUMMYFUNCTION("""COMPUTED_VALUE"""),2.0)</f>
        <v>2</v>
      </c>
      <c r="O154" s="50">
        <f>IFERROR(__xludf.DUMMYFUNCTION("""COMPUTED_VALUE"""),-1.0)</f>
        <v>-1</v>
      </c>
      <c r="P154" s="49">
        <f>IFERROR(__xludf.DUMMYFUNCTION("""COMPUTED_VALUE"""),3.0)</f>
        <v>3</v>
      </c>
      <c r="Q154" s="49">
        <f>IFERROR(__xludf.DUMMYFUNCTION("""COMPUTED_VALUE"""),0.0)</f>
        <v>0</v>
      </c>
      <c r="R154" s="49">
        <f>IFERROR(__xludf.DUMMYFUNCTION("""COMPUTED_VALUE"""),18.0)</f>
        <v>18</v>
      </c>
      <c r="S154" s="16"/>
      <c r="AB154" s="8"/>
      <c r="AC154" s="185"/>
      <c r="AD154" s="185"/>
      <c r="AE154" s="185"/>
      <c r="AF154" s="185"/>
      <c r="AG154" s="185"/>
      <c r="AH154" s="185"/>
      <c r="AI154" s="5"/>
      <c r="AJ154" s="165"/>
      <c r="AK154" s="4"/>
      <c r="AL154" s="5"/>
      <c r="AM154" s="5"/>
      <c r="AN154" s="4"/>
      <c r="AO154" s="4"/>
      <c r="AP154" s="4"/>
      <c r="AQ154" s="4"/>
      <c r="AR154" s="5"/>
      <c r="AS154" s="5"/>
      <c r="AT154" s="5"/>
      <c r="AU154" s="5"/>
      <c r="AV154" s="4"/>
    </row>
    <row r="155" ht="15.0" customHeight="1">
      <c r="A155" s="73"/>
      <c r="B155" s="73"/>
      <c r="C155" s="73"/>
      <c r="D155" s="73"/>
      <c r="E155" s="17"/>
      <c r="F155" s="117" t="str">
        <f>IFERROR(__xludf.DUMMYFUNCTION("""COMPUTED_VALUE"""),"C")</f>
        <v>C</v>
      </c>
      <c r="G155" s="184" t="str">
        <f>IFERROR(__xludf.DUMMYFUNCTION("""COMPUTED_VALUE"""),"")</f>
        <v/>
      </c>
      <c r="H155" s="171" t="str">
        <f>IFERROR(__xludf.DUMMYFUNCTION("""COMPUTED_VALUE"""),"Serbia")</f>
        <v>Serbia</v>
      </c>
      <c r="I155" s="49">
        <f>IFERROR(__xludf.DUMMYFUNCTION("""COMPUTED_VALUE"""),3.0)</f>
        <v>3</v>
      </c>
      <c r="J155" s="49">
        <f>IFERROR(__xludf.DUMMYFUNCTION("""COMPUTED_VALUE"""),1.0)</f>
        <v>1</v>
      </c>
      <c r="K155" s="49">
        <f>IFERROR(__xludf.DUMMYFUNCTION("""COMPUTED_VALUE"""),0.0)</f>
        <v>0</v>
      </c>
      <c r="L155" s="49">
        <f>IFERROR(__xludf.DUMMYFUNCTION("""COMPUTED_VALUE"""),2.0)</f>
        <v>2</v>
      </c>
      <c r="M155" s="49">
        <f>IFERROR(__xludf.DUMMYFUNCTION("""COMPUTED_VALUE"""),1.0)</f>
        <v>1</v>
      </c>
      <c r="N155" s="49">
        <f>IFERROR(__xludf.DUMMYFUNCTION("""COMPUTED_VALUE"""),2.0)</f>
        <v>2</v>
      </c>
      <c r="O155" s="50">
        <f>IFERROR(__xludf.DUMMYFUNCTION("""COMPUTED_VALUE"""),-1.0)</f>
        <v>-1</v>
      </c>
      <c r="P155" s="49">
        <f>IFERROR(__xludf.DUMMYFUNCTION("""COMPUTED_VALUE"""),3.0)</f>
        <v>3</v>
      </c>
      <c r="Q155" s="49">
        <f>IFERROR(__xludf.DUMMYFUNCTION("""COMPUTED_VALUE"""),0.0)</f>
        <v>0</v>
      </c>
      <c r="R155" s="49">
        <f>IFERROR(__xludf.DUMMYFUNCTION("""COMPUTED_VALUE"""),19.0)</f>
        <v>19</v>
      </c>
      <c r="S155" s="16"/>
      <c r="AB155" s="8"/>
      <c r="AC155" s="185"/>
      <c r="AD155" s="185"/>
      <c r="AE155" s="185"/>
      <c r="AF155" s="185"/>
      <c r="AG155" s="185"/>
      <c r="AH155" s="185"/>
      <c r="AI155" s="5"/>
      <c r="AJ155" s="165"/>
      <c r="AK155" s="4"/>
      <c r="AL155" s="5"/>
      <c r="AM155" s="5"/>
      <c r="AN155" s="4"/>
      <c r="AO155" s="4"/>
      <c r="AP155" s="4"/>
      <c r="AQ155" s="4"/>
      <c r="AR155" s="5"/>
      <c r="AS155" s="5"/>
      <c r="AT155" s="5"/>
      <c r="AU155" s="5"/>
      <c r="AV155" s="4"/>
    </row>
    <row r="156" ht="15.0" customHeight="1">
      <c r="A156" s="73"/>
      <c r="B156" s="73"/>
      <c r="C156" s="73"/>
      <c r="D156" s="73"/>
      <c r="E156" s="17"/>
      <c r="F156" s="117" t="str">
        <f>IFERROR(__xludf.DUMMYFUNCTION("""COMPUTED_VALUE"""),"D")</f>
        <v>D</v>
      </c>
      <c r="G156" s="184" t="str">
        <f>IFERROR(__xludf.DUMMYFUNCTION("""COMPUTED_VALUE"""),"")</f>
        <v/>
      </c>
      <c r="H156" s="171" t="str">
        <f>IFERROR(__xludf.DUMMYFUNCTION("""COMPUTED_VALUE"""),"Austria")</f>
        <v>Austria</v>
      </c>
      <c r="I156" s="49">
        <f>IFERROR(__xludf.DUMMYFUNCTION("""COMPUTED_VALUE"""),3.0)</f>
        <v>3</v>
      </c>
      <c r="J156" s="49">
        <f>IFERROR(__xludf.DUMMYFUNCTION("""COMPUTED_VALUE"""),1.0)</f>
        <v>1</v>
      </c>
      <c r="K156" s="49">
        <f>IFERROR(__xludf.DUMMYFUNCTION("""COMPUTED_VALUE"""),0.0)</f>
        <v>0</v>
      </c>
      <c r="L156" s="49">
        <f>IFERROR(__xludf.DUMMYFUNCTION("""COMPUTED_VALUE"""),2.0)</f>
        <v>2</v>
      </c>
      <c r="M156" s="49">
        <f>IFERROR(__xludf.DUMMYFUNCTION("""COMPUTED_VALUE"""),1.0)</f>
        <v>1</v>
      </c>
      <c r="N156" s="49">
        <f>IFERROR(__xludf.DUMMYFUNCTION("""COMPUTED_VALUE"""),2.0)</f>
        <v>2</v>
      </c>
      <c r="O156" s="50">
        <f>IFERROR(__xludf.DUMMYFUNCTION("""COMPUTED_VALUE"""),-1.0)</f>
        <v>-1</v>
      </c>
      <c r="P156" s="49">
        <f>IFERROR(__xludf.DUMMYFUNCTION("""COMPUTED_VALUE"""),3.0)</f>
        <v>3</v>
      </c>
      <c r="Q156" s="49">
        <f>IFERROR(__xludf.DUMMYFUNCTION("""COMPUTED_VALUE"""),0.0)</f>
        <v>0</v>
      </c>
      <c r="R156" s="49">
        <f>IFERROR(__xludf.DUMMYFUNCTION("""COMPUTED_VALUE"""),11.0)</f>
        <v>11</v>
      </c>
      <c r="S156" s="16"/>
      <c r="AB156" s="8"/>
      <c r="AC156" s="159" t="s">
        <v>143</v>
      </c>
      <c r="AI156" s="5"/>
      <c r="AJ156" s="165"/>
      <c r="AK156" s="4"/>
      <c r="AL156" s="5"/>
      <c r="AM156" s="5"/>
      <c r="AN156" s="4"/>
      <c r="AO156" s="4"/>
      <c r="AP156" s="4"/>
      <c r="AQ156" s="4"/>
      <c r="AR156" s="5"/>
      <c r="AS156" s="5"/>
      <c r="AT156" s="5"/>
      <c r="AU156" s="5"/>
      <c r="AV156" s="4"/>
    </row>
    <row r="157" ht="15.0" customHeight="1">
      <c r="A157" s="73"/>
      <c r="B157" s="73"/>
      <c r="C157" s="73"/>
      <c r="D157" s="73"/>
      <c r="E157" s="17"/>
      <c r="F157" s="117" t="str">
        <f>IFERROR(__xludf.DUMMYFUNCTION("""COMPUTED_VALUE"""),"E")</f>
        <v>E</v>
      </c>
      <c r="G157" s="184" t="str">
        <f>IFERROR(__xludf.DUMMYFUNCTION("""COMPUTED_VALUE"""),"")</f>
        <v/>
      </c>
      <c r="H157" s="171" t="str">
        <f>IFERROR(__xludf.DUMMYFUNCTION("""COMPUTED_VALUE"""),"Romania")</f>
        <v>Romania</v>
      </c>
      <c r="I157" s="49">
        <f>IFERROR(__xludf.DUMMYFUNCTION("""COMPUTED_VALUE"""),3.0)</f>
        <v>3</v>
      </c>
      <c r="J157" s="49">
        <f>IFERROR(__xludf.DUMMYFUNCTION("""COMPUTED_VALUE"""),1.0)</f>
        <v>1</v>
      </c>
      <c r="K157" s="49">
        <f>IFERROR(__xludf.DUMMYFUNCTION("""COMPUTED_VALUE"""),0.0)</f>
        <v>0</v>
      </c>
      <c r="L157" s="49">
        <f>IFERROR(__xludf.DUMMYFUNCTION("""COMPUTED_VALUE"""),2.0)</f>
        <v>2</v>
      </c>
      <c r="M157" s="49">
        <f>IFERROR(__xludf.DUMMYFUNCTION("""COMPUTED_VALUE"""),1.0)</f>
        <v>1</v>
      </c>
      <c r="N157" s="49">
        <f>IFERROR(__xludf.DUMMYFUNCTION("""COMPUTED_VALUE"""),2.0)</f>
        <v>2</v>
      </c>
      <c r="O157" s="50">
        <f>IFERROR(__xludf.DUMMYFUNCTION("""COMPUTED_VALUE"""),-1.0)</f>
        <v>-1</v>
      </c>
      <c r="P157" s="49">
        <f>IFERROR(__xludf.DUMMYFUNCTION("""COMPUTED_VALUE"""),3.0)</f>
        <v>3</v>
      </c>
      <c r="Q157" s="49">
        <f>IFERROR(__xludf.DUMMYFUNCTION("""COMPUTED_VALUE"""),0.0)</f>
        <v>0</v>
      </c>
      <c r="R157" s="49">
        <f>IFERROR(__xludf.DUMMYFUNCTION("""COMPUTED_VALUE"""),8.0)</f>
        <v>8</v>
      </c>
      <c r="S157" s="16"/>
      <c r="AB157" s="8"/>
      <c r="AI157" s="5"/>
      <c r="AJ157" s="165"/>
      <c r="AK157" s="4"/>
      <c r="AL157" s="5"/>
      <c r="AM157" s="5"/>
      <c r="AN157" s="4"/>
      <c r="AO157" s="4"/>
      <c r="AP157" s="4"/>
      <c r="AQ157" s="4"/>
      <c r="AR157" s="5"/>
      <c r="AS157" s="5"/>
      <c r="AT157" s="5"/>
      <c r="AU157" s="5"/>
      <c r="AV157" s="4"/>
    </row>
    <row r="158" ht="15.0" customHeight="1">
      <c r="A158" s="73"/>
      <c r="B158" s="73"/>
      <c r="C158" s="73"/>
      <c r="D158" s="73"/>
      <c r="E158" s="17"/>
      <c r="F158" s="117" t="str">
        <f>IFERROR(__xludf.DUMMYFUNCTION("""COMPUTED_VALUE"""),"F")</f>
        <v>F</v>
      </c>
      <c r="G158" s="184" t="str">
        <f>IFERROR(__xludf.DUMMYFUNCTION("""COMPUTED_VALUE"""),"")</f>
        <v/>
      </c>
      <c r="H158" s="171" t="str">
        <f>IFERROR(__xludf.DUMMYFUNCTION("""COMPUTED_VALUE"""),"Portugal")</f>
        <v>Portugal</v>
      </c>
      <c r="I158" s="49">
        <f>IFERROR(__xludf.DUMMYFUNCTION("""COMPUTED_VALUE"""),3.0)</f>
        <v>3</v>
      </c>
      <c r="J158" s="49">
        <f>IFERROR(__xludf.DUMMYFUNCTION("""COMPUTED_VALUE"""),1.0)</f>
        <v>1</v>
      </c>
      <c r="K158" s="49">
        <f>IFERROR(__xludf.DUMMYFUNCTION("""COMPUTED_VALUE"""),0.0)</f>
        <v>0</v>
      </c>
      <c r="L158" s="49">
        <f>IFERROR(__xludf.DUMMYFUNCTION("""COMPUTED_VALUE"""),2.0)</f>
        <v>2</v>
      </c>
      <c r="M158" s="49">
        <f>IFERROR(__xludf.DUMMYFUNCTION("""COMPUTED_VALUE"""),1.0)</f>
        <v>1</v>
      </c>
      <c r="N158" s="49">
        <f>IFERROR(__xludf.DUMMYFUNCTION("""COMPUTED_VALUE"""),2.0)</f>
        <v>2</v>
      </c>
      <c r="O158" s="50">
        <f>IFERROR(__xludf.DUMMYFUNCTION("""COMPUTED_VALUE"""),-1.0)</f>
        <v>-1</v>
      </c>
      <c r="P158" s="49">
        <f>IFERROR(__xludf.DUMMYFUNCTION("""COMPUTED_VALUE"""),3.0)</f>
        <v>3</v>
      </c>
      <c r="Q158" s="49">
        <f>IFERROR(__xludf.DUMMYFUNCTION("""COMPUTED_VALUE"""),0.0)</f>
        <v>0</v>
      </c>
      <c r="R158" s="49">
        <f>IFERROR(__xludf.DUMMYFUNCTION("""COMPUTED_VALUE"""),1.0)</f>
        <v>1</v>
      </c>
      <c r="S158" s="16"/>
      <c r="AB158" s="8"/>
      <c r="AC158" s="156"/>
      <c r="AD158" s="59"/>
      <c r="AE158" s="59"/>
      <c r="AF158" s="59"/>
      <c r="AG158" s="59"/>
      <c r="AH158" s="60"/>
      <c r="AI158" s="5"/>
      <c r="AJ158" s="165"/>
      <c r="AK158" s="4"/>
      <c r="AL158" s="5"/>
      <c r="AM158" s="5"/>
      <c r="AN158" s="4"/>
      <c r="AO158" s="4"/>
      <c r="AP158" s="4"/>
      <c r="AQ158" s="4"/>
      <c r="AR158" s="5"/>
      <c r="AS158" s="5"/>
      <c r="AT158" s="5"/>
      <c r="AU158" s="5"/>
      <c r="AV158" s="4"/>
    </row>
    <row r="159" ht="15.0" customHeight="1">
      <c r="A159" s="185" t="str">
        <f>IFERROR(__xludf.DUMMYFUNCTION("""Third placed teams will be ranked as follows:
1) Points
2) Goal difference
3) Goals scored
4) Wins
5) Discipline
6) European qualifiers ranking
Unless the comparison involves hosts ""&amp;ifs(counta(Hosts) &gt; 2, regexreplace(join("", "", filter(Hosts,Hosts&lt;&gt;"&amp;""""")), ""(.*), "", ""$1 or ""), counta(Hosts) = 2, join("" or "", filter(Hosts,Hosts&lt;&gt;"""")), TRUE, filter(Hosts,Hosts&lt;&gt;""""))&amp;"", in which case a drawing of lots will take place"""),"Third placed teams will be ranked as follows:
1) Points
2) Goal difference
3) Goals scored
4) Wins
5) Discipline
6) European qualifiers ranking
Unless the comparison involves hosts Germany, in which case a drawing of lots will take place")</f>
        <v>Third placed teams will be ranked as follows:
1) Points
2) Goal difference
3) Goals scored
4) Wins
5) Discipline
6) European qualifiers ranking
Unless the comparison involves hosts Germany, in which case a drawing of lots will take place</v>
      </c>
      <c r="F159" s="7"/>
      <c r="G159" s="7"/>
      <c r="H159" s="33"/>
      <c r="I159" s="22">
        <f t="array" ref="I159:S159">sequence(1,11,4,1)</f>
        <v>4</v>
      </c>
      <c r="J159" s="22">
        <v>5.0</v>
      </c>
      <c r="K159" s="22">
        <v>6.0</v>
      </c>
      <c r="L159" s="22">
        <v>7.0</v>
      </c>
      <c r="M159" s="22">
        <v>8.0</v>
      </c>
      <c r="N159" s="22">
        <v>9.0</v>
      </c>
      <c r="O159" s="22">
        <v>10.0</v>
      </c>
      <c r="P159" s="22">
        <v>11.0</v>
      </c>
      <c r="Q159" s="22">
        <v>12.0</v>
      </c>
      <c r="R159" s="22">
        <v>13.0</v>
      </c>
      <c r="S159" s="22">
        <v>14.0</v>
      </c>
      <c r="T159" s="22"/>
      <c r="U159" s="22"/>
      <c r="V159" s="22"/>
      <c r="W159" s="22"/>
      <c r="X159" s="22"/>
      <c r="Y159" s="22"/>
      <c r="Z159" s="22"/>
      <c r="AA159" s="22"/>
      <c r="AB159" s="8"/>
      <c r="AC159" s="157"/>
      <c r="AH159" s="158"/>
      <c r="AI159" s="5"/>
      <c r="AJ159" s="165"/>
      <c r="AK159" s="4"/>
      <c r="AL159" s="5"/>
      <c r="AM159" s="5"/>
      <c r="AN159" s="4"/>
      <c r="AO159" s="4"/>
      <c r="AP159" s="4"/>
      <c r="AQ159" s="4"/>
      <c r="AR159" s="5"/>
      <c r="AS159" s="5"/>
      <c r="AT159" s="5"/>
      <c r="AU159" s="5"/>
      <c r="AV159" s="4"/>
    </row>
    <row r="160" ht="15.0" customHeight="1">
      <c r="F160" s="19" t="str">
        <f t="array" ref="F160:S160">F152:S152</f>
        <v>G</v>
      </c>
      <c r="G160" s="186" t="s">
        <v>26</v>
      </c>
      <c r="H160" s="3"/>
      <c r="I160" s="19" t="s">
        <v>7</v>
      </c>
      <c r="J160" s="187" t="s">
        <v>8</v>
      </c>
      <c r="K160" s="19" t="s">
        <v>9</v>
      </c>
      <c r="L160" s="19" t="s">
        <v>10</v>
      </c>
      <c r="M160" s="19" t="s">
        <v>11</v>
      </c>
      <c r="N160" s="19" t="s">
        <v>12</v>
      </c>
      <c r="O160" s="19" t="s">
        <v>13</v>
      </c>
      <c r="P160" s="19" t="s">
        <v>14</v>
      </c>
      <c r="Q160" s="114" t="s">
        <v>126</v>
      </c>
      <c r="R160" s="162" t="s">
        <v>127</v>
      </c>
      <c r="S160" s="162" t="s">
        <v>68</v>
      </c>
      <c r="T160" s="22"/>
      <c r="U160" s="22"/>
      <c r="V160" s="22"/>
      <c r="W160" s="22"/>
      <c r="X160" s="22"/>
      <c r="Y160" s="22"/>
      <c r="Z160" s="22"/>
      <c r="AA160" s="22"/>
      <c r="AB160" s="8"/>
      <c r="AC160" s="157"/>
      <c r="AH160" s="158"/>
      <c r="AI160" s="5"/>
      <c r="AJ160" s="165"/>
      <c r="AK160" s="4"/>
      <c r="AL160" s="5"/>
      <c r="AM160" s="5"/>
      <c r="AN160" s="4"/>
      <c r="AO160" s="4"/>
      <c r="AP160" s="4"/>
      <c r="AQ160" s="4"/>
      <c r="AR160" s="5"/>
      <c r="AS160" s="5"/>
      <c r="AT160" s="5"/>
      <c r="AU160" s="5"/>
      <c r="AV160" s="4"/>
    </row>
    <row r="161" ht="15.0" customHeight="1">
      <c r="F161" s="26" t="str">
        <f t="array" ref="F161:S166">sort(F153:S158, xlookup("Pts", $I152:$S152, $I159:$S159), false, xlookup("GD",  $I152:$S152, $I159:$S159), false,
                 xlookup("F",   $I152:$S152, $I159:$S159), false, xlookup("W",   $I152:$S152, $I159:$S159), false,
                 xlookup("Ds",  $I152:$S152, $I159:$S159), false, xlookup("DoL", $I152:$S152, $I159:$S159), true, xlookup("R", $I152:$S152, $I159:$S159), true)</f>
        <v>A</v>
      </c>
      <c r="G161" s="188"/>
      <c r="H161" s="189" t="s">
        <v>16</v>
      </c>
      <c r="I161" s="36">
        <v>3.0</v>
      </c>
      <c r="J161" s="36">
        <v>1.0</v>
      </c>
      <c r="K161" s="36">
        <v>0.0</v>
      </c>
      <c r="L161" s="36">
        <v>2.0</v>
      </c>
      <c r="M161" s="36">
        <v>4.0</v>
      </c>
      <c r="N161" s="36">
        <v>4.0</v>
      </c>
      <c r="O161" s="74">
        <v>0.0</v>
      </c>
      <c r="P161" s="36">
        <v>3.0</v>
      </c>
      <c r="Q161" s="49">
        <v>0.0</v>
      </c>
      <c r="R161" s="49">
        <v>20.0</v>
      </c>
      <c r="S161" s="49"/>
      <c r="T161" s="22"/>
      <c r="U161" s="22"/>
      <c r="V161" s="22"/>
      <c r="W161" s="22"/>
      <c r="X161" s="22"/>
      <c r="Y161" s="22"/>
      <c r="Z161" s="22"/>
      <c r="AA161" s="22"/>
      <c r="AB161" s="8"/>
      <c r="AC161" s="157"/>
      <c r="AH161" s="158"/>
      <c r="AI161" s="5"/>
      <c r="AJ161" s="165"/>
      <c r="AK161" s="4"/>
      <c r="AL161" s="5"/>
      <c r="AM161" s="5"/>
      <c r="AN161" s="4"/>
      <c r="AO161" s="4"/>
      <c r="AP161" s="4"/>
      <c r="AQ161" s="4"/>
      <c r="AR161" s="5"/>
      <c r="AS161" s="5"/>
      <c r="AT161" s="5"/>
      <c r="AU161" s="5"/>
      <c r="AV161" s="4"/>
    </row>
    <row r="162" ht="15.0" customHeight="1">
      <c r="F162" s="26" t="s">
        <v>11</v>
      </c>
      <c r="G162" s="188"/>
      <c r="H162" s="164" t="s">
        <v>29</v>
      </c>
      <c r="I162" s="36">
        <v>3.0</v>
      </c>
      <c r="J162" s="36">
        <v>1.0</v>
      </c>
      <c r="K162" s="36">
        <v>0.0</v>
      </c>
      <c r="L162" s="36">
        <v>2.0</v>
      </c>
      <c r="M162" s="36">
        <v>1.0</v>
      </c>
      <c r="N162" s="36">
        <v>2.0</v>
      </c>
      <c r="O162" s="74">
        <v>-1.0</v>
      </c>
      <c r="P162" s="36">
        <v>3.0</v>
      </c>
      <c r="Q162" s="49">
        <v>0.0</v>
      </c>
      <c r="R162" s="49">
        <v>1.0</v>
      </c>
      <c r="S162" s="49"/>
      <c r="T162" s="22"/>
      <c r="U162" s="22"/>
      <c r="V162" s="22"/>
      <c r="W162" s="22"/>
      <c r="X162" s="22"/>
      <c r="Y162" s="22"/>
      <c r="Z162" s="22"/>
      <c r="AA162" s="22"/>
      <c r="AB162" s="8"/>
      <c r="AC162" s="157"/>
      <c r="AH162" s="158"/>
      <c r="AI162" s="5"/>
      <c r="AJ162" s="165"/>
      <c r="AK162" s="4"/>
      <c r="AL162" s="5"/>
      <c r="AM162" s="5"/>
      <c r="AN162" s="4"/>
      <c r="AO162" s="4"/>
      <c r="AP162" s="4"/>
      <c r="AQ162" s="4"/>
      <c r="AR162" s="5"/>
      <c r="AS162" s="5"/>
      <c r="AT162" s="5"/>
      <c r="AU162" s="5"/>
      <c r="AV162" s="4"/>
    </row>
    <row r="163" ht="15.0" customHeight="1">
      <c r="F163" s="26" t="s">
        <v>32</v>
      </c>
      <c r="G163" s="188"/>
      <c r="H163" s="164" t="s">
        <v>33</v>
      </c>
      <c r="I163" s="36">
        <v>3.0</v>
      </c>
      <c r="J163" s="36">
        <v>1.0</v>
      </c>
      <c r="K163" s="36">
        <v>0.0</v>
      </c>
      <c r="L163" s="36">
        <v>2.0</v>
      </c>
      <c r="M163" s="36">
        <v>1.0</v>
      </c>
      <c r="N163" s="36">
        <v>2.0</v>
      </c>
      <c r="O163" s="74">
        <v>-1.0</v>
      </c>
      <c r="P163" s="36">
        <v>3.0</v>
      </c>
      <c r="Q163" s="49">
        <v>0.0</v>
      </c>
      <c r="R163" s="49">
        <v>8.0</v>
      </c>
      <c r="S163" s="49"/>
      <c r="T163" s="22"/>
      <c r="U163" s="22"/>
      <c r="V163" s="22"/>
      <c r="W163" s="22"/>
      <c r="X163" s="22"/>
      <c r="Y163" s="22"/>
      <c r="Z163" s="22"/>
      <c r="AA163" s="22"/>
      <c r="AB163" s="8"/>
      <c r="AC163" s="157"/>
      <c r="AH163" s="158"/>
      <c r="AI163" s="5"/>
      <c r="AJ163" s="165"/>
      <c r="AK163" s="4"/>
      <c r="AL163" s="5"/>
      <c r="AM163" s="5"/>
      <c r="AN163" s="4"/>
      <c r="AO163" s="4"/>
      <c r="AP163" s="4"/>
      <c r="AQ163" s="4"/>
      <c r="AR163" s="5"/>
      <c r="AS163" s="5"/>
      <c r="AT163" s="5"/>
      <c r="AU163" s="5"/>
      <c r="AV163" s="4"/>
    </row>
    <row r="164" ht="15.0" customHeight="1">
      <c r="F164" s="26" t="s">
        <v>9</v>
      </c>
      <c r="G164" s="188"/>
      <c r="H164" s="164" t="s">
        <v>30</v>
      </c>
      <c r="I164" s="36">
        <v>3.0</v>
      </c>
      <c r="J164" s="36">
        <v>1.0</v>
      </c>
      <c r="K164" s="36">
        <v>0.0</v>
      </c>
      <c r="L164" s="36">
        <v>2.0</v>
      </c>
      <c r="M164" s="36">
        <v>1.0</v>
      </c>
      <c r="N164" s="36">
        <v>2.0</v>
      </c>
      <c r="O164" s="74">
        <v>-1.0</v>
      </c>
      <c r="P164" s="36">
        <v>3.0</v>
      </c>
      <c r="Q164" s="49">
        <v>0.0</v>
      </c>
      <c r="R164" s="49">
        <v>11.0</v>
      </c>
      <c r="S164" s="49"/>
      <c r="T164" s="22"/>
      <c r="U164" s="22"/>
      <c r="V164" s="22"/>
      <c r="W164" s="22"/>
      <c r="X164" s="22"/>
      <c r="Y164" s="22"/>
      <c r="Z164" s="22"/>
      <c r="AA164" s="22"/>
      <c r="AB164" s="8"/>
      <c r="AC164" s="157"/>
      <c r="AH164" s="158"/>
      <c r="AI164" s="5"/>
      <c r="AJ164" s="165"/>
      <c r="AK164" s="4"/>
      <c r="AL164" s="5"/>
      <c r="AM164" s="5"/>
      <c r="AN164" s="4"/>
      <c r="AO164" s="4"/>
      <c r="AP164" s="4"/>
      <c r="AQ164" s="4"/>
      <c r="AR164" s="5"/>
      <c r="AS164" s="5"/>
      <c r="AT164" s="5"/>
      <c r="AU164" s="5"/>
      <c r="AV164" s="4"/>
    </row>
    <row r="165" ht="15.0" customHeight="1">
      <c r="F165" s="117" t="s">
        <v>34</v>
      </c>
      <c r="G165" s="184"/>
      <c r="H165" s="171" t="s">
        <v>19</v>
      </c>
      <c r="I165" s="49">
        <v>3.0</v>
      </c>
      <c r="J165" s="49">
        <v>1.0</v>
      </c>
      <c r="K165" s="49">
        <v>0.0</v>
      </c>
      <c r="L165" s="49">
        <v>2.0</v>
      </c>
      <c r="M165" s="49">
        <v>1.0</v>
      </c>
      <c r="N165" s="49">
        <v>2.0</v>
      </c>
      <c r="O165" s="50">
        <v>-1.0</v>
      </c>
      <c r="P165" s="49">
        <v>3.0</v>
      </c>
      <c r="Q165" s="49">
        <v>0.0</v>
      </c>
      <c r="R165" s="49">
        <v>18.0</v>
      </c>
      <c r="S165" s="49"/>
      <c r="T165" s="22"/>
      <c r="U165" s="22"/>
      <c r="V165" s="22"/>
      <c r="W165" s="22"/>
      <c r="X165" s="22"/>
      <c r="Y165" s="22"/>
      <c r="Z165" s="22"/>
      <c r="AA165" s="22"/>
      <c r="AB165" s="8"/>
      <c r="AC165" s="157"/>
      <c r="AH165" s="158"/>
      <c r="AI165" s="5"/>
      <c r="AJ165" s="165"/>
      <c r="AK165" s="4"/>
      <c r="AL165" s="5"/>
      <c r="AM165" s="5"/>
      <c r="AN165" s="4"/>
      <c r="AO165" s="4"/>
      <c r="AP165" s="4"/>
      <c r="AQ165" s="4"/>
      <c r="AR165" s="5"/>
      <c r="AS165" s="5"/>
      <c r="AT165" s="5"/>
      <c r="AU165" s="5"/>
      <c r="AV165" s="4"/>
    </row>
    <row r="166" ht="15.0" customHeight="1">
      <c r="F166" s="117" t="s">
        <v>35</v>
      </c>
      <c r="G166" s="184"/>
      <c r="H166" s="171" t="s">
        <v>23</v>
      </c>
      <c r="I166" s="49">
        <v>3.0</v>
      </c>
      <c r="J166" s="49">
        <v>1.0</v>
      </c>
      <c r="K166" s="49">
        <v>0.0</v>
      </c>
      <c r="L166" s="49">
        <v>2.0</v>
      </c>
      <c r="M166" s="49">
        <v>1.0</v>
      </c>
      <c r="N166" s="49">
        <v>2.0</v>
      </c>
      <c r="O166" s="50">
        <v>-1.0</v>
      </c>
      <c r="P166" s="49">
        <v>3.0</v>
      </c>
      <c r="Q166" s="49">
        <v>0.0</v>
      </c>
      <c r="R166" s="49">
        <v>19.0</v>
      </c>
      <c r="S166" s="49"/>
      <c r="T166" s="22"/>
      <c r="U166" s="22"/>
      <c r="V166" s="22"/>
      <c r="W166" s="22"/>
      <c r="X166" s="22"/>
      <c r="Y166" s="22"/>
      <c r="Z166" s="22"/>
      <c r="AA166" s="22"/>
      <c r="AB166" s="8"/>
      <c r="AC166" s="172"/>
      <c r="AD166" s="173"/>
      <c r="AE166" s="173"/>
      <c r="AF166" s="173"/>
      <c r="AG166" s="173"/>
      <c r="AH166" s="174"/>
      <c r="AI166" s="5"/>
      <c r="AJ166" s="165"/>
      <c r="AK166" s="4"/>
      <c r="AL166" s="5"/>
      <c r="AM166" s="5"/>
      <c r="AN166" s="4"/>
      <c r="AO166" s="4"/>
      <c r="AP166" s="4"/>
      <c r="AQ166" s="4"/>
      <c r="AR166" s="5"/>
      <c r="AS166" s="5"/>
      <c r="AT166" s="5"/>
      <c r="AU166" s="5"/>
      <c r="AV166" s="4"/>
    </row>
    <row r="167" ht="15.0" customHeight="1">
      <c r="F167" s="7"/>
      <c r="G167" s="7"/>
      <c r="H167" s="33"/>
      <c r="I167" s="22"/>
      <c r="J167" s="22"/>
      <c r="K167" s="22"/>
      <c r="L167" s="22"/>
      <c r="M167" s="22"/>
      <c r="N167" s="22"/>
      <c r="O167" s="22"/>
      <c r="P167" s="22"/>
      <c r="Q167" s="22"/>
      <c r="R167" s="22"/>
      <c r="S167" s="22"/>
      <c r="T167" s="22"/>
      <c r="U167" s="22"/>
      <c r="V167" s="22"/>
      <c r="W167" s="22"/>
      <c r="X167" s="22"/>
      <c r="Y167" s="22"/>
      <c r="Z167" s="22"/>
      <c r="AA167" s="22"/>
      <c r="AB167" s="8"/>
      <c r="AC167" s="22"/>
      <c r="AD167" s="22"/>
      <c r="AE167" s="22"/>
      <c r="AF167" s="22"/>
      <c r="AG167" s="22"/>
      <c r="AH167" s="22"/>
      <c r="AI167" s="5"/>
      <c r="AJ167" s="165"/>
      <c r="AK167" s="4"/>
      <c r="AL167" s="5"/>
      <c r="AM167" s="5"/>
      <c r="AN167" s="4"/>
      <c r="AO167" s="4"/>
      <c r="AP167" s="4"/>
      <c r="AQ167" s="4"/>
      <c r="AR167" s="5"/>
      <c r="AS167" s="5"/>
      <c r="AT167" s="5"/>
      <c r="AU167" s="5"/>
      <c r="AV167" s="4"/>
    </row>
    <row r="168">
      <c r="A168" s="73"/>
      <c r="B168" s="73"/>
      <c r="C168" s="73"/>
      <c r="D168" s="73"/>
      <c r="E168" s="73"/>
      <c r="F168" s="7"/>
      <c r="G168" s="7"/>
      <c r="H168" s="33"/>
      <c r="I168" s="170" t="s">
        <v>144</v>
      </c>
      <c r="J168" s="2"/>
      <c r="K168" s="2"/>
      <c r="L168" s="2"/>
      <c r="M168" s="2"/>
      <c r="N168" s="2"/>
      <c r="O168" s="3"/>
      <c r="P168" s="49" t="s">
        <v>145</v>
      </c>
      <c r="Q168" s="49" t="s">
        <v>146</v>
      </c>
      <c r="R168" s="49" t="s">
        <v>147</v>
      </c>
      <c r="S168" s="49" t="s">
        <v>148</v>
      </c>
      <c r="T168" s="22"/>
      <c r="U168" s="22"/>
      <c r="V168" s="22"/>
      <c r="W168" s="22"/>
      <c r="X168" s="22"/>
      <c r="Y168" s="22"/>
      <c r="Z168" s="22"/>
      <c r="AA168" s="22"/>
      <c r="AB168" s="8"/>
      <c r="AC168" s="22"/>
      <c r="AD168" s="22"/>
      <c r="AE168" s="22"/>
      <c r="AF168" s="22"/>
      <c r="AG168" s="22"/>
      <c r="AH168" s="22"/>
      <c r="AI168" s="5"/>
      <c r="AJ168" s="165"/>
      <c r="AK168" s="4"/>
      <c r="AL168" s="5"/>
      <c r="AM168" s="5"/>
      <c r="AN168" s="4"/>
      <c r="AO168" s="4"/>
      <c r="AP168" s="4"/>
      <c r="AQ168" s="4"/>
      <c r="AR168" s="5"/>
      <c r="AS168" s="5"/>
      <c r="AT168" s="5"/>
      <c r="AU168" s="5"/>
      <c r="AV168" s="4"/>
    </row>
    <row r="169" ht="15.0" customHeight="1">
      <c r="A169" s="73"/>
      <c r="B169" s="73"/>
      <c r="C169" s="73"/>
      <c r="D169" s="73"/>
      <c r="E169" s="73"/>
      <c r="F169" s="7"/>
      <c r="G169" s="7"/>
      <c r="H169" s="144" t="str">
        <f>IFERROR(__xludf.DUMMYFUNCTION("regexreplace(join("""",I169:O169), ""\*"", """")"),"ABCD")</f>
        <v>ABCD</v>
      </c>
      <c r="I169" s="49" t="s">
        <v>149</v>
      </c>
      <c r="J169" s="49" t="s">
        <v>150</v>
      </c>
      <c r="K169" s="49" t="s">
        <v>151</v>
      </c>
      <c r="L169" s="49" t="s">
        <v>152</v>
      </c>
      <c r="M169" s="49"/>
      <c r="N169" s="49"/>
      <c r="O169" s="117"/>
      <c r="P169" s="49" t="s">
        <v>153</v>
      </c>
      <c r="Q169" s="49" t="s">
        <v>154</v>
      </c>
      <c r="R169" s="49" t="s">
        <v>155</v>
      </c>
      <c r="S169" s="49" t="s">
        <v>156</v>
      </c>
      <c r="T169" s="7"/>
      <c r="U169" s="22"/>
      <c r="V169" s="7"/>
      <c r="W169" s="22"/>
      <c r="X169" s="22"/>
      <c r="Y169" s="22"/>
      <c r="Z169" s="22"/>
      <c r="AA169" s="22"/>
      <c r="AB169" s="8"/>
      <c r="AC169" s="22"/>
      <c r="AD169" s="22"/>
      <c r="AE169" s="22"/>
      <c r="AF169" s="22"/>
      <c r="AG169" s="22"/>
      <c r="AH169" s="22"/>
      <c r="AI169" s="5"/>
      <c r="AJ169" s="165"/>
      <c r="AK169" s="4"/>
      <c r="AL169" s="5"/>
      <c r="AM169" s="5"/>
      <c r="AN169" s="4"/>
      <c r="AO169" s="4"/>
      <c r="AP169" s="4"/>
      <c r="AQ169" s="4"/>
      <c r="AR169" s="5"/>
      <c r="AS169" s="5"/>
      <c r="AT169" s="5"/>
      <c r="AU169" s="5"/>
      <c r="AV169" s="4"/>
    </row>
    <row r="170" ht="15.0" customHeight="1">
      <c r="A170" s="73"/>
      <c r="B170" s="73"/>
      <c r="C170" s="73"/>
      <c r="D170" s="73"/>
      <c r="E170" s="73"/>
      <c r="F170" s="7"/>
      <c r="G170" s="7"/>
      <c r="H170" s="144" t="str">
        <f>IFERROR(__xludf.DUMMYFUNCTION("regexreplace(join("""",I170:O170), ""\*"", """")"),"ABCE")</f>
        <v>ABCE</v>
      </c>
      <c r="I170" s="49" t="s">
        <v>149</v>
      </c>
      <c r="J170" s="49" t="s">
        <v>150</v>
      </c>
      <c r="K170" s="49" t="s">
        <v>151</v>
      </c>
      <c r="L170" s="49"/>
      <c r="M170" s="49" t="s">
        <v>157</v>
      </c>
      <c r="N170" s="49"/>
      <c r="O170" s="49"/>
      <c r="P170" s="49" t="s">
        <v>153</v>
      </c>
      <c r="Q170" s="49" t="s">
        <v>158</v>
      </c>
      <c r="R170" s="49" t="s">
        <v>155</v>
      </c>
      <c r="S170" s="49" t="s">
        <v>156</v>
      </c>
      <c r="T170" s="22"/>
      <c r="U170" s="22"/>
      <c r="V170" s="22"/>
      <c r="W170" s="22"/>
      <c r="X170" s="22"/>
      <c r="Y170" s="22"/>
      <c r="Z170" s="22"/>
      <c r="AA170" s="22"/>
      <c r="AB170" s="8"/>
      <c r="AC170" s="22"/>
      <c r="AD170" s="22"/>
      <c r="AE170" s="22"/>
      <c r="AF170" s="22"/>
      <c r="AG170" s="22"/>
      <c r="AH170" s="22"/>
      <c r="AI170" s="5"/>
      <c r="AJ170" s="165"/>
      <c r="AK170" s="4"/>
      <c r="AL170" s="5"/>
      <c r="AM170" s="5"/>
      <c r="AN170" s="4"/>
      <c r="AO170" s="4"/>
      <c r="AP170" s="4"/>
      <c r="AQ170" s="4"/>
      <c r="AR170" s="5"/>
      <c r="AS170" s="5"/>
      <c r="AT170" s="5"/>
      <c r="AU170" s="5"/>
      <c r="AV170" s="4"/>
    </row>
    <row r="171" ht="15.0" customHeight="1">
      <c r="A171" s="73"/>
      <c r="B171" s="73"/>
      <c r="C171" s="73"/>
      <c r="D171" s="73"/>
      <c r="E171" s="73"/>
      <c r="F171" s="7"/>
      <c r="G171" s="7"/>
      <c r="H171" s="144" t="str">
        <f>IFERROR(__xludf.DUMMYFUNCTION("regexreplace(join("""",I171:O171), ""\*"", """")"),"ABCF")</f>
        <v>ABCF</v>
      </c>
      <c r="I171" s="49" t="s">
        <v>149</v>
      </c>
      <c r="J171" s="49" t="s">
        <v>150</v>
      </c>
      <c r="K171" s="49" t="s">
        <v>151</v>
      </c>
      <c r="L171" s="49"/>
      <c r="M171" s="49"/>
      <c r="N171" s="49" t="s">
        <v>159</v>
      </c>
      <c r="O171" s="49"/>
      <c r="P171" s="49" t="s">
        <v>153</v>
      </c>
      <c r="Q171" s="49" t="s">
        <v>160</v>
      </c>
      <c r="R171" s="49" t="s">
        <v>155</v>
      </c>
      <c r="S171" s="49" t="s">
        <v>156</v>
      </c>
      <c r="T171" s="22"/>
      <c r="U171" s="22"/>
      <c r="V171" s="22"/>
      <c r="W171" s="22"/>
      <c r="X171" s="22"/>
      <c r="Y171" s="22"/>
      <c r="Z171" s="22"/>
      <c r="AA171" s="22"/>
      <c r="AB171" s="8"/>
      <c r="AC171" s="22"/>
      <c r="AD171" s="22"/>
      <c r="AE171" s="22"/>
      <c r="AF171" s="22"/>
      <c r="AG171" s="22"/>
      <c r="AH171" s="22"/>
      <c r="AI171" s="5"/>
      <c r="AJ171" s="165"/>
      <c r="AK171" s="4"/>
      <c r="AL171" s="5"/>
      <c r="AM171" s="5"/>
      <c r="AN171" s="4"/>
      <c r="AO171" s="4"/>
      <c r="AP171" s="4"/>
      <c r="AQ171" s="4"/>
      <c r="AR171" s="5"/>
      <c r="AS171" s="5"/>
      <c r="AT171" s="5"/>
      <c r="AU171" s="5"/>
      <c r="AV171" s="4"/>
    </row>
    <row r="172" ht="15.0" customHeight="1">
      <c r="A172" s="73"/>
      <c r="B172" s="73"/>
      <c r="C172" s="73"/>
      <c r="D172" s="73"/>
      <c r="E172" s="73"/>
      <c r="F172" s="7"/>
      <c r="G172" s="7"/>
      <c r="H172" s="144" t="str">
        <f>IFERROR(__xludf.DUMMYFUNCTION("regexreplace(join("""",I172:O172), ""\*"", """")"),"ABDE")</f>
        <v>ABDE</v>
      </c>
      <c r="I172" s="49" t="s">
        <v>149</v>
      </c>
      <c r="J172" s="49" t="s">
        <v>150</v>
      </c>
      <c r="K172" s="49"/>
      <c r="L172" s="49" t="s">
        <v>152</v>
      </c>
      <c r="M172" s="49" t="s">
        <v>157</v>
      </c>
      <c r="N172" s="49"/>
      <c r="O172" s="49"/>
      <c r="P172" s="49" t="s">
        <v>154</v>
      </c>
      <c r="Q172" s="49" t="s">
        <v>158</v>
      </c>
      <c r="R172" s="49" t="s">
        <v>153</v>
      </c>
      <c r="S172" s="49" t="s">
        <v>155</v>
      </c>
      <c r="T172" s="22"/>
      <c r="U172" s="22"/>
      <c r="V172" s="22"/>
      <c r="W172" s="22"/>
      <c r="X172" s="22"/>
      <c r="Y172" s="22"/>
      <c r="Z172" s="22"/>
      <c r="AA172" s="22"/>
      <c r="AB172" s="8"/>
      <c r="AC172" s="22"/>
      <c r="AD172" s="22"/>
      <c r="AE172" s="22"/>
      <c r="AF172" s="22"/>
      <c r="AG172" s="22"/>
      <c r="AH172" s="22"/>
      <c r="AI172" s="5"/>
      <c r="AJ172" s="165"/>
      <c r="AK172" s="4"/>
      <c r="AL172" s="5"/>
      <c r="AM172" s="5"/>
      <c r="AN172" s="4"/>
      <c r="AO172" s="4"/>
      <c r="AP172" s="4"/>
      <c r="AQ172" s="4"/>
      <c r="AR172" s="5"/>
      <c r="AS172" s="5"/>
      <c r="AT172" s="5"/>
      <c r="AU172" s="5"/>
      <c r="AV172" s="4"/>
    </row>
    <row r="173" ht="15.0" customHeight="1">
      <c r="A173" s="73"/>
      <c r="B173" s="73"/>
      <c r="C173" s="73"/>
      <c r="D173" s="73"/>
      <c r="E173" s="73"/>
      <c r="F173" s="7"/>
      <c r="G173" s="7"/>
      <c r="H173" s="144" t="str">
        <f>IFERROR(__xludf.DUMMYFUNCTION("regexreplace(join("""",I173:O173), ""\*"", """")"),"ABDF")</f>
        <v>ABDF</v>
      </c>
      <c r="I173" s="49" t="s">
        <v>149</v>
      </c>
      <c r="J173" s="49" t="s">
        <v>150</v>
      </c>
      <c r="K173" s="49"/>
      <c r="L173" s="49" t="s">
        <v>152</v>
      </c>
      <c r="M173" s="49"/>
      <c r="N173" s="49" t="s">
        <v>159</v>
      </c>
      <c r="O173" s="49"/>
      <c r="P173" s="49" t="s">
        <v>154</v>
      </c>
      <c r="Q173" s="49" t="s">
        <v>160</v>
      </c>
      <c r="R173" s="49" t="s">
        <v>153</v>
      </c>
      <c r="S173" s="49" t="s">
        <v>155</v>
      </c>
      <c r="T173" s="22"/>
      <c r="U173" s="22"/>
      <c r="V173" s="22"/>
      <c r="W173" s="22"/>
      <c r="X173" s="22"/>
      <c r="Y173" s="22"/>
      <c r="Z173" s="22"/>
      <c r="AA173" s="22"/>
      <c r="AB173" s="8"/>
      <c r="AC173" s="22"/>
      <c r="AD173" s="22"/>
      <c r="AE173" s="22"/>
      <c r="AF173" s="22"/>
      <c r="AG173" s="22"/>
      <c r="AH173" s="22"/>
      <c r="AI173" s="5"/>
      <c r="AJ173" s="165"/>
      <c r="AK173" s="4"/>
      <c r="AL173" s="5"/>
      <c r="AM173" s="5"/>
      <c r="AN173" s="4"/>
      <c r="AO173" s="4"/>
      <c r="AP173" s="4"/>
      <c r="AQ173" s="4"/>
      <c r="AR173" s="5"/>
      <c r="AS173" s="5"/>
      <c r="AT173" s="5"/>
      <c r="AU173" s="5"/>
      <c r="AV173" s="4"/>
    </row>
    <row r="174" ht="15.0" customHeight="1">
      <c r="A174" s="73"/>
      <c r="B174" s="73"/>
      <c r="C174" s="73"/>
      <c r="D174" s="73"/>
      <c r="E174" s="73"/>
      <c r="F174" s="7"/>
      <c r="G174" s="7"/>
      <c r="H174" s="144" t="str">
        <f>IFERROR(__xludf.DUMMYFUNCTION("regexreplace(join("""",I174:O174), ""\*"", """")"),"ABEF")</f>
        <v>ABEF</v>
      </c>
      <c r="I174" s="49" t="s">
        <v>149</v>
      </c>
      <c r="J174" s="49" t="s">
        <v>150</v>
      </c>
      <c r="K174" s="49"/>
      <c r="L174" s="49"/>
      <c r="M174" s="49" t="s">
        <v>157</v>
      </c>
      <c r="N174" s="49" t="s">
        <v>159</v>
      </c>
      <c r="O174" s="49"/>
      <c r="P174" s="49" t="s">
        <v>158</v>
      </c>
      <c r="Q174" s="49" t="s">
        <v>160</v>
      </c>
      <c r="R174" s="49" t="s">
        <v>155</v>
      </c>
      <c r="S174" s="49" t="s">
        <v>153</v>
      </c>
      <c r="T174" s="22"/>
      <c r="U174" s="22"/>
      <c r="V174" s="22"/>
      <c r="W174" s="22"/>
      <c r="X174" s="22"/>
      <c r="Y174" s="22"/>
      <c r="Z174" s="22"/>
      <c r="AA174" s="22"/>
      <c r="AB174" s="8"/>
      <c r="AC174" s="22"/>
      <c r="AD174" s="22"/>
      <c r="AE174" s="22"/>
      <c r="AF174" s="22"/>
      <c r="AG174" s="22"/>
      <c r="AH174" s="22"/>
      <c r="AI174" s="5"/>
      <c r="AJ174" s="165"/>
      <c r="AK174" s="4"/>
      <c r="AL174" s="5"/>
      <c r="AM174" s="5"/>
      <c r="AN174" s="4"/>
      <c r="AO174" s="4"/>
      <c r="AP174" s="4"/>
      <c r="AQ174" s="4"/>
      <c r="AR174" s="5"/>
      <c r="AS174" s="5"/>
      <c r="AT174" s="5"/>
      <c r="AU174" s="5"/>
      <c r="AV174" s="4"/>
    </row>
    <row r="175" ht="15.0" customHeight="1">
      <c r="A175" s="73"/>
      <c r="B175" s="73"/>
      <c r="C175" s="73"/>
      <c r="D175" s="73"/>
      <c r="E175" s="73"/>
      <c r="F175" s="7"/>
      <c r="G175" s="7"/>
      <c r="H175" s="144" t="str">
        <f>IFERROR(__xludf.DUMMYFUNCTION("regexreplace(join("""",I175:O175), ""\*"", """")"),"ACDE")</f>
        <v>ACDE</v>
      </c>
      <c r="I175" s="49" t="s">
        <v>149</v>
      </c>
      <c r="J175" s="49"/>
      <c r="K175" s="49" t="s">
        <v>151</v>
      </c>
      <c r="L175" s="49" t="s">
        <v>152</v>
      </c>
      <c r="M175" s="49" t="s">
        <v>157</v>
      </c>
      <c r="N175" s="49"/>
      <c r="O175" s="49"/>
      <c r="P175" s="49" t="s">
        <v>158</v>
      </c>
      <c r="Q175" s="49" t="s">
        <v>154</v>
      </c>
      <c r="R175" s="49" t="s">
        <v>156</v>
      </c>
      <c r="S175" s="49" t="s">
        <v>153</v>
      </c>
      <c r="T175" s="22"/>
      <c r="U175" s="22"/>
      <c r="V175" s="22"/>
      <c r="W175" s="22"/>
      <c r="X175" s="22"/>
      <c r="Y175" s="22"/>
      <c r="Z175" s="22"/>
      <c r="AA175" s="22"/>
      <c r="AB175" s="8"/>
      <c r="AC175" s="22"/>
      <c r="AD175" s="22"/>
      <c r="AE175" s="22"/>
      <c r="AF175" s="22"/>
      <c r="AG175" s="22"/>
      <c r="AH175" s="22"/>
      <c r="AI175" s="5"/>
      <c r="AJ175" s="165"/>
      <c r="AK175" s="4"/>
      <c r="AL175" s="5"/>
      <c r="AM175" s="5"/>
      <c r="AN175" s="4"/>
      <c r="AO175" s="4"/>
      <c r="AP175" s="4"/>
      <c r="AQ175" s="4"/>
      <c r="AR175" s="5"/>
      <c r="AS175" s="5"/>
      <c r="AT175" s="5"/>
      <c r="AU175" s="5"/>
      <c r="AV175" s="4"/>
    </row>
    <row r="176" ht="15.0" customHeight="1">
      <c r="A176" s="73"/>
      <c r="B176" s="73"/>
      <c r="C176" s="73"/>
      <c r="D176" s="73"/>
      <c r="E176" s="73"/>
      <c r="F176" s="7"/>
      <c r="G176" s="7"/>
      <c r="H176" s="144" t="str">
        <f>IFERROR(__xludf.DUMMYFUNCTION("regexreplace(join("""",I176:O176), ""\*"", """")"),"ACDF")</f>
        <v>ACDF</v>
      </c>
      <c r="I176" s="49" t="s">
        <v>149</v>
      </c>
      <c r="J176" s="49"/>
      <c r="K176" s="49" t="s">
        <v>151</v>
      </c>
      <c r="L176" s="49" t="s">
        <v>152</v>
      </c>
      <c r="M176" s="49"/>
      <c r="N176" s="49" t="s">
        <v>159</v>
      </c>
      <c r="O176" s="49"/>
      <c r="P176" s="49" t="s">
        <v>160</v>
      </c>
      <c r="Q176" s="49" t="s">
        <v>154</v>
      </c>
      <c r="R176" s="49" t="s">
        <v>156</v>
      </c>
      <c r="S176" s="49" t="s">
        <v>153</v>
      </c>
      <c r="T176" s="22"/>
      <c r="U176" s="22"/>
      <c r="V176" s="22"/>
      <c r="W176" s="22"/>
      <c r="X176" s="22"/>
      <c r="Y176" s="22"/>
      <c r="Z176" s="22"/>
      <c r="AA176" s="22"/>
      <c r="AB176" s="8"/>
      <c r="AC176" s="22"/>
      <c r="AD176" s="22"/>
      <c r="AE176" s="22"/>
      <c r="AF176" s="22"/>
      <c r="AG176" s="22"/>
      <c r="AH176" s="22"/>
      <c r="AI176" s="5"/>
      <c r="AJ176" s="165"/>
      <c r="AK176" s="4"/>
      <c r="AL176" s="5"/>
      <c r="AM176" s="5"/>
      <c r="AN176" s="4"/>
      <c r="AO176" s="4"/>
      <c r="AP176" s="4"/>
      <c r="AQ176" s="4"/>
      <c r="AR176" s="5"/>
      <c r="AS176" s="5"/>
      <c r="AT176" s="5"/>
      <c r="AU176" s="5"/>
      <c r="AV176" s="4"/>
    </row>
    <row r="177" ht="15.0" customHeight="1">
      <c r="A177" s="73"/>
      <c r="B177" s="73"/>
      <c r="C177" s="73"/>
      <c r="D177" s="73"/>
      <c r="E177" s="73"/>
      <c r="F177" s="7"/>
      <c r="G177" s="7"/>
      <c r="H177" s="144" t="str">
        <f>IFERROR(__xludf.DUMMYFUNCTION("regexreplace(join("""",I177:O177), ""\*"", """")"),"ACEF")</f>
        <v>ACEF</v>
      </c>
      <c r="I177" s="49" t="s">
        <v>149</v>
      </c>
      <c r="J177" s="49"/>
      <c r="K177" s="49" t="s">
        <v>151</v>
      </c>
      <c r="L177" s="49"/>
      <c r="M177" s="49" t="s">
        <v>157</v>
      </c>
      <c r="N177" s="49" t="s">
        <v>159</v>
      </c>
      <c r="O177" s="49"/>
      <c r="P177" s="49" t="s">
        <v>158</v>
      </c>
      <c r="Q177" s="49" t="s">
        <v>160</v>
      </c>
      <c r="R177" s="49" t="s">
        <v>156</v>
      </c>
      <c r="S177" s="49" t="s">
        <v>153</v>
      </c>
      <c r="T177" s="22"/>
      <c r="U177" s="22"/>
      <c r="V177" s="22"/>
      <c r="W177" s="22"/>
      <c r="X177" s="22"/>
      <c r="Y177" s="22"/>
      <c r="Z177" s="22"/>
      <c r="AA177" s="22"/>
      <c r="AB177" s="8"/>
      <c r="AC177" s="22"/>
      <c r="AD177" s="22"/>
      <c r="AE177" s="22"/>
      <c r="AF177" s="22"/>
      <c r="AG177" s="22"/>
      <c r="AH177" s="22"/>
      <c r="AI177" s="5"/>
      <c r="AJ177" s="165"/>
      <c r="AK177" s="4"/>
      <c r="AL177" s="5"/>
      <c r="AM177" s="5"/>
      <c r="AN177" s="4"/>
      <c r="AO177" s="4"/>
      <c r="AP177" s="4"/>
      <c r="AQ177" s="4"/>
      <c r="AR177" s="5"/>
      <c r="AS177" s="5"/>
      <c r="AT177" s="5"/>
      <c r="AU177" s="5"/>
      <c r="AV177" s="4"/>
    </row>
    <row r="178" ht="15.0" customHeight="1">
      <c r="A178" s="73"/>
      <c r="B178" s="73"/>
      <c r="C178" s="73"/>
      <c r="D178" s="73"/>
      <c r="E178" s="73"/>
      <c r="F178" s="7"/>
      <c r="G178" s="7"/>
      <c r="H178" s="144" t="str">
        <f>IFERROR(__xludf.DUMMYFUNCTION("regexreplace(join("""",I178:O178), ""\*"", """")"),"ADEF")</f>
        <v>ADEF</v>
      </c>
      <c r="I178" s="49" t="s">
        <v>149</v>
      </c>
      <c r="J178" s="49"/>
      <c r="K178" s="49"/>
      <c r="L178" s="49" t="s">
        <v>152</v>
      </c>
      <c r="M178" s="49" t="s">
        <v>157</v>
      </c>
      <c r="N178" s="49" t="s">
        <v>159</v>
      </c>
      <c r="O178" s="49"/>
      <c r="P178" s="49" t="s">
        <v>158</v>
      </c>
      <c r="Q178" s="49" t="s">
        <v>160</v>
      </c>
      <c r="R178" s="49" t="s">
        <v>154</v>
      </c>
      <c r="S178" s="49" t="s">
        <v>153</v>
      </c>
      <c r="T178" s="22"/>
      <c r="U178" s="22"/>
      <c r="V178" s="22"/>
      <c r="W178" s="22"/>
      <c r="X178" s="22"/>
      <c r="Y178" s="22"/>
      <c r="Z178" s="22"/>
      <c r="AA178" s="22"/>
      <c r="AB178" s="8"/>
      <c r="AC178" s="22"/>
      <c r="AD178" s="22"/>
      <c r="AE178" s="22"/>
      <c r="AF178" s="22"/>
      <c r="AG178" s="22"/>
      <c r="AH178" s="22"/>
      <c r="AI178" s="5"/>
      <c r="AJ178" s="165"/>
      <c r="AK178" s="4"/>
      <c r="AL178" s="5"/>
      <c r="AM178" s="5"/>
      <c r="AN178" s="4"/>
      <c r="AO178" s="4"/>
      <c r="AP178" s="4"/>
      <c r="AQ178" s="4"/>
      <c r="AR178" s="5"/>
      <c r="AS178" s="5"/>
      <c r="AT178" s="5"/>
      <c r="AU178" s="5"/>
      <c r="AV178" s="4"/>
    </row>
    <row r="179" ht="15.0" customHeight="1">
      <c r="A179" s="73"/>
      <c r="B179" s="73"/>
      <c r="C179" s="73"/>
      <c r="D179" s="73"/>
      <c r="E179" s="73"/>
      <c r="F179" s="7"/>
      <c r="G179" s="7"/>
      <c r="H179" s="144" t="str">
        <f>IFERROR(__xludf.DUMMYFUNCTION("regexreplace(join("""",I179:O179), ""\*"", """")"),"BCDE")</f>
        <v>BCDE</v>
      </c>
      <c r="I179" s="49"/>
      <c r="J179" s="49" t="s">
        <v>150</v>
      </c>
      <c r="K179" s="49" t="s">
        <v>151</v>
      </c>
      <c r="L179" s="49" t="s">
        <v>152</v>
      </c>
      <c r="M179" s="49" t="s">
        <v>157</v>
      </c>
      <c r="N179" s="49"/>
      <c r="O179" s="49"/>
      <c r="P179" s="49" t="s">
        <v>158</v>
      </c>
      <c r="Q179" s="49" t="s">
        <v>154</v>
      </c>
      <c r="R179" s="49" t="s">
        <v>155</v>
      </c>
      <c r="S179" s="49" t="s">
        <v>156</v>
      </c>
      <c r="T179" s="22"/>
      <c r="U179" s="22"/>
      <c r="V179" s="22"/>
      <c r="W179" s="22"/>
      <c r="X179" s="22"/>
      <c r="Y179" s="22"/>
      <c r="Z179" s="22"/>
      <c r="AA179" s="22"/>
      <c r="AB179" s="8"/>
      <c r="AC179" s="22"/>
      <c r="AD179" s="22"/>
      <c r="AE179" s="22"/>
      <c r="AF179" s="22"/>
      <c r="AG179" s="22"/>
      <c r="AH179" s="22"/>
      <c r="AI179" s="5"/>
      <c r="AJ179" s="165"/>
      <c r="AK179" s="4"/>
      <c r="AL179" s="5"/>
      <c r="AM179" s="5"/>
      <c r="AN179" s="4"/>
      <c r="AO179" s="4"/>
      <c r="AP179" s="4"/>
      <c r="AQ179" s="4"/>
      <c r="AR179" s="5"/>
      <c r="AS179" s="5"/>
      <c r="AT179" s="5"/>
      <c r="AU179" s="5"/>
      <c r="AV179" s="4"/>
    </row>
    <row r="180" ht="15.0" customHeight="1">
      <c r="A180" s="73"/>
      <c r="B180" s="73"/>
      <c r="C180" s="73"/>
      <c r="D180" s="73"/>
      <c r="E180" s="73"/>
      <c r="F180" s="7"/>
      <c r="G180" s="7"/>
      <c r="H180" s="144" t="str">
        <f>IFERROR(__xludf.DUMMYFUNCTION("regexreplace(join("""",I180:O180), ""\*"", """")"),"BCDF")</f>
        <v>BCDF</v>
      </c>
      <c r="I180" s="49"/>
      <c r="J180" s="49" t="s">
        <v>150</v>
      </c>
      <c r="K180" s="49" t="s">
        <v>151</v>
      </c>
      <c r="L180" s="49" t="s">
        <v>152</v>
      </c>
      <c r="M180" s="49"/>
      <c r="N180" s="49" t="s">
        <v>159</v>
      </c>
      <c r="O180" s="49"/>
      <c r="P180" s="49" t="s">
        <v>160</v>
      </c>
      <c r="Q180" s="49" t="s">
        <v>154</v>
      </c>
      <c r="R180" s="49" t="s">
        <v>156</v>
      </c>
      <c r="S180" s="49" t="s">
        <v>155</v>
      </c>
      <c r="T180" s="22"/>
      <c r="U180" s="22"/>
      <c r="V180" s="22"/>
      <c r="W180" s="22"/>
      <c r="X180" s="22"/>
      <c r="Y180" s="22"/>
      <c r="Z180" s="22"/>
      <c r="AA180" s="22"/>
      <c r="AB180" s="8"/>
      <c r="AC180" s="22"/>
      <c r="AD180" s="22"/>
      <c r="AE180" s="22"/>
      <c r="AF180" s="22"/>
      <c r="AG180" s="22"/>
      <c r="AH180" s="22"/>
      <c r="AI180" s="5"/>
      <c r="AJ180" s="165"/>
      <c r="AK180" s="4"/>
      <c r="AL180" s="5"/>
      <c r="AM180" s="5"/>
      <c r="AN180" s="4"/>
      <c r="AO180" s="4"/>
      <c r="AP180" s="4"/>
      <c r="AQ180" s="4"/>
      <c r="AR180" s="5"/>
      <c r="AS180" s="5"/>
      <c r="AT180" s="5"/>
      <c r="AU180" s="5"/>
      <c r="AV180" s="4"/>
    </row>
    <row r="181" ht="15.0" customHeight="1">
      <c r="A181" s="73"/>
      <c r="B181" s="73"/>
      <c r="C181" s="73"/>
      <c r="D181" s="73"/>
      <c r="E181" s="73"/>
      <c r="F181" s="7"/>
      <c r="G181" s="7"/>
      <c r="H181" s="144" t="str">
        <f>IFERROR(__xludf.DUMMYFUNCTION("regexreplace(join("""",I181:O181), ""\*"", """")"),"BCEF")</f>
        <v>BCEF</v>
      </c>
      <c r="I181" s="49"/>
      <c r="J181" s="49" t="s">
        <v>150</v>
      </c>
      <c r="K181" s="49" t="s">
        <v>151</v>
      </c>
      <c r="L181" s="49"/>
      <c r="M181" s="49" t="s">
        <v>157</v>
      </c>
      <c r="N181" s="49" t="s">
        <v>159</v>
      </c>
      <c r="O181" s="49"/>
      <c r="P181" s="49" t="s">
        <v>160</v>
      </c>
      <c r="Q181" s="49" t="s">
        <v>158</v>
      </c>
      <c r="R181" s="49" t="s">
        <v>156</v>
      </c>
      <c r="S181" s="49" t="s">
        <v>155</v>
      </c>
      <c r="T181" s="22"/>
      <c r="U181" s="22"/>
      <c r="V181" s="22"/>
      <c r="W181" s="22"/>
      <c r="X181" s="22"/>
      <c r="Y181" s="22"/>
      <c r="Z181" s="22"/>
      <c r="AA181" s="22"/>
      <c r="AB181" s="8"/>
      <c r="AC181" s="22"/>
      <c r="AD181" s="22"/>
      <c r="AE181" s="22"/>
      <c r="AF181" s="22"/>
      <c r="AG181" s="22"/>
      <c r="AH181" s="22"/>
      <c r="AI181" s="5"/>
      <c r="AJ181" s="165"/>
      <c r="AK181" s="4"/>
      <c r="AL181" s="5"/>
      <c r="AM181" s="5"/>
      <c r="AN181" s="4"/>
      <c r="AO181" s="4"/>
      <c r="AP181" s="4"/>
      <c r="AQ181" s="4"/>
      <c r="AR181" s="5"/>
      <c r="AS181" s="5"/>
      <c r="AT181" s="5"/>
      <c r="AU181" s="5"/>
      <c r="AV181" s="4"/>
    </row>
    <row r="182" ht="15.0" customHeight="1">
      <c r="A182" s="73"/>
      <c r="B182" s="73"/>
      <c r="C182" s="73"/>
      <c r="D182" s="73"/>
      <c r="E182" s="73"/>
      <c r="F182" s="7"/>
      <c r="G182" s="7"/>
      <c r="H182" s="144" t="str">
        <f>IFERROR(__xludf.DUMMYFUNCTION("regexreplace(join("""",I182:O182), ""\*"", """")"),"BDEF")</f>
        <v>BDEF</v>
      </c>
      <c r="I182" s="49"/>
      <c r="J182" s="49" t="s">
        <v>150</v>
      </c>
      <c r="K182" s="49"/>
      <c r="L182" s="49" t="s">
        <v>152</v>
      </c>
      <c r="M182" s="49" t="s">
        <v>157</v>
      </c>
      <c r="N182" s="49" t="s">
        <v>159</v>
      </c>
      <c r="O182" s="49"/>
      <c r="P182" s="49" t="s">
        <v>160</v>
      </c>
      <c r="Q182" s="49" t="s">
        <v>158</v>
      </c>
      <c r="R182" s="49" t="s">
        <v>154</v>
      </c>
      <c r="S182" s="49" t="s">
        <v>155</v>
      </c>
      <c r="T182" s="22"/>
      <c r="U182" s="22"/>
      <c r="V182" s="22"/>
      <c r="W182" s="22"/>
      <c r="X182" s="22"/>
      <c r="Y182" s="22"/>
      <c r="Z182" s="22"/>
      <c r="AA182" s="22"/>
      <c r="AB182" s="8"/>
      <c r="AC182" s="22"/>
      <c r="AD182" s="22"/>
      <c r="AE182" s="22"/>
      <c r="AF182" s="22"/>
      <c r="AG182" s="22"/>
      <c r="AH182" s="22"/>
      <c r="AI182" s="5"/>
      <c r="AJ182" s="165"/>
      <c r="AK182" s="4"/>
      <c r="AL182" s="5"/>
      <c r="AM182" s="5"/>
      <c r="AN182" s="4"/>
      <c r="AO182" s="4"/>
      <c r="AP182" s="4"/>
      <c r="AQ182" s="4"/>
      <c r="AR182" s="5"/>
      <c r="AS182" s="5"/>
      <c r="AT182" s="5"/>
      <c r="AU182" s="5"/>
      <c r="AV182" s="4"/>
    </row>
    <row r="183" ht="15.0" customHeight="1">
      <c r="A183" s="73"/>
      <c r="B183" s="73"/>
      <c r="C183" s="73"/>
      <c r="D183" s="73"/>
      <c r="E183" s="73"/>
      <c r="F183" s="7"/>
      <c r="G183" s="7"/>
      <c r="H183" s="144" t="str">
        <f>IFERROR(__xludf.DUMMYFUNCTION("regexreplace(join("""",I183:O183), ""\*"", """")"),"CDEF")</f>
        <v>CDEF</v>
      </c>
      <c r="I183" s="49"/>
      <c r="J183" s="49"/>
      <c r="K183" s="49" t="s">
        <v>151</v>
      </c>
      <c r="L183" s="49" t="s">
        <v>152</v>
      </c>
      <c r="M183" s="49" t="s">
        <v>157</v>
      </c>
      <c r="N183" s="49" t="s">
        <v>159</v>
      </c>
      <c r="O183" s="49"/>
      <c r="P183" s="49" t="s">
        <v>160</v>
      </c>
      <c r="Q183" s="49" t="s">
        <v>158</v>
      </c>
      <c r="R183" s="49" t="s">
        <v>154</v>
      </c>
      <c r="S183" s="49" t="s">
        <v>156</v>
      </c>
      <c r="T183" s="22"/>
      <c r="U183" s="22"/>
      <c r="V183" s="22"/>
      <c r="W183" s="22"/>
      <c r="X183" s="22"/>
      <c r="Y183" s="22"/>
      <c r="Z183" s="22"/>
      <c r="AA183" s="22"/>
      <c r="AB183" s="8"/>
      <c r="AC183" s="22"/>
      <c r="AD183" s="22"/>
      <c r="AE183" s="22"/>
      <c r="AF183" s="22"/>
      <c r="AG183" s="22"/>
      <c r="AH183" s="22"/>
      <c r="AI183" s="5"/>
      <c r="AJ183" s="165"/>
      <c r="AK183" s="4"/>
      <c r="AL183" s="5"/>
      <c r="AM183" s="5"/>
      <c r="AN183" s="4"/>
      <c r="AO183" s="4"/>
      <c r="AP183" s="4"/>
      <c r="AQ183" s="4"/>
      <c r="AR183" s="5"/>
      <c r="AS183" s="5"/>
      <c r="AT183" s="5"/>
      <c r="AU183" s="5"/>
      <c r="AV183" s="4"/>
    </row>
  </sheetData>
  <mergeCells count="62">
    <mergeCell ref="A8:F18"/>
    <mergeCell ref="A21:F24"/>
    <mergeCell ref="A33:F43"/>
    <mergeCell ref="G45:H45"/>
    <mergeCell ref="A46:F49"/>
    <mergeCell ref="A58:F68"/>
    <mergeCell ref="G70:H70"/>
    <mergeCell ref="A71:F74"/>
    <mergeCell ref="A83:F93"/>
    <mergeCell ref="G95:H95"/>
    <mergeCell ref="A96:F99"/>
    <mergeCell ref="A108:F118"/>
    <mergeCell ref="G120:H120"/>
    <mergeCell ref="A121:F124"/>
    <mergeCell ref="AC2:AC5"/>
    <mergeCell ref="R3:T6"/>
    <mergeCell ref="AC6:AC9"/>
    <mergeCell ref="AC10:AC13"/>
    <mergeCell ref="AC15:AH15"/>
    <mergeCell ref="AC16:AH24"/>
    <mergeCell ref="G20:H20"/>
    <mergeCell ref="AC27:AC30"/>
    <mergeCell ref="R28:T31"/>
    <mergeCell ref="AC31:AC34"/>
    <mergeCell ref="AC35:AC38"/>
    <mergeCell ref="AC40:AH40"/>
    <mergeCell ref="AC41:AH49"/>
    <mergeCell ref="R53:T56"/>
    <mergeCell ref="AC52:AC55"/>
    <mergeCell ref="AC56:AC59"/>
    <mergeCell ref="AC60:AC63"/>
    <mergeCell ref="AC65:AH65"/>
    <mergeCell ref="AC66:AH74"/>
    <mergeCell ref="AC77:AC80"/>
    <mergeCell ref="R78:T81"/>
    <mergeCell ref="AC81:AC84"/>
    <mergeCell ref="AC85:AC88"/>
    <mergeCell ref="AC90:AH90"/>
    <mergeCell ref="AC91:AH99"/>
    <mergeCell ref="AC102:AC105"/>
    <mergeCell ref="R103:T106"/>
    <mergeCell ref="AC106:AC109"/>
    <mergeCell ref="AC110:AC113"/>
    <mergeCell ref="AC115:AH115"/>
    <mergeCell ref="AC116:AH124"/>
    <mergeCell ref="AC127:AC130"/>
    <mergeCell ref="R128:T131"/>
    <mergeCell ref="AC131:AC134"/>
    <mergeCell ref="AC135:AC138"/>
    <mergeCell ref="A133:F143"/>
    <mergeCell ref="G145:H145"/>
    <mergeCell ref="A146:F149"/>
    <mergeCell ref="G152:H152"/>
    <mergeCell ref="G160:H160"/>
    <mergeCell ref="I168:O168"/>
    <mergeCell ref="AC140:AH140"/>
    <mergeCell ref="AC141:AH149"/>
    <mergeCell ref="A151:AA151"/>
    <mergeCell ref="T153:AA158"/>
    <mergeCell ref="AC156:AH157"/>
    <mergeCell ref="AC158:AH166"/>
    <mergeCell ref="A159:E167"/>
  </mergeCells>
  <conditionalFormatting sqref="AY2:AY183">
    <cfRule type="expression" dxfId="4" priority="1">
      <formula>and(not(AW2=""),AY2="")</formula>
    </cfRule>
  </conditionalFormatting>
  <conditionalFormatting sqref="AO2:AQ183">
    <cfRule type="expression" dxfId="4" priority="2">
      <formula>not($AN2="")</formula>
    </cfRule>
  </conditionalFormatting>
  <conditionalFormatting sqref="AJ16:AJ183">
    <cfRule type="notContainsBlanks" dxfId="4" priority="3">
      <formula>LEN(TRIM(AJ16))&gt;0</formula>
    </cfRule>
  </conditionalFormatting>
  <dataValidations>
    <dataValidation type="custom" allowBlank="1" showDropDown="1" showInputMessage="1" showErrorMessage="1" prompt="Please enter a whole number greater than zero." sqref="AK2:AK3 AK6:AK8">
      <formula1>and(isnumber(AK2),trunc(AK2)-AK2=0,AK2&gt;0)</formula1>
    </dataValidation>
    <dataValidation type="custom" allowBlank="1" showDropDown="1" showInputMessage="1" showErrorMessage="1" prompt="Please enter a whole number greater than or equal to 0." sqref="AO2:AQ25">
      <formula1>and(isnumber(AO2),trunc(AO2)-AO2=0,AO2&gt;=0)</formula1>
    </dataValidation>
    <dataValidation type="custom" allowBlank="1" showDropDown="1" showInputMessage="1" showErrorMessage="1" prompt="Please enter a whole number greater than or equal to 0." sqref="AV2:AV5 S153:S158">
      <formula1>and(isnumber(S2), S2 &gt;= 0)</formula1>
    </dataValidation>
  </dataValidations>
  <hyperlinks>
    <hyperlink r:id="rId2" ref="AX2"/>
    <hyperlink r:id="rId3" ref="AX3"/>
    <hyperlink r:id="rId4" ref="AX4"/>
    <hyperlink r:id="rId5" ref="AX5"/>
    <hyperlink r:id="rId6" ref="AX6"/>
    <hyperlink r:id="rId7" ref="AX7"/>
    <hyperlink r:id="rId8" ref="AX8"/>
    <hyperlink r:id="rId9" ref="AX9"/>
    <hyperlink r:id="rId10" ref="AX10"/>
  </hyperlinks>
  <drawing r:id="rId11"/>
  <legacyDrawing r:id="rId12"/>
</worksheet>
</file>