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UPN JATIM\2. RESEARCH\202106 ICRMCE UNS\"/>
    </mc:Choice>
  </mc:AlternateContent>
  <bookViews>
    <workbookView xWindow="0" yWindow="0" windowWidth="19200" windowHeight="8010" activeTab="1"/>
  </bookViews>
  <sheets>
    <sheet name="Input" sheetId="3" r:id="rId1"/>
    <sheet name="ahs (cost_id vs resource_id)" sheetId="4" r:id="rId2"/>
    <sheet name="Resource (old)" sheetId="5" state="hidden" r:id="rId3"/>
    <sheet name="Resource (new2)" sheetId="8" r:id="rId4"/>
    <sheet name="Proposed table" sheetId="9" r:id="rId5"/>
    <sheet name="Resource (new)" sheetId="7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6" i="3" l="1"/>
  <c r="Q65" i="3"/>
  <c r="H115" i="8" l="1"/>
  <c r="I92" i="8"/>
  <c r="H65" i="8"/>
  <c r="I65" i="8" s="1"/>
  <c r="H59" i="8"/>
  <c r="I59" i="8" s="1"/>
  <c r="I91" i="8"/>
  <c r="I46" i="8"/>
  <c r="G26" i="8"/>
  <c r="I26" i="8" s="1"/>
  <c r="H114" i="8"/>
  <c r="I50" i="8"/>
  <c r="H113" i="8"/>
  <c r="I90" i="8"/>
  <c r="I89" i="8"/>
  <c r="I88" i="8"/>
  <c r="I45" i="8"/>
  <c r="G25" i="8"/>
  <c r="I25" i="8" s="1"/>
  <c r="H112" i="8"/>
  <c r="I49" i="8"/>
  <c r="H111" i="8"/>
  <c r="H84" i="8"/>
  <c r="I84" i="8" s="1"/>
  <c r="I87" i="8"/>
  <c r="I86" i="8"/>
  <c r="G44" i="8"/>
  <c r="I44" i="8" s="1"/>
  <c r="G24" i="8"/>
  <c r="I24" i="8" s="1"/>
  <c r="H110" i="8"/>
  <c r="I85" i="8"/>
  <c r="I83" i="8"/>
  <c r="I82" i="8"/>
  <c r="I43" i="8"/>
  <c r="G23" i="8"/>
  <c r="I23" i="8" s="1"/>
  <c r="H109" i="8"/>
  <c r="I71" i="8"/>
  <c r="I81" i="8"/>
  <c r="I42" i="8"/>
  <c r="G22" i="8"/>
  <c r="I22" i="8" s="1"/>
  <c r="H108" i="8"/>
  <c r="I64" i="8"/>
  <c r="I58" i="8"/>
  <c r="I41" i="8"/>
  <c r="G21" i="8"/>
  <c r="I21" i="8" s="1"/>
  <c r="H107" i="8"/>
  <c r="I80" i="8"/>
  <c r="I40" i="8"/>
  <c r="G20" i="8"/>
  <c r="I20" i="8" s="1"/>
  <c r="H106" i="8"/>
  <c r="I79" i="8"/>
  <c r="I39" i="8"/>
  <c r="G19" i="8"/>
  <c r="I19" i="8" s="1"/>
  <c r="H105" i="8"/>
  <c r="I78" i="8"/>
  <c r="I77" i="8"/>
  <c r="I38" i="8"/>
  <c r="G18" i="8"/>
  <c r="I18" i="8" s="1"/>
  <c r="H104" i="8"/>
  <c r="I76" i="8"/>
  <c r="I37" i="8"/>
  <c r="I17" i="8"/>
  <c r="H103" i="8"/>
  <c r="I75" i="8"/>
  <c r="I36" i="8"/>
  <c r="I16" i="8"/>
  <c r="H102" i="8"/>
  <c r="I74" i="8"/>
  <c r="I35" i="8"/>
  <c r="I15" i="8"/>
  <c r="H101" i="8"/>
  <c r="H62" i="8"/>
  <c r="H63" i="8" s="1"/>
  <c r="I63" i="8" s="1"/>
  <c r="H56" i="8"/>
  <c r="H57" i="8" s="1"/>
  <c r="I57" i="8" s="1"/>
  <c r="I73" i="8"/>
  <c r="I34" i="8"/>
  <c r="G14" i="8"/>
  <c r="I14" i="8" s="1"/>
  <c r="H100" i="8"/>
  <c r="I72" i="8"/>
  <c r="I70" i="8"/>
  <c r="I69" i="8"/>
  <c r="I33" i="8"/>
  <c r="G13" i="8"/>
  <c r="I13" i="8" s="1"/>
  <c r="H99" i="8"/>
  <c r="H61" i="8"/>
  <c r="I61" i="8" s="1"/>
  <c r="H55" i="8"/>
  <c r="G55" i="8"/>
  <c r="I68" i="8"/>
  <c r="I32" i="8"/>
  <c r="I12" i="8"/>
  <c r="H98" i="8"/>
  <c r="I67" i="8"/>
  <c r="I66" i="8"/>
  <c r="I60" i="8"/>
  <c r="I54" i="8"/>
  <c r="I53" i="8"/>
  <c r="I31" i="8"/>
  <c r="G11" i="8"/>
  <c r="I11" i="8" s="1"/>
  <c r="H97" i="8"/>
  <c r="I52" i="8"/>
  <c r="I51" i="8"/>
  <c r="I48" i="8"/>
  <c r="I30" i="8"/>
  <c r="G10" i="8"/>
  <c r="I10" i="8" s="1"/>
  <c r="H96" i="8"/>
  <c r="I29" i="8"/>
  <c r="I9" i="8"/>
  <c r="H95" i="8"/>
  <c r="I47" i="8"/>
  <c r="H94" i="8"/>
  <c r="I28" i="8"/>
  <c r="I8" i="8"/>
  <c r="H93" i="8"/>
  <c r="I27" i="8"/>
  <c r="G7" i="8"/>
  <c r="I7" i="8" s="1"/>
  <c r="I55" i="8" l="1"/>
  <c r="I56" i="8"/>
  <c r="I93" i="8"/>
  <c r="I94" i="8" s="1"/>
  <c r="I62" i="8"/>
  <c r="F111" i="7"/>
  <c r="G88" i="7"/>
  <c r="F87" i="7"/>
  <c r="G87" i="7" s="1"/>
  <c r="F86" i="7"/>
  <c r="G86" i="7" s="1"/>
  <c r="G85" i="7"/>
  <c r="G42" i="7"/>
  <c r="E41" i="7"/>
  <c r="G41" i="7" s="1"/>
  <c r="F110" i="7"/>
  <c r="G46" i="7"/>
  <c r="F109" i="7"/>
  <c r="G84" i="7"/>
  <c r="G83" i="7"/>
  <c r="G82" i="7"/>
  <c r="G40" i="7"/>
  <c r="E39" i="7"/>
  <c r="G39" i="7" s="1"/>
  <c r="F108" i="7"/>
  <c r="G45" i="7"/>
  <c r="F107" i="7"/>
  <c r="F81" i="7"/>
  <c r="G81" i="7" s="1"/>
  <c r="G80" i="7"/>
  <c r="G79" i="7"/>
  <c r="E38" i="7"/>
  <c r="G38" i="7" s="1"/>
  <c r="E37" i="7"/>
  <c r="G37" i="7" s="1"/>
  <c r="F106" i="7"/>
  <c r="G78" i="7"/>
  <c r="G77" i="7"/>
  <c r="G76" i="7"/>
  <c r="G36" i="7"/>
  <c r="E35" i="7"/>
  <c r="G35" i="7" s="1"/>
  <c r="F105" i="7"/>
  <c r="G75" i="7"/>
  <c r="G74" i="7"/>
  <c r="G34" i="7"/>
  <c r="E33" i="7"/>
  <c r="G33" i="7" s="1"/>
  <c r="F104" i="7"/>
  <c r="G73" i="7"/>
  <c r="G72" i="7"/>
  <c r="G32" i="7"/>
  <c r="E31" i="7"/>
  <c r="G31" i="7" s="1"/>
  <c r="F103" i="7"/>
  <c r="G69" i="7"/>
  <c r="G30" i="7"/>
  <c r="E29" i="7"/>
  <c r="G29" i="7" s="1"/>
  <c r="F102" i="7"/>
  <c r="G68" i="7"/>
  <c r="G28" i="7"/>
  <c r="E27" i="7"/>
  <c r="G27" i="7" s="1"/>
  <c r="F101" i="7"/>
  <c r="G67" i="7"/>
  <c r="G66" i="7"/>
  <c r="G26" i="7"/>
  <c r="E25" i="7"/>
  <c r="G25" i="7" s="1"/>
  <c r="F100" i="7"/>
  <c r="G65" i="7"/>
  <c r="G24" i="7"/>
  <c r="G23" i="7"/>
  <c r="F99" i="7"/>
  <c r="G64" i="7"/>
  <c r="G22" i="7"/>
  <c r="G21" i="7"/>
  <c r="F90" i="7"/>
  <c r="G63" i="7"/>
  <c r="G20" i="7"/>
  <c r="G19" i="7"/>
  <c r="F98" i="7"/>
  <c r="F61" i="7"/>
  <c r="F70" i="7" s="1"/>
  <c r="G70" i="7" s="1"/>
  <c r="G60" i="7"/>
  <c r="G18" i="7"/>
  <c r="E17" i="7"/>
  <c r="G17" i="7" s="1"/>
  <c r="F97" i="7"/>
  <c r="G59" i="7"/>
  <c r="G58" i="7"/>
  <c r="G57" i="7"/>
  <c r="G16" i="7"/>
  <c r="E15" i="7"/>
  <c r="G15" i="7" s="1"/>
  <c r="F96" i="7"/>
  <c r="F56" i="7"/>
  <c r="F62" i="7" s="1"/>
  <c r="F55" i="7"/>
  <c r="E55" i="7"/>
  <c r="G54" i="7"/>
  <c r="G14" i="7"/>
  <c r="G13" i="7"/>
  <c r="F95" i="7"/>
  <c r="G53" i="7"/>
  <c r="G52" i="7"/>
  <c r="G51" i="7"/>
  <c r="G50" i="7"/>
  <c r="G49" i="7"/>
  <c r="G12" i="7"/>
  <c r="E11" i="7"/>
  <c r="G11" i="7" s="1"/>
  <c r="F94" i="7"/>
  <c r="G48" i="7"/>
  <c r="G47" i="7"/>
  <c r="G44" i="7"/>
  <c r="G10" i="7"/>
  <c r="E9" i="7"/>
  <c r="G9" i="7" s="1"/>
  <c r="F93" i="7"/>
  <c r="G8" i="7"/>
  <c r="G7" i="7"/>
  <c r="F92" i="7"/>
  <c r="G43" i="7"/>
  <c r="F91" i="7"/>
  <c r="G6" i="7"/>
  <c r="G5" i="7"/>
  <c r="F89" i="7"/>
  <c r="G4" i="7"/>
  <c r="E3" i="7"/>
  <c r="G3" i="7" s="1"/>
  <c r="H134" i="4"/>
  <c r="H126" i="4"/>
  <c r="H123" i="4"/>
  <c r="H116" i="4"/>
  <c r="H113" i="4"/>
  <c r="H106" i="4"/>
  <c r="H99" i="4"/>
  <c r="H93" i="4"/>
  <c r="H87" i="4"/>
  <c r="H80" i="4"/>
  <c r="H75" i="4"/>
  <c r="H69" i="4"/>
  <c r="H64" i="4"/>
  <c r="H59" i="4"/>
  <c r="H54" i="4"/>
  <c r="H47" i="4"/>
  <c r="H40" i="4"/>
  <c r="H33" i="4"/>
  <c r="H24" i="4"/>
  <c r="H17" i="4"/>
  <c r="H13" i="4"/>
  <c r="H10" i="4"/>
  <c r="H6" i="4"/>
  <c r="I95" i="8" l="1"/>
  <c r="G56" i="7"/>
  <c r="G61" i="7"/>
  <c r="G55" i="7"/>
  <c r="F71" i="7"/>
  <c r="G71" i="7" s="1"/>
  <c r="G62" i="7"/>
  <c r="G89" i="7"/>
  <c r="E68" i="5"/>
  <c r="E57" i="5"/>
  <c r="D75" i="5"/>
  <c r="C75" i="5"/>
  <c r="B75" i="5"/>
  <c r="D51" i="5"/>
  <c r="C51" i="5"/>
  <c r="B51" i="5"/>
  <c r="E26" i="5"/>
  <c r="D81" i="5"/>
  <c r="C81" i="5"/>
  <c r="B81" i="5"/>
  <c r="D71" i="5"/>
  <c r="C71" i="5"/>
  <c r="B71" i="5"/>
  <c r="D70" i="5"/>
  <c r="C70" i="5"/>
  <c r="B70" i="5"/>
  <c r="D79" i="5"/>
  <c r="C79" i="5"/>
  <c r="B79" i="5"/>
  <c r="E54" i="5"/>
  <c r="D80" i="5"/>
  <c r="C80" i="5"/>
  <c r="B80" i="5"/>
  <c r="E53" i="5"/>
  <c r="D61" i="5"/>
  <c r="C61" i="5"/>
  <c r="B61" i="5"/>
  <c r="D69" i="5"/>
  <c r="C69" i="5"/>
  <c r="B69" i="5"/>
  <c r="C59" i="5"/>
  <c r="B59" i="5"/>
  <c r="H112" i="4"/>
  <c r="I6" i="4"/>
  <c r="I4" i="4"/>
  <c r="I96" i="8" l="1"/>
  <c r="G90" i="7"/>
  <c r="E65" i="5"/>
  <c r="E55" i="5"/>
  <c r="Y61" i="3"/>
  <c r="Y60" i="3"/>
  <c r="I134" i="4"/>
  <c r="I127" i="4" s="1"/>
  <c r="Z66" i="3" s="1"/>
  <c r="AA66" i="3" s="1"/>
  <c r="I133" i="4"/>
  <c r="I132" i="4"/>
  <c r="I131" i="4"/>
  <c r="I130" i="4"/>
  <c r="I129" i="4"/>
  <c r="I128" i="4"/>
  <c r="H132" i="4"/>
  <c r="H131" i="4"/>
  <c r="G128" i="4"/>
  <c r="I125" i="4"/>
  <c r="I126" i="4" s="1"/>
  <c r="I122" i="4"/>
  <c r="I121" i="4"/>
  <c r="I120" i="4"/>
  <c r="I119" i="4"/>
  <c r="G118" i="4"/>
  <c r="I118" i="4" s="1"/>
  <c r="I116" i="4"/>
  <c r="I114" i="4" s="1"/>
  <c r="Z63" i="3" s="1"/>
  <c r="AA63" i="3" s="1"/>
  <c r="I115" i="4"/>
  <c r="I111" i="4"/>
  <c r="I110" i="4"/>
  <c r="I108" i="4"/>
  <c r="I112" i="4"/>
  <c r="G109" i="4"/>
  <c r="I109" i="4" s="1"/>
  <c r="G108" i="4"/>
  <c r="I105" i="4"/>
  <c r="I104" i="4"/>
  <c r="I103" i="4"/>
  <c r="I102" i="4"/>
  <c r="G101" i="4"/>
  <c r="I101" i="4" s="1"/>
  <c r="I106" i="4" s="1"/>
  <c r="I98" i="4"/>
  <c r="I97" i="4"/>
  <c r="I96" i="4"/>
  <c r="G95" i="4"/>
  <c r="I95" i="4" s="1"/>
  <c r="I92" i="4"/>
  <c r="I91" i="4"/>
  <c r="I90" i="4"/>
  <c r="G89" i="4"/>
  <c r="I89" i="4" s="1"/>
  <c r="I84" i="4"/>
  <c r="I83" i="4"/>
  <c r="G82" i="4"/>
  <c r="I82" i="4" s="1"/>
  <c r="I79" i="4"/>
  <c r="I78" i="4"/>
  <c r="G77" i="4"/>
  <c r="I77" i="4" s="1"/>
  <c r="I74" i="4"/>
  <c r="I73" i="4"/>
  <c r="I72" i="4"/>
  <c r="G71" i="4"/>
  <c r="I71" i="4" s="1"/>
  <c r="I68" i="4"/>
  <c r="I67" i="4"/>
  <c r="I69" i="4" s="1"/>
  <c r="I66" i="4"/>
  <c r="I63" i="4"/>
  <c r="I62" i="4"/>
  <c r="I61" i="4"/>
  <c r="I97" i="8" l="1"/>
  <c r="I98" i="8" s="1"/>
  <c r="G91" i="7"/>
  <c r="E64" i="5"/>
  <c r="E66" i="5"/>
  <c r="I124" i="4"/>
  <c r="Z65" i="3" s="1"/>
  <c r="AA65" i="3" s="1"/>
  <c r="I123" i="4"/>
  <c r="I117" i="4" s="1"/>
  <c r="Z64" i="3" s="1"/>
  <c r="AA64" i="3" s="1"/>
  <c r="I113" i="4"/>
  <c r="I107" i="4" s="1"/>
  <c r="Z62" i="3" s="1"/>
  <c r="AA62" i="3" s="1"/>
  <c r="I80" i="4"/>
  <c r="I76" i="4" s="1"/>
  <c r="Z57" i="3" s="1"/>
  <c r="AA57" i="3" s="1"/>
  <c r="I75" i="4"/>
  <c r="I70" i="4" s="1"/>
  <c r="Z56" i="3" s="1"/>
  <c r="AA56" i="3" s="1"/>
  <c r="I93" i="4"/>
  <c r="I88" i="4" s="1"/>
  <c r="Z59" i="3" s="1"/>
  <c r="AA59" i="3" s="1"/>
  <c r="I100" i="4"/>
  <c r="Z61" i="3" s="1"/>
  <c r="AA61" i="3" s="1"/>
  <c r="I99" i="4"/>
  <c r="I94" i="4" s="1"/>
  <c r="Z60" i="3" s="1"/>
  <c r="AA60" i="3" s="1"/>
  <c r="I65" i="4"/>
  <c r="Z55" i="3" s="1"/>
  <c r="AA55" i="3" s="1"/>
  <c r="I64" i="4"/>
  <c r="I60" i="4" s="1"/>
  <c r="Z54" i="3" s="1"/>
  <c r="AA54" i="3" s="1"/>
  <c r="I99" i="8" l="1"/>
  <c r="G92" i="7"/>
  <c r="G93" i="7" s="1"/>
  <c r="I58" i="4"/>
  <c r="I57" i="4"/>
  <c r="I56" i="4"/>
  <c r="I51" i="4"/>
  <c r="I50" i="4"/>
  <c r="H52" i="4"/>
  <c r="H85" i="4" s="1"/>
  <c r="I85" i="4" s="1"/>
  <c r="G49" i="4"/>
  <c r="I49" i="4" s="1"/>
  <c r="I46" i="4"/>
  <c r="I45" i="4"/>
  <c r="I44" i="4"/>
  <c r="I43" i="4"/>
  <c r="G42" i="4"/>
  <c r="I42" i="4" s="1"/>
  <c r="I36" i="4"/>
  <c r="I37" i="4"/>
  <c r="I35" i="4"/>
  <c r="H39" i="4"/>
  <c r="H53" i="4" s="1"/>
  <c r="H38" i="4"/>
  <c r="G38" i="4"/>
  <c r="I16" i="4"/>
  <c r="I15" i="4"/>
  <c r="I17" i="4" s="1"/>
  <c r="I12" i="4"/>
  <c r="I100" i="8" l="1"/>
  <c r="I101" i="8" s="1"/>
  <c r="G94" i="7"/>
  <c r="G95" i="7"/>
  <c r="I38" i="4"/>
  <c r="I47" i="4"/>
  <c r="I41" i="4" s="1"/>
  <c r="Z51" i="3" s="1"/>
  <c r="AA51" i="3" s="1"/>
  <c r="H86" i="4"/>
  <c r="I86" i="4" s="1"/>
  <c r="I87" i="4" s="1"/>
  <c r="I81" i="4" s="1"/>
  <c r="Z58" i="3" s="1"/>
  <c r="AA58" i="3" s="1"/>
  <c r="I53" i="4"/>
  <c r="I39" i="4"/>
  <c r="I40" i="4" s="1"/>
  <c r="I34" i="4" s="1"/>
  <c r="Z50" i="3" s="1"/>
  <c r="AA50" i="3" s="1"/>
  <c r="I14" i="4"/>
  <c r="Z47" i="3" s="1"/>
  <c r="AA47" i="3" s="1"/>
  <c r="I52" i="4"/>
  <c r="I54" i="4" s="1"/>
  <c r="I48" i="4" s="1"/>
  <c r="Z52" i="3" s="1"/>
  <c r="AA52" i="3" s="1"/>
  <c r="I59" i="4"/>
  <c r="I55" i="4" s="1"/>
  <c r="Z53" i="3" s="1"/>
  <c r="AA53" i="3" s="1"/>
  <c r="I13" i="4"/>
  <c r="I11" i="4" s="1"/>
  <c r="Z46" i="3" s="1"/>
  <c r="AA46" i="3" s="1"/>
  <c r="I9" i="4"/>
  <c r="I8" i="4"/>
  <c r="I5" i="4"/>
  <c r="G4" i="4"/>
  <c r="I102" i="8" l="1"/>
  <c r="G96" i="7"/>
  <c r="I10" i="4"/>
  <c r="I7" i="4" s="1"/>
  <c r="Z45" i="3" s="1"/>
  <c r="AA45" i="3" s="1"/>
  <c r="I3" i="4"/>
  <c r="Z44" i="3" s="1"/>
  <c r="AA44" i="3" s="1"/>
  <c r="I103" i="8" l="1"/>
  <c r="G97" i="7"/>
  <c r="I23" i="4"/>
  <c r="I22" i="4"/>
  <c r="I21" i="4"/>
  <c r="I20" i="4"/>
  <c r="G19" i="4"/>
  <c r="I19" i="4" s="1"/>
  <c r="I104" i="8" l="1"/>
  <c r="I105" i="8" s="1"/>
  <c r="G98" i="7"/>
  <c r="G99" i="7"/>
  <c r="I24" i="4"/>
  <c r="I18" i="4" s="1"/>
  <c r="Z48" i="3" s="1"/>
  <c r="AA48" i="3" s="1"/>
  <c r="I27" i="4"/>
  <c r="I28" i="4"/>
  <c r="I29" i="4"/>
  <c r="I30" i="4"/>
  <c r="I31" i="4"/>
  <c r="I32" i="4"/>
  <c r="G26" i="4"/>
  <c r="I26" i="4" s="1"/>
  <c r="E48" i="4"/>
  <c r="F48" i="4"/>
  <c r="E55" i="4"/>
  <c r="F55" i="4"/>
  <c r="E60" i="4"/>
  <c r="F60" i="4"/>
  <c r="E65" i="4"/>
  <c r="F65" i="4"/>
  <c r="E70" i="4"/>
  <c r="F70" i="4"/>
  <c r="E76" i="4"/>
  <c r="F76" i="4"/>
  <c r="E81" i="4"/>
  <c r="F81" i="4"/>
  <c r="E88" i="4"/>
  <c r="F88" i="4"/>
  <c r="E94" i="4"/>
  <c r="F94" i="4"/>
  <c r="E100" i="4"/>
  <c r="E107" i="4"/>
  <c r="F107" i="4"/>
  <c r="E114" i="4"/>
  <c r="E117" i="4"/>
  <c r="F117" i="4"/>
  <c r="E124" i="4"/>
  <c r="F127" i="4"/>
  <c r="F41" i="4"/>
  <c r="E41" i="4"/>
  <c r="F34" i="4"/>
  <c r="E34" i="4"/>
  <c r="F25" i="4"/>
  <c r="E25" i="4"/>
  <c r="F18" i="4"/>
  <c r="E18" i="4"/>
  <c r="F14" i="4"/>
  <c r="E14" i="4"/>
  <c r="F11" i="4"/>
  <c r="E11" i="4"/>
  <c r="F7" i="4"/>
  <c r="E7" i="4"/>
  <c r="C127" i="4"/>
  <c r="C100" i="4"/>
  <c r="C107" i="4"/>
  <c r="C114" i="4"/>
  <c r="C117" i="4"/>
  <c r="C124" i="4"/>
  <c r="C11" i="4"/>
  <c r="C14" i="4"/>
  <c r="C18" i="4"/>
  <c r="C25" i="4"/>
  <c r="C34" i="4"/>
  <c r="C41" i="4"/>
  <c r="C48" i="4"/>
  <c r="C55" i="4"/>
  <c r="C60" i="4"/>
  <c r="C65" i="4"/>
  <c r="C70" i="4"/>
  <c r="C76" i="4"/>
  <c r="C81" i="4"/>
  <c r="C88" i="4"/>
  <c r="C94" i="4"/>
  <c r="C7" i="4"/>
  <c r="E3" i="4"/>
  <c r="C3" i="4"/>
  <c r="I106" i="8" l="1"/>
  <c r="I107" i="8"/>
  <c r="G100" i="7"/>
  <c r="G101" i="7" s="1"/>
  <c r="AA75" i="3"/>
  <c r="I33" i="4"/>
  <c r="I25" i="4" s="1"/>
  <c r="Z49" i="3" s="1"/>
  <c r="AA49" i="3" s="1"/>
  <c r="AS46" i="3"/>
  <c r="AS47" i="3"/>
  <c r="AS45" i="3"/>
  <c r="AN45" i="3"/>
  <c r="S49" i="3"/>
  <c r="R49" i="3"/>
  <c r="Q49" i="3"/>
  <c r="AG57" i="3"/>
  <c r="I108" i="8" l="1"/>
  <c r="I109" i="8"/>
  <c r="I110" i="8" s="1"/>
  <c r="G102" i="7"/>
  <c r="G103" i="7" s="1"/>
  <c r="J45" i="3"/>
  <c r="AK78" i="3"/>
  <c r="AG76" i="3"/>
  <c r="AG75" i="3"/>
  <c r="AG74" i="3"/>
  <c r="AG73" i="3"/>
  <c r="AG72" i="3"/>
  <c r="AG71" i="3"/>
  <c r="AG68" i="3"/>
  <c r="AG69" i="3"/>
  <c r="AG70" i="3"/>
  <c r="AG67" i="3"/>
  <c r="AG62" i="3"/>
  <c r="AG66" i="3" s="1"/>
  <c r="AG61" i="3"/>
  <c r="AG60" i="3"/>
  <c r="AG59" i="3"/>
  <c r="AG58" i="3"/>
  <c r="AG56" i="3"/>
  <c r="AG55" i="3"/>
  <c r="AG52" i="3"/>
  <c r="AG54" i="3" s="1"/>
  <c r="W66" i="3"/>
  <c r="E127" i="4" s="1"/>
  <c r="Q64" i="3"/>
  <c r="Q63" i="3"/>
  <c r="Q62" i="3"/>
  <c r="Q60" i="3"/>
  <c r="Q61" i="3" s="1"/>
  <c r="Q58" i="3"/>
  <c r="Q59" i="3" s="1"/>
  <c r="R53" i="3"/>
  <c r="R54" i="3" s="1"/>
  <c r="R55" i="3" s="1"/>
  <c r="R56" i="3" s="1"/>
  <c r="R57" i="3" s="1"/>
  <c r="Q53" i="3"/>
  <c r="Q54" i="3" s="1"/>
  <c r="Q55" i="3" s="1"/>
  <c r="Q56" i="3" s="1"/>
  <c r="Q57" i="3" s="1"/>
  <c r="Q52" i="3"/>
  <c r="S51" i="3"/>
  <c r="R51" i="3"/>
  <c r="Q51" i="3"/>
  <c r="Q50" i="3"/>
  <c r="T49" i="3"/>
  <c r="T48" i="3"/>
  <c r="S48" i="3"/>
  <c r="R48" i="3"/>
  <c r="Q48" i="3"/>
  <c r="R47" i="3"/>
  <c r="Q47" i="3"/>
  <c r="Q46" i="3"/>
  <c r="Q45" i="3"/>
  <c r="Q44" i="3"/>
  <c r="L44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I111" i="8" l="1"/>
  <c r="I112" i="8" s="1"/>
  <c r="G104" i="7"/>
  <c r="G105" i="7"/>
  <c r="AG53" i="3"/>
  <c r="AL79" i="3"/>
  <c r="K45" i="3"/>
  <c r="I113" i="8" l="1"/>
  <c r="I114" i="8" s="1"/>
  <c r="I115" i="8"/>
  <c r="G106" i="7"/>
  <c r="J46" i="3"/>
  <c r="K46" i="3" s="1"/>
  <c r="G107" i="7" l="1"/>
  <c r="G108" i="7" s="1"/>
  <c r="J47" i="3"/>
  <c r="K47" i="3" s="1"/>
  <c r="J48" i="3" s="1"/>
  <c r="K48" i="3" s="1"/>
  <c r="J49" i="3" s="1"/>
  <c r="K49" i="3" s="1"/>
  <c r="G111" i="7" l="1"/>
  <c r="G109" i="7"/>
  <c r="G110" i="7" s="1"/>
  <c r="J50" i="3"/>
  <c r="K50" i="3" s="1"/>
  <c r="J51" i="3" l="1"/>
  <c r="K51" i="3" s="1"/>
  <c r="J52" i="3" l="1"/>
  <c r="K52" i="3" s="1"/>
  <c r="J53" i="3" l="1"/>
  <c r="K53" i="3" s="1"/>
  <c r="J54" i="3" l="1"/>
  <c r="K54" i="3" s="1"/>
  <c r="J55" i="3" l="1"/>
  <c r="K55" i="3" s="1"/>
  <c r="J56" i="3" l="1"/>
  <c r="K56" i="3" s="1"/>
  <c r="J57" i="3" l="1"/>
  <c r="K57" i="3" s="1"/>
  <c r="J58" i="3" l="1"/>
  <c r="K58" i="3" s="1"/>
  <c r="J59" i="3" l="1"/>
  <c r="K59" i="3" s="1"/>
  <c r="J60" i="3" l="1"/>
  <c r="K60" i="3" s="1"/>
  <c r="J61" i="3" l="1"/>
  <c r="K61" i="3" s="1"/>
  <c r="J62" i="3" l="1"/>
  <c r="K62" i="3" s="1"/>
  <c r="J63" i="3" l="1"/>
  <c r="K63" i="3" s="1"/>
  <c r="J64" i="3" l="1"/>
  <c r="K64" i="3" s="1"/>
  <c r="J65" i="3" l="1"/>
  <c r="K65" i="3" s="1"/>
  <c r="J66" i="3" l="1"/>
  <c r="K66" i="3" s="1"/>
  <c r="J67" i="3" l="1"/>
  <c r="K67" i="3" s="1"/>
  <c r="J68" i="3" l="1"/>
  <c r="K68" i="3" s="1"/>
  <c r="J69" i="3" l="1"/>
  <c r="K69" i="3" s="1"/>
  <c r="J70" i="3" l="1"/>
  <c r="K70" i="3" s="1"/>
  <c r="K44" i="3" s="1"/>
  <c r="M44" i="3" s="1"/>
</calcChain>
</file>

<file path=xl/comments1.xml><?xml version="1.0" encoding="utf-8"?>
<comments xmlns="http://schemas.openxmlformats.org/spreadsheetml/2006/main">
  <authors>
    <author>Mike</author>
  </authors>
  <commentList>
    <comment ref="AG45" authorId="0" shapeId="0">
      <text>
        <r>
          <rPr>
            <b/>
            <sz val="9"/>
            <color indexed="81"/>
            <rFont val="Tahoma"/>
            <family val="2"/>
          </rPr>
          <t>Mike:</t>
        </r>
        <r>
          <rPr>
            <sz val="9"/>
            <color indexed="81"/>
            <rFont val="Tahoma"/>
            <family val="2"/>
          </rPr>
          <t xml:space="preserve">
batu, besi, keramik, atap, landscape,  listrik
</t>
        </r>
      </text>
    </comment>
  </commentList>
</comments>
</file>

<file path=xl/comments2.xml><?xml version="1.0" encoding="utf-8"?>
<comments xmlns="http://schemas.openxmlformats.org/spreadsheetml/2006/main">
  <authors>
    <author>Mike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Mike:</t>
        </r>
        <r>
          <rPr>
            <sz val="9"/>
            <color indexed="81"/>
            <rFont val="Tahoma"/>
            <family val="2"/>
          </rPr>
          <t xml:space="preserve">
batu, besi, keramik, atap, landscape,  listrik
</t>
        </r>
      </text>
    </comment>
  </commentList>
</comments>
</file>

<file path=xl/sharedStrings.xml><?xml version="1.0" encoding="utf-8"?>
<sst xmlns="http://schemas.openxmlformats.org/spreadsheetml/2006/main" count="1503" uniqueCount="371">
  <si>
    <t>m</t>
  </si>
  <si>
    <t>m3</t>
  </si>
  <si>
    <t>kg</t>
  </si>
  <si>
    <t>m2</t>
  </si>
  <si>
    <t>Qty</t>
  </si>
  <si>
    <t>Unit</t>
  </si>
  <si>
    <t>Total</t>
  </si>
  <si>
    <t>Cost ID</t>
  </si>
  <si>
    <t>Duration</t>
  </si>
  <si>
    <t>Price</t>
  </si>
  <si>
    <t>Labor</t>
  </si>
  <si>
    <t>ST001</t>
  </si>
  <si>
    <t>ST002</t>
  </si>
  <si>
    <t>ST003</t>
  </si>
  <si>
    <t>Site plan</t>
  </si>
  <si>
    <t>Detailed Foundation</t>
  </si>
  <si>
    <t>Column, beam, &amp; slab layout</t>
  </si>
  <si>
    <t>Structural reinforcement detail</t>
  </si>
  <si>
    <t>Roof plan</t>
  </si>
  <si>
    <t>ST004</t>
  </si>
  <si>
    <t>ST005</t>
  </si>
  <si>
    <t>AR001</t>
  </si>
  <si>
    <t>Walls and stucco</t>
  </si>
  <si>
    <t>Doors and windows</t>
  </si>
  <si>
    <t>Ceiling plan</t>
  </si>
  <si>
    <t>Painting</t>
  </si>
  <si>
    <t>Electrical, water and plumbing installations</t>
  </si>
  <si>
    <t>AR002</t>
  </si>
  <si>
    <t>AR003</t>
  </si>
  <si>
    <t>AR004</t>
  </si>
  <si>
    <t>ME001</t>
  </si>
  <si>
    <t>Front, back, and side views</t>
  </si>
  <si>
    <t>House cut plans</t>
  </si>
  <si>
    <t>ST006</t>
  </si>
  <si>
    <t>AR005</t>
  </si>
  <si>
    <t>Drawing ID.</t>
  </si>
  <si>
    <t>Description</t>
  </si>
  <si>
    <t>Duration (day)</t>
  </si>
  <si>
    <t>Work Item_Schedule</t>
  </si>
  <si>
    <t>Project Drawing</t>
  </si>
  <si>
    <t>Page</t>
  </si>
  <si>
    <t>Mob and demob</t>
  </si>
  <si>
    <t>Mob. and demob.</t>
  </si>
  <si>
    <t>Site clearing</t>
  </si>
  <si>
    <t>Excavation work</t>
  </si>
  <si>
    <t>Bowplank Installation</t>
  </si>
  <si>
    <t>Masonry foundation work</t>
  </si>
  <si>
    <t>Rebar work of spread footing</t>
  </si>
  <si>
    <t>Formwork for foundation</t>
  </si>
  <si>
    <t>Pouring concrete</t>
  </si>
  <si>
    <t>Sloof formwork</t>
  </si>
  <si>
    <t>Sloof rebar work</t>
  </si>
  <si>
    <t>Sloof concreting</t>
  </si>
  <si>
    <t>Column rebar</t>
  </si>
  <si>
    <t>Formwork column</t>
  </si>
  <si>
    <t>Ring balk rebar</t>
  </si>
  <si>
    <t>Formwork</t>
  </si>
  <si>
    <t>Roof trus installation</t>
  </si>
  <si>
    <t>Roof work</t>
  </si>
  <si>
    <t>Walls and stucco work</t>
  </si>
  <si>
    <t>Doors and windows installation</t>
  </si>
  <si>
    <t>Ceiling work</t>
  </si>
  <si>
    <t>Painting work</t>
  </si>
  <si>
    <t>Tile installation</t>
  </si>
  <si>
    <t>Landscaping work</t>
  </si>
  <si>
    <t>Painting and Floor plan</t>
  </si>
  <si>
    <t>Start Date</t>
  </si>
  <si>
    <t>Finish Date</t>
  </si>
  <si>
    <t>Work ID.</t>
  </si>
  <si>
    <t>Total Price</t>
  </si>
  <si>
    <t>Preparation work</t>
  </si>
  <si>
    <t>Rebar BJTD 40</t>
  </si>
  <si>
    <t>Concrete K300</t>
  </si>
  <si>
    <t>Brick formwork</t>
  </si>
  <si>
    <t>Wide flange steel</t>
  </si>
  <si>
    <t>Gording</t>
  </si>
  <si>
    <t>Stiffener, HTB, &amp; conection plate</t>
  </si>
  <si>
    <t>Bracing steel</t>
  </si>
  <si>
    <t>Metal roof</t>
  </si>
  <si>
    <t>Wooden door</t>
  </si>
  <si>
    <t>Wooden windows</t>
  </si>
  <si>
    <t>Ls</t>
  </si>
  <si>
    <t>ls</t>
  </si>
  <si>
    <t>Brick laying</t>
  </si>
  <si>
    <t>Stucco work</t>
  </si>
  <si>
    <t>unit</t>
  </si>
  <si>
    <t>WP001</t>
  </si>
  <si>
    <t>WP002</t>
  </si>
  <si>
    <t>WP003</t>
  </si>
  <si>
    <t>WP004</t>
  </si>
  <si>
    <t>WS001</t>
  </si>
  <si>
    <t>WS002</t>
  </si>
  <si>
    <t>WS003</t>
  </si>
  <si>
    <t>WS004</t>
  </si>
  <si>
    <t>WS005</t>
  </si>
  <si>
    <t>WS006</t>
  </si>
  <si>
    <t>WS007</t>
  </si>
  <si>
    <t>WS008</t>
  </si>
  <si>
    <t>WS009</t>
  </si>
  <si>
    <t>WS010</t>
  </si>
  <si>
    <t>WS011</t>
  </si>
  <si>
    <t>WS012</t>
  </si>
  <si>
    <t>WS013</t>
  </si>
  <si>
    <t>WA001</t>
  </si>
  <si>
    <t>WA002</t>
  </si>
  <si>
    <t>WS014</t>
  </si>
  <si>
    <t>WS015</t>
  </si>
  <si>
    <t>WE001</t>
  </si>
  <si>
    <t>WA003</t>
  </si>
  <si>
    <t>WA004</t>
  </si>
  <si>
    <t>WA005</t>
  </si>
  <si>
    <t>WA006</t>
  </si>
  <si>
    <t>CP001</t>
  </si>
  <si>
    <t>CP002</t>
  </si>
  <si>
    <t>CP003</t>
  </si>
  <si>
    <t>CP004</t>
  </si>
  <si>
    <t>CS001</t>
  </si>
  <si>
    <t>CS002</t>
  </si>
  <si>
    <t>CS003</t>
  </si>
  <si>
    <t>CS004</t>
  </si>
  <si>
    <t>CS005</t>
  </si>
  <si>
    <t>CS006</t>
  </si>
  <si>
    <t>CS007</t>
  </si>
  <si>
    <t>CS008</t>
  </si>
  <si>
    <t>CS009</t>
  </si>
  <si>
    <t>CA001</t>
  </si>
  <si>
    <t>CA002</t>
  </si>
  <si>
    <t>CA003</t>
  </si>
  <si>
    <t>CA004</t>
  </si>
  <si>
    <t>CA005</t>
  </si>
  <si>
    <t>CA008</t>
  </si>
  <si>
    <t>CA009</t>
  </si>
  <si>
    <t>CE001</t>
  </si>
  <si>
    <t>WP005</t>
  </si>
  <si>
    <t>CS010</t>
  </si>
  <si>
    <t>CA010</t>
  </si>
  <si>
    <t>Resources</t>
  </si>
  <si>
    <t>Labor, bar bender &amp; cutter</t>
  </si>
  <si>
    <t>Handyman, labor, brick, PC, sand</t>
  </si>
  <si>
    <t>Labor, brick</t>
  </si>
  <si>
    <t>Labor, gording</t>
  </si>
  <si>
    <t>Labor, plywood board</t>
  </si>
  <si>
    <t>Handyman, labor, mansory, PC, sand</t>
  </si>
  <si>
    <t>Labor, WF steel</t>
  </si>
  <si>
    <t>Labor, Stiffener, HTB, &amp; conection plate</t>
  </si>
  <si>
    <t>Labor, metal roof</t>
  </si>
  <si>
    <t>Handyman, labor, wooden door</t>
  </si>
  <si>
    <t>Handyman, labor, PC, sand</t>
  </si>
  <si>
    <t>Handyman, labor, door frame</t>
  </si>
  <si>
    <t>Handyman, labor, painting</t>
  </si>
  <si>
    <t>Handyman, labor, ceiling frame, ceiling</t>
  </si>
  <si>
    <t xml:space="preserve">Handyman, labor, cable, lamp, socket, switcher, and plumbing </t>
  </si>
  <si>
    <t>Handyman, labor, flower, grass</t>
  </si>
  <si>
    <t>Handyman, labor, tile, PC</t>
  </si>
  <si>
    <t>Handyman</t>
  </si>
  <si>
    <t>Labor, simple tools</t>
  </si>
  <si>
    <t>Simple tools</t>
  </si>
  <si>
    <t>Bar bender &amp; cutter</t>
  </si>
  <si>
    <t>Concrete mixer</t>
  </si>
  <si>
    <t>Labor, concrete mixer, PC, sand, gravel</t>
  </si>
  <si>
    <t>PC</t>
  </si>
  <si>
    <t>Sand</t>
  </si>
  <si>
    <t>gravel</t>
  </si>
  <si>
    <t>Tile</t>
  </si>
  <si>
    <t>Gravel</t>
  </si>
  <si>
    <t>Plywood</t>
  </si>
  <si>
    <t>Brick</t>
  </si>
  <si>
    <t>Grass</t>
  </si>
  <si>
    <t>Flower</t>
  </si>
  <si>
    <t>Cable</t>
  </si>
  <si>
    <t>Lamp</t>
  </si>
  <si>
    <t>Socket</t>
  </si>
  <si>
    <t>Switcher</t>
  </si>
  <si>
    <t>Plumbing</t>
  </si>
  <si>
    <t>Wooden frame</t>
  </si>
  <si>
    <t>Bracing</t>
  </si>
  <si>
    <t>Labor, bracing steel</t>
  </si>
  <si>
    <t>Human resources</t>
  </si>
  <si>
    <t>Equipement</t>
  </si>
  <si>
    <t>Material</t>
  </si>
  <si>
    <t>Person</t>
  </si>
  <si>
    <t>Kg</t>
  </si>
  <si>
    <t>Start date</t>
  </si>
  <si>
    <t>Cost</t>
  </si>
  <si>
    <t>Finish date</t>
  </si>
  <si>
    <t>Others</t>
  </si>
  <si>
    <t>Resources Name</t>
  </si>
  <si>
    <t>Supply Chain Management</t>
  </si>
  <si>
    <t>Cost item_Resources</t>
  </si>
  <si>
    <t>Wood formwork</t>
  </si>
  <si>
    <t>Resources ID</t>
  </si>
  <si>
    <t>Index</t>
  </si>
  <si>
    <t>Resource Price</t>
  </si>
  <si>
    <t>RH001</t>
  </si>
  <si>
    <t>RH002</t>
  </si>
  <si>
    <t>labor</t>
  </si>
  <si>
    <t>RE001</t>
  </si>
  <si>
    <t>Cost ID.</t>
  </si>
  <si>
    <t xml:space="preserve">Resource </t>
  </si>
  <si>
    <t>Overhead</t>
  </si>
  <si>
    <t>Plywood board</t>
  </si>
  <si>
    <t>WF Steel</t>
  </si>
  <si>
    <t>tile</t>
  </si>
  <si>
    <t>No</t>
  </si>
  <si>
    <t>PD</t>
  </si>
  <si>
    <t>zack</t>
  </si>
  <si>
    <t>Water</t>
  </si>
  <si>
    <t>ltr</t>
  </si>
  <si>
    <t>hour</t>
  </si>
  <si>
    <t>Iron wire</t>
  </si>
  <si>
    <t>Concrete steel</t>
  </si>
  <si>
    <t>Foreman</t>
  </si>
  <si>
    <t>leaf</t>
  </si>
  <si>
    <t>Nails</t>
  </si>
  <si>
    <t>Wooden rafters</t>
  </si>
  <si>
    <t>River masonry</t>
  </si>
  <si>
    <t>Profiled steel</t>
  </si>
  <si>
    <t>Baseplate &amp; stiffener</t>
  </si>
  <si>
    <t>Bared steel</t>
  </si>
  <si>
    <t>Bolt</t>
  </si>
  <si>
    <t>Metal roof flat press</t>
  </si>
  <si>
    <t>Teak wood planks</t>
  </si>
  <si>
    <t>Wooden glue</t>
  </si>
  <si>
    <t>Teak wood</t>
  </si>
  <si>
    <t>doz</t>
  </si>
  <si>
    <t>Wooden door and windows</t>
  </si>
  <si>
    <t>Doors and windows frame</t>
  </si>
  <si>
    <t>ceiling eternit</t>
  </si>
  <si>
    <t>Ceiling frame (camphor wood)</t>
  </si>
  <si>
    <t>painting wall</t>
  </si>
  <si>
    <t>wall putty</t>
  </si>
  <si>
    <t>fine scouring paper</t>
  </si>
  <si>
    <t>sand</t>
  </si>
  <si>
    <t>colored cement</t>
  </si>
  <si>
    <t>can</t>
  </si>
  <si>
    <t>sheet</t>
  </si>
  <si>
    <t>resource_id</t>
  </si>
  <si>
    <t>Ada brick lain yg beda harga. How?</t>
  </si>
  <si>
    <t>Resource_id</t>
  </si>
  <si>
    <t>Name</t>
  </si>
  <si>
    <t>??</t>
  </si>
  <si>
    <t>dst</t>
  </si>
  <si>
    <t>work_id</t>
  </si>
  <si>
    <t>cost_id</t>
  </si>
  <si>
    <t>workitem_costitem</t>
  </si>
  <si>
    <t>resource_costitem</t>
  </si>
  <si>
    <t>index</t>
  </si>
  <si>
    <t>ID foreman</t>
  </si>
  <si>
    <t>ID Labor</t>
  </si>
  <si>
    <t>RH010</t>
  </si>
  <si>
    <t>RH003</t>
  </si>
  <si>
    <t>RH005</t>
  </si>
  <si>
    <t>RH030</t>
  </si>
  <si>
    <t>RH011</t>
  </si>
  <si>
    <t>RH020</t>
  </si>
  <si>
    <t>RH004</t>
  </si>
  <si>
    <t>RH006</t>
  </si>
  <si>
    <t>RH007</t>
  </si>
  <si>
    <t>RH008</t>
  </si>
  <si>
    <t>RH009</t>
  </si>
  <si>
    <t>RH012</t>
  </si>
  <si>
    <t>RH015</t>
  </si>
  <si>
    <t>RH013</t>
  </si>
  <si>
    <t>RH014</t>
  </si>
  <si>
    <t>RH016</t>
  </si>
  <si>
    <t>RH017</t>
  </si>
  <si>
    <t>RH018</t>
  </si>
  <si>
    <t>RH019</t>
  </si>
  <si>
    <t>RH021</t>
  </si>
  <si>
    <t>RH022</t>
  </si>
  <si>
    <t>RH023</t>
  </si>
  <si>
    <t>RH024</t>
  </si>
  <si>
    <t>RH025</t>
  </si>
  <si>
    <t>RH026</t>
  </si>
  <si>
    <t>RH027</t>
  </si>
  <si>
    <t>RH028</t>
  </si>
  <si>
    <t>RH029</t>
  </si>
  <si>
    <t>RH031</t>
  </si>
  <si>
    <t>RH032</t>
  </si>
  <si>
    <t>RH033</t>
  </si>
  <si>
    <t>RH034</t>
  </si>
  <si>
    <t>RH035</t>
  </si>
  <si>
    <t>RH036</t>
  </si>
  <si>
    <t>RH037</t>
  </si>
  <si>
    <t>RH038</t>
  </si>
  <si>
    <t>RH039</t>
  </si>
  <si>
    <t>RH040</t>
  </si>
  <si>
    <t>RO001</t>
  </si>
  <si>
    <t>RO002</t>
  </si>
  <si>
    <t>RO003</t>
  </si>
  <si>
    <t>RO004</t>
  </si>
  <si>
    <t>RO005</t>
  </si>
  <si>
    <t>RO006</t>
  </si>
  <si>
    <t>RO007</t>
  </si>
  <si>
    <t>RO008</t>
  </si>
  <si>
    <t>RO009</t>
  </si>
  <si>
    <t>RO0010</t>
  </si>
  <si>
    <t>RO011</t>
  </si>
  <si>
    <t>RO012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</si>
  <si>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</si>
  <si>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</si>
  <si>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</si>
  <si>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</si>
  <si>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</si>
  <si>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</si>
  <si>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</si>
  <si>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</si>
  <si>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</si>
  <si>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RO022</t>
  </si>
  <si>
    <t>RO023</t>
  </si>
  <si>
    <t>RL001</t>
  </si>
  <si>
    <t>RL002</t>
  </si>
  <si>
    <t>RL003</t>
  </si>
  <si>
    <t>RL004</t>
  </si>
  <si>
    <t>RM001</t>
  </si>
  <si>
    <t>RM002</t>
  </si>
  <si>
    <t>RM003</t>
  </si>
  <si>
    <t>RM004</t>
  </si>
  <si>
    <t>RM005</t>
  </si>
  <si>
    <t>RM006</t>
  </si>
  <si>
    <t>RM007</t>
  </si>
  <si>
    <t>RM008</t>
  </si>
  <si>
    <t>RM009</t>
  </si>
  <si>
    <t>RM010</t>
  </si>
  <si>
    <t>RM011</t>
  </si>
  <si>
    <t>RM012</t>
  </si>
  <si>
    <t>RM013</t>
  </si>
  <si>
    <t>RM014</t>
  </si>
  <si>
    <t>RM015</t>
  </si>
  <si>
    <t>RM016</t>
  </si>
  <si>
    <t>RM017</t>
  </si>
  <si>
    <t>RM018</t>
  </si>
  <si>
    <t>RM019</t>
  </si>
  <si>
    <t>RM020</t>
  </si>
  <si>
    <t>RM021</t>
  </si>
  <si>
    <t>RM022</t>
  </si>
  <si>
    <t>RM023</t>
  </si>
  <si>
    <t>RM024</t>
  </si>
  <si>
    <t>RM025</t>
  </si>
  <si>
    <t>RM026</t>
  </si>
  <si>
    <t>RM027</t>
  </si>
  <si>
    <t>RM028</t>
  </si>
  <si>
    <t>RM029</t>
  </si>
  <si>
    <t>RM030</t>
  </si>
  <si>
    <t>RM031</t>
  </si>
  <si>
    <t>RM032</t>
  </si>
  <si>
    <t>RM033</t>
  </si>
  <si>
    <t>RM034</t>
  </si>
  <si>
    <t>RM035</t>
  </si>
  <si>
    <t>RM036</t>
  </si>
  <si>
    <t>RM037</t>
  </si>
  <si>
    <t>RM038</t>
  </si>
  <si>
    <t>RM039</t>
  </si>
  <si>
    <t>RM040</t>
  </si>
  <si>
    <t>RM041</t>
  </si>
  <si>
    <t>RM042</t>
  </si>
  <si>
    <t>Sand Brick</t>
  </si>
  <si>
    <t>Peg Nails</t>
  </si>
  <si>
    <t>PERUBAHAN:</t>
  </si>
  <si>
    <t>1. Semua resource tak buat unik dg ID yg beda, krn walaupun resourcenya sama indexnya pasti berbeda menyesuaikan jenis cost itemnya (cost id).</t>
  </si>
  <si>
    <t>2. Brick, juga tak bedakan jenisnya, yg satu batako yg lainnya bata merah.</t>
  </si>
  <si>
    <t>3. Nilai overhead tak gedein jd 10%</t>
  </si>
  <si>
    <t>`</t>
  </si>
  <si>
    <t>Red Brick</t>
  </si>
  <si>
    <t>Cost Item</t>
  </si>
  <si>
    <t>Weight (%)</t>
  </si>
  <si>
    <t>Weight/week (%)</t>
  </si>
  <si>
    <t>3. Proposed Table for Quantity Take-off</t>
  </si>
  <si>
    <t>Category</t>
  </si>
  <si>
    <t>1. Supply Chain Management (Close)</t>
  </si>
  <si>
    <t>2. Proposed Table for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</si>
</sst>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43" fontId="0" fillId="0" borderId="0" xfId="1" applyFont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/>
    <xf numFmtId="0" fontId="0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1" xfId="0" applyFont="1" applyBorder="1"/>
    <xf numFmtId="0" fontId="0" fillId="0" borderId="11" xfId="0" applyBorder="1" applyAlignment="1">
      <alignment horizontal="left" indent="1"/>
    </xf>
    <xf numFmtId="0" fontId="0" fillId="2" borderId="1" xfId="0" applyFill="1" applyBorder="1"/>
    <xf numFmtId="0" fontId="2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64" fontId="0" fillId="0" borderId="1" xfId="0" applyNumberFormat="1" applyBorder="1"/>
    <xf numFmtId="0" fontId="0" fillId="0" borderId="12" xfId="0" applyFill="1" applyBorder="1" applyAlignment="1">
      <alignment horizontal="left" indent="1"/>
    </xf>
    <xf numFmtId="0" fontId="0" fillId="2" borderId="3" xfId="0" applyFill="1" applyBorder="1"/>
    <xf numFmtId="43" fontId="0" fillId="0" borderId="8" xfId="1" applyFont="1" applyBorder="1"/>
    <xf numFmtId="43" fontId="0" fillId="0" borderId="9" xfId="1" applyFont="1" applyBorder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0" fontId="7" fillId="0" borderId="0" xfId="0" applyFont="1"/>
    <xf numFmtId="164" fontId="8" fillId="0" borderId="10" xfId="0" applyNumberFormat="1" applyFont="1" applyBorder="1"/>
    <xf numFmtId="0" fontId="6" fillId="3" borderId="1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43" fontId="6" fillId="7" borderId="10" xfId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43" fontId="2" fillId="0" borderId="0" xfId="1" applyFont="1"/>
    <xf numFmtId="164" fontId="9" fillId="0" borderId="0" xfId="1" applyNumberFormat="1" applyFont="1"/>
    <xf numFmtId="0" fontId="9" fillId="0" borderId="0" xfId="0" applyFont="1"/>
    <xf numFmtId="164" fontId="10" fillId="6" borderId="6" xfId="1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164" fontId="11" fillId="0" borderId="1" xfId="1" applyNumberFormat="1" applyFont="1" applyBorder="1"/>
    <xf numFmtId="0" fontId="11" fillId="0" borderId="8" xfId="0" applyFont="1" applyBorder="1"/>
    <xf numFmtId="164" fontId="12" fillId="0" borderId="1" xfId="1" applyNumberFormat="1" applyFont="1" applyBorder="1"/>
    <xf numFmtId="164" fontId="11" fillId="0" borderId="3" xfId="1" applyNumberFormat="1" applyFont="1" applyBorder="1"/>
    <xf numFmtId="0" fontId="11" fillId="0" borderId="9" xfId="0" applyFont="1" applyBorder="1"/>
    <xf numFmtId="164" fontId="11" fillId="0" borderId="0" xfId="1" applyNumberFormat="1" applyFont="1"/>
    <xf numFmtId="0" fontId="11" fillId="0" borderId="0" xfId="0" applyFont="1"/>
    <xf numFmtId="0" fontId="0" fillId="0" borderId="12" xfId="0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8" xfId="0" applyFont="1" applyBorder="1"/>
    <xf numFmtId="43" fontId="2" fillId="0" borderId="7" xfId="1" applyFont="1" applyBorder="1"/>
    <xf numFmtId="43" fontId="2" fillId="0" borderId="8" xfId="1" applyFont="1" applyBorder="1"/>
    <xf numFmtId="9" fontId="0" fillId="0" borderId="9" xfId="2" applyFont="1" applyBorder="1"/>
    <xf numFmtId="43" fontId="2" fillId="0" borderId="8" xfId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13" fillId="0" borderId="0" xfId="0" applyFont="1" applyAlignment="1">
      <alignment horizontal="center" vertical="center"/>
    </xf>
    <xf numFmtId="43" fontId="1" fillId="0" borderId="8" xfId="1" applyFont="1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164" fontId="0" fillId="0" borderId="3" xfId="1" applyNumberFormat="1" applyFont="1" applyBorder="1"/>
    <xf numFmtId="164" fontId="0" fillId="0" borderId="8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0" fontId="2" fillId="0" borderId="7" xfId="0" applyFont="1" applyBorder="1" applyAlignment="1">
      <alignment horizontal="center"/>
    </xf>
    <xf numFmtId="164" fontId="2" fillId="0" borderId="7" xfId="1" applyNumberFormat="1" applyFont="1" applyBorder="1"/>
    <xf numFmtId="164" fontId="2" fillId="0" borderId="14" xfId="1" applyNumberFormat="1" applyFont="1" applyBorder="1"/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3" fillId="8" borderId="7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43" fontId="13" fillId="8" borderId="10" xfId="1" applyFont="1" applyFill="1" applyBorder="1" applyAlignment="1">
      <alignment horizontal="center" vertical="center"/>
    </xf>
    <xf numFmtId="164" fontId="13" fillId="8" borderId="10" xfId="1" applyNumberFormat="1" applyFont="1" applyFill="1" applyBorder="1" applyAlignment="1">
      <alignment horizontal="center" vertical="center"/>
    </xf>
    <xf numFmtId="164" fontId="13" fillId="8" borderId="6" xfId="1" applyNumberFormat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4" fontId="1" fillId="0" borderId="1" xfId="1" applyNumberFormat="1" applyFont="1" applyBorder="1"/>
    <xf numFmtId="0" fontId="0" fillId="0" borderId="0" xfId="0" applyFont="1"/>
    <xf numFmtId="164" fontId="11" fillId="0" borderId="8" xfId="1" applyNumberFormat="1" applyFont="1" applyBorder="1"/>
    <xf numFmtId="0" fontId="6" fillId="6" borderId="15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8" xfId="0" applyFont="1" applyBorder="1"/>
    <xf numFmtId="43" fontId="0" fillId="0" borderId="3" xfId="1" applyNumberFormat="1" applyFont="1" applyBorder="1"/>
    <xf numFmtId="165" fontId="0" fillId="0" borderId="1" xfId="0" applyNumberFormat="1" applyFont="1" applyBorder="1" applyAlignment="1"/>
    <xf numFmtId="165" fontId="0" fillId="0" borderId="1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/>
    <xf numFmtId="43" fontId="0" fillId="0" borderId="10" xfId="1" applyFont="1" applyBorder="1" applyAlignment="1">
      <alignment horizontal="center"/>
    </xf>
    <xf numFmtId="164" fontId="0" fillId="0" borderId="10" xfId="1" applyNumberFormat="1" applyFont="1" applyBorder="1"/>
    <xf numFmtId="0" fontId="0" fillId="0" borderId="10" xfId="0" applyFont="1" applyBorder="1"/>
    <xf numFmtId="0" fontId="2" fillId="0" borderId="10" xfId="0" applyFont="1" applyBorder="1" applyAlignment="1">
      <alignment horizontal="center"/>
    </xf>
    <xf numFmtId="43" fontId="1" fillId="0" borderId="10" xfId="1" applyFont="1" applyBorder="1" applyAlignment="1">
      <alignment horizontal="center"/>
    </xf>
    <xf numFmtId="164" fontId="1" fillId="0" borderId="10" xfId="1" applyNumberFormat="1" applyFont="1" applyBorder="1"/>
    <xf numFmtId="0" fontId="0" fillId="0" borderId="10" xfId="0" applyFont="1" applyBorder="1" applyAlignment="1">
      <alignment horizontal="center"/>
    </xf>
    <xf numFmtId="9" fontId="0" fillId="0" borderId="10" xfId="2" applyFont="1" applyBorder="1"/>
    <xf numFmtId="0" fontId="2" fillId="0" borderId="10" xfId="0" applyFont="1" applyBorder="1"/>
    <xf numFmtId="164" fontId="2" fillId="0" borderId="10" xfId="1" applyNumberFormat="1" applyFont="1" applyBorder="1"/>
    <xf numFmtId="43" fontId="2" fillId="0" borderId="10" xfId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9" fontId="13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0" fillId="0" borderId="0" xfId="0" applyFont="1" applyBorder="1"/>
    <xf numFmtId="164" fontId="1" fillId="0" borderId="0" xfId="1" applyNumberFormat="1" applyFont="1" applyBorder="1"/>
    <xf numFmtId="164" fontId="0" fillId="0" borderId="0" xfId="1" applyNumberFormat="1" applyFont="1" applyBorder="1"/>
    <xf numFmtId="43" fontId="0" fillId="0" borderId="0" xfId="1" applyFont="1" applyBorder="1"/>
    <xf numFmtId="43" fontId="1" fillId="0" borderId="0" xfId="1" applyFont="1" applyBorder="1" applyAlignment="1">
      <alignment horizontal="center"/>
    </xf>
    <xf numFmtId="43" fontId="0" fillId="0" borderId="10" xfId="1" applyFont="1" applyBorder="1"/>
    <xf numFmtId="0" fontId="16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3" fontId="0" fillId="0" borderId="10" xfId="1" applyNumberFormat="1" applyFont="1" applyBorder="1"/>
    <xf numFmtId="43" fontId="1" fillId="0" borderId="10" xfId="1" applyFont="1" applyBorder="1"/>
    <xf numFmtId="0" fontId="15" fillId="0" borderId="10" xfId="0" applyFont="1" applyBorder="1" applyAlignment="1">
      <alignment horizontal="center"/>
    </xf>
    <xf numFmtId="0" fontId="13" fillId="8" borderId="13" xfId="0" applyFont="1" applyFill="1" applyBorder="1" applyAlignment="1">
      <alignment horizontal="center" vertical="center"/>
    </xf>
    <xf numFmtId="43" fontId="13" fillId="8" borderId="7" xfId="1" applyFont="1" applyFill="1" applyBorder="1" applyAlignment="1">
      <alignment horizontal="center" vertical="center"/>
    </xf>
    <xf numFmtId="164" fontId="13" fillId="8" borderId="7" xfId="1" applyNumberFormat="1" applyFont="1" applyFill="1" applyBorder="1" applyAlignment="1">
      <alignment horizontal="center" vertical="center"/>
    </xf>
    <xf numFmtId="164" fontId="13" fillId="8" borderId="14" xfId="1" applyNumberFormat="1" applyFont="1" applyFill="1" applyBorder="1" applyAlignment="1">
      <alignment horizontal="center" vertical="center"/>
    </xf>
    <xf numFmtId="164" fontId="17" fillId="6" borderId="10" xfId="1" applyNumberFormat="1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18" fillId="0" borderId="0" xfId="0" applyFont="1"/>
    <xf numFmtId="0" fontId="2" fillId="0" borderId="10" xfId="0" applyFont="1" applyFill="1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2" fillId="0" borderId="10" xfId="0" applyFont="1" applyFill="1" applyBorder="1"/>
    <xf numFmtId="0" fontId="0" fillId="0" borderId="10" xfId="0" applyFill="1" applyBorder="1"/>
    <xf numFmtId="43" fontId="0" fillId="0" borderId="10" xfId="1" applyFont="1" applyFill="1" applyBorder="1"/>
    <xf numFmtId="164" fontId="0" fillId="0" borderId="10" xfId="0" applyNumberFormat="1" applyFill="1" applyBorder="1"/>
    <xf numFmtId="0" fontId="13" fillId="0" borderId="10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1746250</xdr:colOff>
      <xdr:row>0</xdr:row>
      <xdr:rowOff>169333</xdr:rowOff>
    </xdr:from>
    <xdr:to>
      <xdr:col>11</xdr:col>
      <xdr:colOff>736167</xdr:colOff>
      <xdr:row>11</xdr:row>
      <xdr:rowOff>171202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3750" y="169333"/>
          <a:ext cx="3466667" cy="19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666750</xdr:colOff>
      <xdr:row>1</xdr:row>
      <xdr:rowOff>21167</xdr:rowOff>
    </xdr:from>
    <xdr:to>
      <xdr:col>22</xdr:col>
      <xdr:colOff>1209822</xdr:colOff>
      <xdr:row>10</xdr:row>
      <xdr:rowOff>173346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31583" y="201084"/>
          <a:ext cx="2457143" cy="17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169335</xdr:colOff>
      <xdr:row>11</xdr:row>
      <xdr:rowOff>84667</xdr:rowOff>
    </xdr:from>
    <xdr:to>
      <xdr:col>23</xdr:col>
      <xdr:colOff>11787</xdr:colOff>
      <xdr:row>17</xdr:row>
      <xdr:rowOff>10584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07585" y="2063750"/>
          <a:ext cx="4215018" cy="1005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T79"/>
  <sheetViews>
    <sheetView showGridLines="0" topLeftCell="A35" zoomScale="70" zoomScaleNormal="70" workbookViewId="0">
      <selection activeCell="W58" sqref="W58"/>
    </sheetView>
  </sheetViews>
  <sheetFormatPr defaultRowHeight="14.5" x14ac:dyDescent="0.35"/>
  <cols>
    <col min="2" max="2" width="13.7265625" style="10" customWidth="1"/>
    <col min="3" max="3" width="40.6328125" customWidth="1"/>
    <col min="4" max="5" width="6.90625" style="10" customWidth="1"/>
    <col min="6" max="7" width="2.6328125" customWidth="1"/>
    <col min="8" max="8" width="13.1796875" style="10" customWidth="1"/>
    <col min="9" max="9" width="37.1796875" customWidth="1"/>
    <col min="10" max="10" width="12.54296875" customWidth="1"/>
    <col min="11" max="11" width="14.36328125" customWidth="1"/>
    <col min="12" max="12" width="13" style="10" customWidth="1"/>
    <col min="13" max="13" width="16.6328125" style="10" customWidth="1"/>
    <col min="14" max="14" width="7.08984375" bestFit="1" customWidth="1"/>
    <col min="15" max="16" width="3.1796875" customWidth="1"/>
    <col min="17" max="18" width="11.453125" customWidth="1"/>
    <col min="19" max="21" width="11.453125" hidden="1" customWidth="1"/>
    <col min="22" max="22" width="15.7265625" style="10" customWidth="1"/>
    <col min="23" max="23" width="20.36328125" customWidth="1"/>
    <col min="26" max="26" width="12.81640625" style="63" hidden="1" customWidth="1"/>
    <col min="27" max="27" width="28.08984375" style="63" hidden="1" customWidth="1"/>
    <col min="28" max="28" width="58.6328125" style="64" hidden="1" customWidth="1"/>
    <col min="29" max="29" width="11.90625" style="64" bestFit="1" customWidth="1"/>
    <col min="31" max="31" width="33.36328125" customWidth="1"/>
    <col min="32" max="32" width="8.7265625" customWidth="1"/>
    <col min="33" max="33" width="13" style="18" customWidth="1"/>
    <col min="34" max="35" width="9.7265625" customWidth="1"/>
    <col min="36" max="36" width="11.36328125" customWidth="1"/>
    <col min="37" max="37" width="10.36328125" customWidth="1"/>
    <col min="38" max="38" width="26.81640625" customWidth="1"/>
    <col min="40" max="43" width="14.81640625" customWidth="1"/>
    <col min="45" max="46" width="17.1796875" customWidth="1"/>
  </cols>
  <sheetData>
    <row r="2" spans="13:24" x14ac:dyDescent="0.35">
      <c r="M2" s="165" t="s">
        <v>244</v>
      </c>
      <c r="N2" s="165"/>
      <c r="V2" s="166" t="s">
        <v>245</v>
      </c>
      <c r="W2" s="166"/>
      <c r="X2" s="166"/>
    </row>
    <row r="3" spans="13:24" x14ac:dyDescent="0.35">
      <c r="M3" s="128" t="s">
        <v>242</v>
      </c>
      <c r="N3" s="128" t="s">
        <v>243</v>
      </c>
      <c r="V3" s="128" t="s">
        <v>236</v>
      </c>
      <c r="W3" s="129" t="s">
        <v>243</v>
      </c>
      <c r="X3" s="129" t="s">
        <v>246</v>
      </c>
    </row>
    <row r="4" spans="13:24" x14ac:dyDescent="0.35">
      <c r="M4" s="128" t="s">
        <v>86</v>
      </c>
      <c r="N4" s="128" t="s">
        <v>112</v>
      </c>
      <c r="V4" s="128" t="s">
        <v>247</v>
      </c>
      <c r="W4" s="129" t="s">
        <v>112</v>
      </c>
      <c r="X4" s="129">
        <v>0.01</v>
      </c>
    </row>
    <row r="5" spans="13:24" x14ac:dyDescent="0.35">
      <c r="M5" s="128" t="s">
        <v>87</v>
      </c>
      <c r="N5" s="128" t="s">
        <v>113</v>
      </c>
      <c r="V5" s="128" t="s">
        <v>248</v>
      </c>
      <c r="W5" s="129" t="s">
        <v>112</v>
      </c>
      <c r="X5" s="129">
        <v>0.1</v>
      </c>
    </row>
    <row r="6" spans="13:24" x14ac:dyDescent="0.35">
      <c r="M6" s="128" t="s">
        <v>88</v>
      </c>
      <c r="N6" s="128" t="s">
        <v>114</v>
      </c>
    </row>
    <row r="7" spans="13:24" x14ac:dyDescent="0.35">
      <c r="M7" s="128" t="s">
        <v>89</v>
      </c>
      <c r="N7" s="128" t="s">
        <v>115</v>
      </c>
    </row>
    <row r="8" spans="13:24" x14ac:dyDescent="0.35">
      <c r="M8" s="128" t="s">
        <v>133</v>
      </c>
      <c r="N8" s="128" t="s">
        <v>115</v>
      </c>
    </row>
    <row r="9" spans="13:24" x14ac:dyDescent="0.35">
      <c r="M9" s="128" t="s">
        <v>90</v>
      </c>
      <c r="N9" s="128" t="s">
        <v>116</v>
      </c>
    </row>
    <row r="10" spans="13:24" x14ac:dyDescent="0.35">
      <c r="M10" s="128" t="s">
        <v>94</v>
      </c>
      <c r="N10" s="128" t="s">
        <v>116</v>
      </c>
    </row>
    <row r="11" spans="13:24" x14ac:dyDescent="0.35">
      <c r="M11" s="128" t="s">
        <v>97</v>
      </c>
      <c r="N11" s="128" t="s">
        <v>116</v>
      </c>
    </row>
    <row r="12" spans="13:24" x14ac:dyDescent="0.35">
      <c r="M12" s="128" t="s">
        <v>100</v>
      </c>
      <c r="N12" s="128" t="s">
        <v>116</v>
      </c>
    </row>
    <row r="13" spans="13:24" x14ac:dyDescent="0.35">
      <c r="M13" s="128" t="s">
        <v>92</v>
      </c>
      <c r="N13" s="128" t="s">
        <v>117</v>
      </c>
    </row>
    <row r="14" spans="13:24" x14ac:dyDescent="0.35">
      <c r="M14" s="128" t="s">
        <v>96</v>
      </c>
      <c r="N14" s="128" t="s">
        <v>117</v>
      </c>
    </row>
    <row r="15" spans="13:24" x14ac:dyDescent="0.35">
      <c r="M15" s="128" t="s">
        <v>99</v>
      </c>
      <c r="N15" s="128" t="s">
        <v>117</v>
      </c>
    </row>
    <row r="16" spans="13:24" x14ac:dyDescent="0.35">
      <c r="M16" s="128" t="s">
        <v>102</v>
      </c>
      <c r="N16" s="128" t="s">
        <v>117</v>
      </c>
    </row>
    <row r="17" spans="13:14" x14ac:dyDescent="0.35">
      <c r="M17" s="128" t="s">
        <v>91</v>
      </c>
      <c r="N17" s="128" t="s">
        <v>118</v>
      </c>
    </row>
    <row r="18" spans="13:14" x14ac:dyDescent="0.35">
      <c r="M18" s="128" t="s">
        <v>95</v>
      </c>
      <c r="N18" s="128" t="s">
        <v>119</v>
      </c>
    </row>
    <row r="19" spans="13:14" x14ac:dyDescent="0.35">
      <c r="M19" s="128" t="s">
        <v>98</v>
      </c>
      <c r="N19" s="128" t="s">
        <v>119</v>
      </c>
    </row>
    <row r="20" spans="13:14" x14ac:dyDescent="0.35">
      <c r="M20" s="128" t="s">
        <v>100</v>
      </c>
      <c r="N20" s="128" t="s">
        <v>119</v>
      </c>
    </row>
    <row r="21" spans="13:14" x14ac:dyDescent="0.35">
      <c r="M21" s="128" t="s">
        <v>93</v>
      </c>
      <c r="N21" s="128" t="s">
        <v>120</v>
      </c>
    </row>
    <row r="22" spans="13:14" x14ac:dyDescent="0.35">
      <c r="M22" s="128" t="s">
        <v>105</v>
      </c>
      <c r="N22" s="128" t="s">
        <v>121</v>
      </c>
    </row>
    <row r="23" spans="13:14" x14ac:dyDescent="0.35">
      <c r="M23" s="128" t="s">
        <v>105</v>
      </c>
      <c r="N23" s="128" t="s">
        <v>122</v>
      </c>
    </row>
    <row r="24" spans="13:14" x14ac:dyDescent="0.35">
      <c r="M24" s="128" t="s">
        <v>105</v>
      </c>
      <c r="N24" s="128" t="s">
        <v>123</v>
      </c>
    </row>
    <row r="25" spans="13:14" x14ac:dyDescent="0.35">
      <c r="M25" s="128" t="s">
        <v>105</v>
      </c>
      <c r="N25" s="128" t="s">
        <v>124</v>
      </c>
    </row>
    <row r="26" spans="13:14" x14ac:dyDescent="0.35">
      <c r="M26" s="128" t="s">
        <v>105</v>
      </c>
      <c r="N26" s="128" t="s">
        <v>134</v>
      </c>
    </row>
    <row r="27" spans="13:14" x14ac:dyDescent="0.35">
      <c r="M27" s="128" t="s">
        <v>106</v>
      </c>
      <c r="N27" s="128" t="s">
        <v>121</v>
      </c>
    </row>
    <row r="28" spans="13:14" x14ac:dyDescent="0.35">
      <c r="M28" s="128" t="s">
        <v>106</v>
      </c>
      <c r="N28" s="128" t="s">
        <v>122</v>
      </c>
    </row>
    <row r="29" spans="13:14" x14ac:dyDescent="0.35">
      <c r="M29" s="128" t="s">
        <v>106</v>
      </c>
      <c r="N29" s="128" t="s">
        <v>123</v>
      </c>
    </row>
    <row r="30" spans="13:14" x14ac:dyDescent="0.35">
      <c r="M30" s="128" t="s">
        <v>106</v>
      </c>
      <c r="N30" s="128" t="s">
        <v>124</v>
      </c>
    </row>
    <row r="31" spans="13:14" x14ac:dyDescent="0.35">
      <c r="M31" s="128" t="s">
        <v>106</v>
      </c>
      <c r="N31" s="128" t="s">
        <v>134</v>
      </c>
    </row>
    <row r="32" spans="13:14" x14ac:dyDescent="0.35">
      <c r="M32" s="128" t="s">
        <v>103</v>
      </c>
      <c r="N32" s="128" t="s">
        <v>125</v>
      </c>
    </row>
    <row r="33" spans="2:46" x14ac:dyDescent="0.35">
      <c r="M33" s="128" t="s">
        <v>103</v>
      </c>
      <c r="N33" s="128" t="s">
        <v>126</v>
      </c>
    </row>
    <row r="34" spans="2:46" x14ac:dyDescent="0.35">
      <c r="M34" s="128" t="s">
        <v>104</v>
      </c>
      <c r="N34" s="128" t="s">
        <v>127</v>
      </c>
    </row>
    <row r="35" spans="2:46" x14ac:dyDescent="0.35">
      <c r="M35" s="128" t="s">
        <v>104</v>
      </c>
      <c r="N35" s="128" t="s">
        <v>128</v>
      </c>
    </row>
    <row r="36" spans="2:46" x14ac:dyDescent="0.35">
      <c r="M36" s="128" t="s">
        <v>108</v>
      </c>
      <c r="N36" s="128" t="s">
        <v>129</v>
      </c>
    </row>
    <row r="37" spans="2:46" x14ac:dyDescent="0.35">
      <c r="M37" s="128" t="s">
        <v>107</v>
      </c>
      <c r="N37" s="128" t="s">
        <v>132</v>
      </c>
    </row>
    <row r="38" spans="2:46" x14ac:dyDescent="0.35">
      <c r="M38" s="128" t="s">
        <v>110</v>
      </c>
      <c r="N38" s="128" t="s">
        <v>130</v>
      </c>
    </row>
    <row r="39" spans="2:46" x14ac:dyDescent="0.35">
      <c r="M39" s="128" t="s">
        <v>11</v>
      </c>
      <c r="N39" s="128" t="s">
        <v>131</v>
      </c>
    </row>
    <row r="40" spans="2:46" x14ac:dyDescent="0.35">
      <c r="M40" s="128" t="s">
        <v>29</v>
      </c>
      <c r="N40" s="128" t="s">
        <v>135</v>
      </c>
    </row>
    <row r="42" spans="2:46" s="1" customFormat="1" ht="26" x14ac:dyDescent="0.6">
      <c r="B42" s="52" t="s">
        <v>39</v>
      </c>
      <c r="D42" s="3"/>
      <c r="E42" s="3"/>
      <c r="H42" s="52" t="s">
        <v>38</v>
      </c>
      <c r="L42" s="3"/>
      <c r="M42" s="3"/>
      <c r="V42" s="52" t="s">
        <v>188</v>
      </c>
      <c r="Z42" s="54"/>
      <c r="AA42" s="54"/>
      <c r="AB42" s="55"/>
      <c r="AC42" s="55"/>
      <c r="AE42" s="39" t="s">
        <v>187</v>
      </c>
      <c r="AG42" s="53"/>
    </row>
    <row r="43" spans="2:46" s="25" customFormat="1" ht="39.5" customHeight="1" x14ac:dyDescent="0.35">
      <c r="B43" s="41" t="s">
        <v>35</v>
      </c>
      <c r="C43" s="42" t="s">
        <v>36</v>
      </c>
      <c r="D43" s="41" t="s">
        <v>40</v>
      </c>
      <c r="E43" s="24"/>
      <c r="H43" s="43" t="s">
        <v>68</v>
      </c>
      <c r="I43" s="43" t="s">
        <v>36</v>
      </c>
      <c r="J43" s="44" t="s">
        <v>66</v>
      </c>
      <c r="K43" s="44" t="s">
        <v>67</v>
      </c>
      <c r="L43" s="43" t="s">
        <v>35</v>
      </c>
      <c r="M43" s="44" t="s">
        <v>37</v>
      </c>
      <c r="Q43" s="163" t="s">
        <v>68</v>
      </c>
      <c r="R43" s="164"/>
      <c r="S43" s="164"/>
      <c r="T43" s="164"/>
      <c r="U43" s="109"/>
      <c r="V43" s="45" t="s">
        <v>7</v>
      </c>
      <c r="W43" s="46" t="s">
        <v>36</v>
      </c>
      <c r="X43" s="47" t="s">
        <v>5</v>
      </c>
      <c r="Y43" s="47" t="s">
        <v>4</v>
      </c>
      <c r="Z43" s="56" t="s">
        <v>9</v>
      </c>
      <c r="AA43" s="56" t="s">
        <v>69</v>
      </c>
      <c r="AB43" s="57" t="s">
        <v>136</v>
      </c>
      <c r="AC43" s="47" t="s">
        <v>199</v>
      </c>
      <c r="AE43" s="48" t="s">
        <v>186</v>
      </c>
      <c r="AF43" s="49" t="s">
        <v>5</v>
      </c>
      <c r="AG43" s="50" t="s">
        <v>4</v>
      </c>
      <c r="AH43" s="49" t="s">
        <v>182</v>
      </c>
      <c r="AI43" s="49" t="s">
        <v>184</v>
      </c>
      <c r="AJ43" s="49" t="s">
        <v>8</v>
      </c>
      <c r="AK43" s="49" t="s">
        <v>9</v>
      </c>
      <c r="AL43" s="51" t="s">
        <v>183</v>
      </c>
      <c r="AN43" s="66" t="s">
        <v>7</v>
      </c>
      <c r="AO43" s="66" t="s">
        <v>190</v>
      </c>
      <c r="AP43" s="67" t="s">
        <v>136</v>
      </c>
      <c r="AQ43" s="68" t="s">
        <v>191</v>
      </c>
      <c r="AS43" s="69" t="s">
        <v>190</v>
      </c>
      <c r="AT43" s="70" t="s">
        <v>192</v>
      </c>
    </row>
    <row r="44" spans="2:46" x14ac:dyDescent="0.35">
      <c r="B44" s="17" t="s">
        <v>11</v>
      </c>
      <c r="C44" s="11" t="s">
        <v>14</v>
      </c>
      <c r="D44" s="13">
        <v>1</v>
      </c>
      <c r="E44" s="20"/>
      <c r="H44" s="21" t="s">
        <v>86</v>
      </c>
      <c r="I44" s="22" t="s">
        <v>70</v>
      </c>
      <c r="J44" s="113">
        <v>44197</v>
      </c>
      <c r="K44" s="113">
        <f>K70</f>
        <v>44306</v>
      </c>
      <c r="L44" s="21" t="str">
        <f>B44</f>
        <v>ST001</v>
      </c>
      <c r="M44" s="23">
        <f>K44-J44</f>
        <v>109</v>
      </c>
      <c r="Q44" s="13" t="str">
        <f>H44</f>
        <v>WP001</v>
      </c>
      <c r="R44" s="13"/>
      <c r="S44" s="13"/>
      <c r="T44" s="13"/>
      <c r="U44" s="13">
        <v>1</v>
      </c>
      <c r="V44" s="17" t="s">
        <v>112</v>
      </c>
      <c r="W44" s="5" t="s">
        <v>70</v>
      </c>
      <c r="X44" s="5" t="s">
        <v>81</v>
      </c>
      <c r="Y44" s="5">
        <v>1</v>
      </c>
      <c r="Z44" s="58">
        <f>'ahs (cost_id vs resource_id)'!I3</f>
        <v>19681.75</v>
      </c>
      <c r="AA44" s="58">
        <f>Y44*Z44</f>
        <v>19681.75</v>
      </c>
      <c r="AB44" s="59" t="s">
        <v>10</v>
      </c>
      <c r="AC44" s="5">
        <v>5</v>
      </c>
      <c r="AE44" s="26" t="s">
        <v>177</v>
      </c>
      <c r="AF44" s="8"/>
      <c r="AG44" s="34"/>
      <c r="AH44" s="8"/>
      <c r="AI44" s="8"/>
      <c r="AJ44" s="8"/>
      <c r="AK44" s="8"/>
      <c r="AL44" s="5"/>
      <c r="AN44" s="19"/>
      <c r="AO44" s="4"/>
      <c r="AP44" s="4"/>
      <c r="AQ44" s="5"/>
      <c r="AS44" s="19"/>
      <c r="AT44" s="5"/>
    </row>
    <row r="45" spans="2:46" x14ac:dyDescent="0.35">
      <c r="B45" s="13" t="s">
        <v>12</v>
      </c>
      <c r="C45" s="4" t="s">
        <v>15</v>
      </c>
      <c r="D45" s="13">
        <v>2</v>
      </c>
      <c r="E45" s="12"/>
      <c r="H45" s="21" t="s">
        <v>87</v>
      </c>
      <c r="I45" s="5" t="s">
        <v>43</v>
      </c>
      <c r="J45" s="114">
        <f>J44+1</f>
        <v>44198</v>
      </c>
      <c r="K45" s="114">
        <f>J45+M45</f>
        <v>44200</v>
      </c>
      <c r="L45" s="13" t="str">
        <f>B44</f>
        <v>ST001</v>
      </c>
      <c r="M45" s="15">
        <v>2</v>
      </c>
      <c r="Q45" s="13" t="str">
        <f>H45</f>
        <v>WP002</v>
      </c>
      <c r="R45" s="13"/>
      <c r="S45" s="13"/>
      <c r="T45" s="13"/>
      <c r="U45" s="13">
        <v>2</v>
      </c>
      <c r="V45" s="13" t="s">
        <v>113</v>
      </c>
      <c r="W45" s="5" t="s">
        <v>43</v>
      </c>
      <c r="X45" s="5" t="s">
        <v>3</v>
      </c>
      <c r="Y45" s="5">
        <v>100</v>
      </c>
      <c r="Z45" s="58">
        <f>'ahs (cost_id vs resource_id)'!I7</f>
        <v>13062.5</v>
      </c>
      <c r="AA45" s="58">
        <f t="shared" ref="AA45:AA52" si="0">Y45*Z45</f>
        <v>1306250</v>
      </c>
      <c r="AB45" s="59" t="s">
        <v>10</v>
      </c>
      <c r="AC45" s="5">
        <v>5</v>
      </c>
      <c r="AE45" s="27" t="s">
        <v>154</v>
      </c>
      <c r="AF45" s="8" t="s">
        <v>180</v>
      </c>
      <c r="AG45" s="34">
        <v>6</v>
      </c>
      <c r="AH45" s="36"/>
      <c r="AI45" s="36"/>
      <c r="AJ45" s="36"/>
      <c r="AK45" s="36"/>
      <c r="AL45" s="28"/>
      <c r="AN45" s="19" t="str">
        <f>V49</f>
        <v>CS002</v>
      </c>
      <c r="AO45" s="4" t="s">
        <v>193</v>
      </c>
      <c r="AP45" s="4" t="s">
        <v>154</v>
      </c>
      <c r="AQ45" s="5">
        <v>0.2</v>
      </c>
      <c r="AS45" s="19" t="str">
        <f>AO45</f>
        <v>RH001</v>
      </c>
      <c r="AT45" s="5"/>
    </row>
    <row r="46" spans="2:46" x14ac:dyDescent="0.35">
      <c r="B46" s="13" t="s">
        <v>13</v>
      </c>
      <c r="C46" s="4" t="s">
        <v>16</v>
      </c>
      <c r="D46" s="13">
        <v>2</v>
      </c>
      <c r="E46" s="12"/>
      <c r="H46" s="21" t="s">
        <v>88</v>
      </c>
      <c r="I46" s="5" t="s">
        <v>42</v>
      </c>
      <c r="J46" s="114">
        <f>K45+1</f>
        <v>44201</v>
      </c>
      <c r="K46" s="114">
        <f>J46+M46</f>
        <v>44203</v>
      </c>
      <c r="L46" s="13" t="str">
        <f>B44</f>
        <v>ST001</v>
      </c>
      <c r="M46" s="15">
        <v>2</v>
      </c>
      <c r="Q46" s="13" t="str">
        <f>H46</f>
        <v>WP003</v>
      </c>
      <c r="R46" s="13"/>
      <c r="S46" s="13"/>
      <c r="T46" s="13"/>
      <c r="U46" s="13">
        <v>3</v>
      </c>
      <c r="V46" s="13" t="s">
        <v>114</v>
      </c>
      <c r="W46" s="5" t="s">
        <v>41</v>
      </c>
      <c r="X46" s="5" t="s">
        <v>82</v>
      </c>
      <c r="Y46" s="5">
        <v>1</v>
      </c>
      <c r="Z46" s="58">
        <f>'ahs (cost_id vs resource_id)'!I11</f>
        <v>2750000</v>
      </c>
      <c r="AA46" s="58">
        <f t="shared" si="0"/>
        <v>2750000</v>
      </c>
      <c r="AB46" s="59" t="s">
        <v>155</v>
      </c>
      <c r="AC46" s="5">
        <v>5</v>
      </c>
      <c r="AE46" s="27" t="s">
        <v>10</v>
      </c>
      <c r="AF46" s="8" t="s">
        <v>180</v>
      </c>
      <c r="AG46" s="34">
        <v>10</v>
      </c>
      <c r="AH46" s="36"/>
      <c r="AI46" s="36"/>
      <c r="AJ46" s="36"/>
      <c r="AK46" s="36"/>
      <c r="AL46" s="28"/>
      <c r="AN46" s="19"/>
      <c r="AO46" s="4" t="s">
        <v>194</v>
      </c>
      <c r="AP46" s="4" t="s">
        <v>195</v>
      </c>
      <c r="AQ46" s="5">
        <v>0.5</v>
      </c>
      <c r="AS46" s="19" t="str">
        <f t="shared" ref="AS46:AS47" si="1">AO46</f>
        <v>RH002</v>
      </c>
      <c r="AT46" s="5"/>
    </row>
    <row r="47" spans="2:46" x14ac:dyDescent="0.35">
      <c r="B47" s="13" t="s">
        <v>19</v>
      </c>
      <c r="C47" s="11" t="s">
        <v>17</v>
      </c>
      <c r="D47" s="13">
        <v>4</v>
      </c>
      <c r="E47" s="12"/>
      <c r="H47" s="21" t="s">
        <v>89</v>
      </c>
      <c r="I47" s="5" t="s">
        <v>45</v>
      </c>
      <c r="J47" s="114">
        <f t="shared" ref="J47:J70" si="2">K46+1</f>
        <v>44204</v>
      </c>
      <c r="K47" s="114">
        <f t="shared" ref="K47:K70" si="3">J47+M47</f>
        <v>44205</v>
      </c>
      <c r="L47" s="13" t="str">
        <f>B45</f>
        <v>ST002</v>
      </c>
      <c r="M47" s="15">
        <v>1</v>
      </c>
      <c r="Q47" s="13" t="str">
        <f>H47</f>
        <v>WP004</v>
      </c>
      <c r="R47" s="13" t="str">
        <f>H48</f>
        <v>WP005</v>
      </c>
      <c r="S47" s="13"/>
      <c r="T47" s="13"/>
      <c r="U47" s="13">
        <v>4</v>
      </c>
      <c r="V47" s="13" t="s">
        <v>115</v>
      </c>
      <c r="W47" s="5" t="s">
        <v>44</v>
      </c>
      <c r="X47" s="5" t="s">
        <v>1</v>
      </c>
      <c r="Y47" s="5">
        <v>35</v>
      </c>
      <c r="Z47" s="58">
        <f>'ahs (cost_id vs resource_id)'!I14</f>
        <v>132412.5</v>
      </c>
      <c r="AA47" s="58">
        <f t="shared" si="0"/>
        <v>4634437.5</v>
      </c>
      <c r="AB47" s="59" t="s">
        <v>155</v>
      </c>
      <c r="AC47" s="5">
        <v>5</v>
      </c>
      <c r="AE47" s="26" t="s">
        <v>178</v>
      </c>
      <c r="AF47" s="8"/>
      <c r="AG47" s="34"/>
      <c r="AH47" s="8"/>
      <c r="AI47" s="8"/>
      <c r="AJ47" s="8"/>
      <c r="AK47" s="8"/>
      <c r="AL47" s="5"/>
      <c r="AN47" s="19"/>
      <c r="AO47" s="11" t="s">
        <v>196</v>
      </c>
      <c r="AP47" s="11" t="s">
        <v>158</v>
      </c>
      <c r="AQ47" s="5"/>
      <c r="AS47" s="19" t="str">
        <f t="shared" si="1"/>
        <v>RE001</v>
      </c>
      <c r="AT47" s="5"/>
    </row>
    <row r="48" spans="2:46" x14ac:dyDescent="0.35">
      <c r="B48" s="13" t="s">
        <v>20</v>
      </c>
      <c r="C48" s="11" t="s">
        <v>18</v>
      </c>
      <c r="D48" s="13">
        <v>3</v>
      </c>
      <c r="E48" s="12"/>
      <c r="H48" s="21" t="s">
        <v>133</v>
      </c>
      <c r="I48" s="8" t="s">
        <v>44</v>
      </c>
      <c r="J48" s="114">
        <f t="shared" si="2"/>
        <v>44206</v>
      </c>
      <c r="K48" s="114">
        <f t="shared" si="3"/>
        <v>44208</v>
      </c>
      <c r="L48" s="13" t="str">
        <f>B45</f>
        <v>ST002</v>
      </c>
      <c r="M48" s="15">
        <v>2</v>
      </c>
      <c r="Q48" s="13" t="str">
        <f>H49</f>
        <v>WS001</v>
      </c>
      <c r="R48" s="13" t="str">
        <f>H53</f>
        <v>WS005</v>
      </c>
      <c r="S48" s="13" t="str">
        <f>H56</f>
        <v>WS008</v>
      </c>
      <c r="T48" s="13" t="str">
        <f>H59</f>
        <v>WS011</v>
      </c>
      <c r="U48" s="13">
        <v>5</v>
      </c>
      <c r="V48" s="13" t="s">
        <v>116</v>
      </c>
      <c r="W48" s="8" t="s">
        <v>71</v>
      </c>
      <c r="X48" s="5" t="s">
        <v>2</v>
      </c>
      <c r="Y48" s="5">
        <v>2000</v>
      </c>
      <c r="Z48" s="58">
        <f>'ahs (cost_id vs resource_id)'!I18</f>
        <v>24110.9</v>
      </c>
      <c r="AA48" s="58">
        <f t="shared" si="0"/>
        <v>48221800</v>
      </c>
      <c r="AB48" s="59" t="s">
        <v>137</v>
      </c>
      <c r="AC48" s="5">
        <v>5</v>
      </c>
      <c r="AE48" s="27" t="s">
        <v>156</v>
      </c>
      <c r="AF48" s="8" t="s">
        <v>81</v>
      </c>
      <c r="AG48" s="34">
        <v>1</v>
      </c>
      <c r="AH48" s="36"/>
      <c r="AI48" s="36"/>
      <c r="AJ48" s="36"/>
      <c r="AK48" s="36"/>
      <c r="AL48" s="28"/>
      <c r="AN48" s="19"/>
      <c r="AO48" s="4"/>
      <c r="AP48" s="11" t="s">
        <v>160</v>
      </c>
      <c r="AQ48" s="5"/>
      <c r="AS48" s="19"/>
      <c r="AT48" s="5"/>
    </row>
    <row r="49" spans="2:46" x14ac:dyDescent="0.35">
      <c r="B49" s="13" t="s">
        <v>33</v>
      </c>
      <c r="C49" s="11" t="s">
        <v>32</v>
      </c>
      <c r="D49" s="13">
        <v>2</v>
      </c>
      <c r="E49" s="12"/>
      <c r="H49" s="21" t="s">
        <v>90</v>
      </c>
      <c r="I49" s="8" t="s">
        <v>47</v>
      </c>
      <c r="J49" s="114">
        <f t="shared" si="2"/>
        <v>44209</v>
      </c>
      <c r="K49" s="114">
        <f t="shared" si="3"/>
        <v>44212</v>
      </c>
      <c r="L49" s="13" t="str">
        <f>B46</f>
        <v>ST003</v>
      </c>
      <c r="M49" s="15">
        <v>3</v>
      </c>
      <c r="Q49" s="13" t="str">
        <f>H51</f>
        <v>WS003</v>
      </c>
      <c r="R49" s="13" t="str">
        <f>H55</f>
        <v>WS007</v>
      </c>
      <c r="S49" s="13" t="str">
        <f>H58</f>
        <v>WS010</v>
      </c>
      <c r="T49" s="13" t="str">
        <f>H61</f>
        <v>WS013</v>
      </c>
      <c r="U49" s="13">
        <v>6</v>
      </c>
      <c r="V49" s="13" t="s">
        <v>117</v>
      </c>
      <c r="W49" s="111" t="s">
        <v>72</v>
      </c>
      <c r="X49" s="5" t="s">
        <v>1</v>
      </c>
      <c r="Y49" s="5">
        <v>500</v>
      </c>
      <c r="Z49" s="58">
        <f>'ahs (cost_id vs resource_id)'!I25</f>
        <v>659235.76399999997</v>
      </c>
      <c r="AA49" s="58">
        <f t="shared" si="0"/>
        <v>329617882</v>
      </c>
      <c r="AB49" s="59" t="s">
        <v>159</v>
      </c>
      <c r="AC49" s="5">
        <v>5</v>
      </c>
      <c r="AE49" s="27" t="s">
        <v>157</v>
      </c>
      <c r="AF49" s="8" t="s">
        <v>5</v>
      </c>
      <c r="AG49" s="34">
        <v>1</v>
      </c>
      <c r="AH49" s="36"/>
      <c r="AI49" s="36"/>
      <c r="AJ49" s="36"/>
      <c r="AK49" s="36"/>
      <c r="AL49" s="28"/>
      <c r="AN49" s="19"/>
      <c r="AO49" s="4"/>
      <c r="AP49" s="11" t="s">
        <v>161</v>
      </c>
      <c r="AQ49" s="5"/>
      <c r="AS49" s="19"/>
      <c r="AT49" s="5"/>
    </row>
    <row r="50" spans="2:46" x14ac:dyDescent="0.35">
      <c r="B50" s="13" t="s">
        <v>21</v>
      </c>
      <c r="C50" s="11" t="s">
        <v>22</v>
      </c>
      <c r="D50" s="13">
        <v>1</v>
      </c>
      <c r="E50" s="12"/>
      <c r="H50" s="13" t="s">
        <v>91</v>
      </c>
      <c r="I50" s="8" t="s">
        <v>48</v>
      </c>
      <c r="J50" s="114">
        <f t="shared" si="2"/>
        <v>44213</v>
      </c>
      <c r="K50" s="114">
        <f t="shared" si="3"/>
        <v>44215</v>
      </c>
      <c r="L50" s="13" t="str">
        <f>B47</f>
        <v>ST004</v>
      </c>
      <c r="M50" s="15">
        <v>2</v>
      </c>
      <c r="Q50" s="13" t="str">
        <f>H50</f>
        <v>WS002</v>
      </c>
      <c r="R50" s="13"/>
      <c r="S50" s="13"/>
      <c r="T50" s="13"/>
      <c r="U50" s="13">
        <v>7</v>
      </c>
      <c r="V50" s="13" t="s">
        <v>118</v>
      </c>
      <c r="W50" s="8" t="s">
        <v>73</v>
      </c>
      <c r="X50" s="5" t="s">
        <v>3</v>
      </c>
      <c r="Y50" s="5">
        <v>150</v>
      </c>
      <c r="Z50" s="58">
        <f>'ahs (cost_id vs resource_id)'!I34</f>
        <v>171773.25</v>
      </c>
      <c r="AA50" s="58">
        <f t="shared" si="0"/>
        <v>25765987.5</v>
      </c>
      <c r="AB50" s="59" t="s">
        <v>139</v>
      </c>
      <c r="AC50" s="5">
        <v>5</v>
      </c>
      <c r="AE50" s="27" t="s">
        <v>158</v>
      </c>
      <c r="AF50" s="8" t="s">
        <v>5</v>
      </c>
      <c r="AG50" s="34">
        <v>1</v>
      </c>
      <c r="AH50" s="36"/>
      <c r="AI50" s="36"/>
      <c r="AJ50" s="36"/>
      <c r="AK50" s="36"/>
      <c r="AL50" s="28"/>
      <c r="AN50" s="19"/>
      <c r="AO50" s="4"/>
      <c r="AP50" s="11" t="s">
        <v>162</v>
      </c>
      <c r="AQ50" s="5"/>
      <c r="AS50" s="19"/>
      <c r="AT50" s="5"/>
    </row>
    <row r="51" spans="2:46" x14ac:dyDescent="0.35">
      <c r="B51" s="13" t="s">
        <v>27</v>
      </c>
      <c r="C51" s="11" t="s">
        <v>23</v>
      </c>
      <c r="D51" s="13">
        <v>5</v>
      </c>
      <c r="E51" s="12"/>
      <c r="H51" s="13" t="s">
        <v>92</v>
      </c>
      <c r="I51" s="8" t="s">
        <v>49</v>
      </c>
      <c r="J51" s="114">
        <f t="shared" si="2"/>
        <v>44216</v>
      </c>
      <c r="K51" s="114">
        <f t="shared" si="3"/>
        <v>44218</v>
      </c>
      <c r="L51" s="13" t="str">
        <f>B47</f>
        <v>ST004</v>
      </c>
      <c r="M51" s="15">
        <v>2</v>
      </c>
      <c r="Q51" s="13" t="str">
        <f>H54</f>
        <v>WS006</v>
      </c>
      <c r="R51" s="13" t="str">
        <f>H57</f>
        <v>WS009</v>
      </c>
      <c r="S51" s="13" t="str">
        <f>H59</f>
        <v>WS011</v>
      </c>
      <c r="T51" s="13"/>
      <c r="U51" s="13">
        <v>8</v>
      </c>
      <c r="V51" s="13" t="s">
        <v>119</v>
      </c>
      <c r="W51" s="8" t="s">
        <v>189</v>
      </c>
      <c r="X51" s="5" t="s">
        <v>3</v>
      </c>
      <c r="Y51" s="5">
        <v>500</v>
      </c>
      <c r="Z51" s="58">
        <f>'ahs (cost_id vs resource_id)'!I41</f>
        <v>384741.5</v>
      </c>
      <c r="AA51" s="58">
        <f t="shared" si="0"/>
        <v>192370750</v>
      </c>
      <c r="AB51" s="59" t="s">
        <v>141</v>
      </c>
      <c r="AC51" s="5">
        <v>5</v>
      </c>
      <c r="AE51" s="29" t="s">
        <v>179</v>
      </c>
      <c r="AF51" s="8"/>
      <c r="AG51" s="34"/>
      <c r="AH51" s="8"/>
      <c r="AI51" s="8"/>
      <c r="AJ51" s="8"/>
      <c r="AK51" s="8"/>
      <c r="AL51" s="5"/>
      <c r="AN51" s="19"/>
      <c r="AO51" s="4"/>
      <c r="AP51" s="4"/>
      <c r="AQ51" s="5"/>
      <c r="AS51" s="19"/>
      <c r="AT51" s="5"/>
    </row>
    <row r="52" spans="2:46" x14ac:dyDescent="0.35">
      <c r="B52" s="13" t="s">
        <v>28</v>
      </c>
      <c r="C52" s="11" t="s">
        <v>24</v>
      </c>
      <c r="D52" s="13">
        <v>2</v>
      </c>
      <c r="E52" s="12"/>
      <c r="H52" s="13" t="s">
        <v>93</v>
      </c>
      <c r="I52" s="8" t="s">
        <v>46</v>
      </c>
      <c r="J52" s="114">
        <f t="shared" si="2"/>
        <v>44219</v>
      </c>
      <c r="K52" s="114">
        <f t="shared" si="3"/>
        <v>44224</v>
      </c>
      <c r="L52" s="13" t="str">
        <f>B45</f>
        <v>ST002</v>
      </c>
      <c r="M52" s="15">
        <v>5</v>
      </c>
      <c r="Q52" s="13" t="str">
        <f>H52</f>
        <v>WS004</v>
      </c>
      <c r="R52" s="13"/>
      <c r="S52" s="13"/>
      <c r="T52" s="13"/>
      <c r="U52" s="13">
        <v>9</v>
      </c>
      <c r="V52" s="13" t="s">
        <v>120</v>
      </c>
      <c r="W52" s="8" t="s">
        <v>46</v>
      </c>
      <c r="X52" s="5" t="s">
        <v>1</v>
      </c>
      <c r="Y52" s="5">
        <v>200</v>
      </c>
      <c r="Z52" s="58">
        <f>'ahs (cost_id vs resource_id)'!I48</f>
        <v>1374687.8199999998</v>
      </c>
      <c r="AA52" s="58">
        <f t="shared" si="0"/>
        <v>274937563.99999994</v>
      </c>
      <c r="AB52" s="59" t="s">
        <v>142</v>
      </c>
      <c r="AC52" s="5">
        <v>5</v>
      </c>
      <c r="AE52" s="27" t="s">
        <v>160</v>
      </c>
      <c r="AF52" s="8" t="s">
        <v>181</v>
      </c>
      <c r="AG52" s="34">
        <f>Y49/6</f>
        <v>83.333333333333329</v>
      </c>
      <c r="AH52" s="36"/>
      <c r="AI52" s="36"/>
      <c r="AJ52" s="36"/>
      <c r="AK52" s="36"/>
      <c r="AL52" s="28"/>
      <c r="AN52" s="19"/>
      <c r="AO52" s="4"/>
      <c r="AP52" s="4"/>
      <c r="AQ52" s="5"/>
      <c r="AS52" s="19"/>
      <c r="AT52" s="5"/>
    </row>
    <row r="53" spans="2:46" x14ac:dyDescent="0.35">
      <c r="B53" s="13" t="s">
        <v>29</v>
      </c>
      <c r="C53" s="11" t="s">
        <v>65</v>
      </c>
      <c r="D53" s="13">
        <v>3</v>
      </c>
      <c r="E53" s="12"/>
      <c r="H53" s="13" t="s">
        <v>94</v>
      </c>
      <c r="I53" s="8" t="s">
        <v>51</v>
      </c>
      <c r="J53" s="114">
        <f t="shared" si="2"/>
        <v>44225</v>
      </c>
      <c r="K53" s="114">
        <f t="shared" si="3"/>
        <v>44228</v>
      </c>
      <c r="L53" s="13" t="str">
        <f>B47</f>
        <v>ST004</v>
      </c>
      <c r="M53" s="15">
        <v>3</v>
      </c>
      <c r="Q53" s="13" t="str">
        <f>H64</f>
        <v>WS014</v>
      </c>
      <c r="R53" s="13" t="str">
        <f>H65</f>
        <v>WS015</v>
      </c>
      <c r="S53" s="13"/>
      <c r="T53" s="13"/>
      <c r="U53" s="13">
        <v>10</v>
      </c>
      <c r="V53" s="13" t="s">
        <v>121</v>
      </c>
      <c r="W53" s="8" t="s">
        <v>74</v>
      </c>
      <c r="X53" s="5" t="s">
        <v>2</v>
      </c>
      <c r="Y53" s="5">
        <v>1500</v>
      </c>
      <c r="Z53" s="58">
        <f>'ahs (cost_id vs resource_id)'!I55</f>
        <v>38021.5</v>
      </c>
      <c r="AA53" s="58">
        <f t="shared" ref="AA53:AA61" si="4">Y53*Z53</f>
        <v>57032250</v>
      </c>
      <c r="AB53" s="59" t="s">
        <v>143</v>
      </c>
      <c r="AC53" s="5">
        <v>5</v>
      </c>
      <c r="AE53" s="27" t="s">
        <v>161</v>
      </c>
      <c r="AF53" s="8" t="s">
        <v>1</v>
      </c>
      <c r="AG53" s="34">
        <f>AG52*3</f>
        <v>250</v>
      </c>
      <c r="AH53" s="36"/>
      <c r="AI53" s="36"/>
      <c r="AJ53" s="36"/>
      <c r="AK53" s="36"/>
      <c r="AL53" s="28"/>
      <c r="AN53" s="19"/>
      <c r="AO53" s="4"/>
      <c r="AP53" s="4"/>
      <c r="AQ53" s="5"/>
      <c r="AS53" s="19"/>
      <c r="AT53" s="5"/>
    </row>
    <row r="54" spans="2:46" x14ac:dyDescent="0.35">
      <c r="B54" s="13" t="s">
        <v>34</v>
      </c>
      <c r="C54" s="11" t="s">
        <v>31</v>
      </c>
      <c r="D54" s="13">
        <v>3</v>
      </c>
      <c r="E54" s="12"/>
      <c r="H54" s="13" t="s">
        <v>95</v>
      </c>
      <c r="I54" s="8" t="s">
        <v>50</v>
      </c>
      <c r="J54" s="114">
        <f t="shared" si="2"/>
        <v>44229</v>
      </c>
      <c r="K54" s="114">
        <f t="shared" si="3"/>
        <v>44231</v>
      </c>
      <c r="L54" s="13" t="str">
        <f>B47</f>
        <v>ST004</v>
      </c>
      <c r="M54" s="15">
        <v>2</v>
      </c>
      <c r="Q54" s="13" t="str">
        <f>Q53</f>
        <v>WS014</v>
      </c>
      <c r="R54" s="13" t="str">
        <f>R53</f>
        <v>WS015</v>
      </c>
      <c r="S54" s="13"/>
      <c r="T54" s="13"/>
      <c r="U54" s="13">
        <v>11</v>
      </c>
      <c r="V54" s="13" t="s">
        <v>122</v>
      </c>
      <c r="W54" s="8" t="s">
        <v>75</v>
      </c>
      <c r="X54" s="5" t="s">
        <v>2</v>
      </c>
      <c r="Y54" s="5">
        <v>300</v>
      </c>
      <c r="Z54" s="58">
        <f>'ahs (cost_id vs resource_id)'!I60</f>
        <v>40007.550000000003</v>
      </c>
      <c r="AA54" s="58">
        <f t="shared" si="4"/>
        <v>12002265</v>
      </c>
      <c r="AB54" s="59" t="s">
        <v>140</v>
      </c>
      <c r="AC54" s="5">
        <v>5</v>
      </c>
      <c r="AE54" s="27" t="s">
        <v>164</v>
      </c>
      <c r="AF54" s="8" t="s">
        <v>1</v>
      </c>
      <c r="AG54" s="34">
        <f>AG52*2</f>
        <v>166.66666666666666</v>
      </c>
      <c r="AH54" s="36"/>
      <c r="AI54" s="36"/>
      <c r="AJ54" s="36"/>
      <c r="AK54" s="36"/>
      <c r="AL54" s="28"/>
      <c r="AN54" s="19"/>
      <c r="AO54" s="4"/>
      <c r="AP54" s="4"/>
      <c r="AQ54" s="5"/>
      <c r="AS54" s="19"/>
      <c r="AT54" s="5"/>
    </row>
    <row r="55" spans="2:46" x14ac:dyDescent="0.35">
      <c r="B55" s="13" t="s">
        <v>30</v>
      </c>
      <c r="C55" s="11" t="s">
        <v>26</v>
      </c>
      <c r="D55" s="13">
        <v>3</v>
      </c>
      <c r="E55" s="12"/>
      <c r="H55" s="13" t="s">
        <v>96</v>
      </c>
      <c r="I55" s="8" t="s">
        <v>52</v>
      </c>
      <c r="J55" s="114">
        <f t="shared" si="2"/>
        <v>44232</v>
      </c>
      <c r="K55" s="114">
        <f t="shared" si="3"/>
        <v>44234</v>
      </c>
      <c r="L55" s="13" t="str">
        <f>B47</f>
        <v>ST004</v>
      </c>
      <c r="M55" s="15">
        <v>2</v>
      </c>
      <c r="Q55" s="13" t="str">
        <f>Q54</f>
        <v>WS014</v>
      </c>
      <c r="R55" s="13" t="str">
        <f t="shared" ref="R55:R57" si="5">R54</f>
        <v>WS015</v>
      </c>
      <c r="S55" s="13"/>
      <c r="T55" s="13"/>
      <c r="U55" s="13">
        <v>12</v>
      </c>
      <c r="V55" s="13" t="s">
        <v>123</v>
      </c>
      <c r="W55" s="8" t="s">
        <v>76</v>
      </c>
      <c r="X55" s="5" t="s">
        <v>2</v>
      </c>
      <c r="Y55" s="5">
        <v>200</v>
      </c>
      <c r="Z55" s="58">
        <f>'ahs (cost_id vs resource_id)'!I65</f>
        <v>19058.82</v>
      </c>
      <c r="AA55" s="58">
        <f t="shared" si="4"/>
        <v>3811764</v>
      </c>
      <c r="AB55" s="59" t="s">
        <v>144</v>
      </c>
      <c r="AC55" s="5">
        <v>5</v>
      </c>
      <c r="AE55" s="27" t="s">
        <v>163</v>
      </c>
      <c r="AF55" s="8" t="s">
        <v>3</v>
      </c>
      <c r="AG55" s="34">
        <f>Y66</f>
        <v>200</v>
      </c>
      <c r="AH55" s="36"/>
      <c r="AI55" s="36"/>
      <c r="AJ55" s="36"/>
      <c r="AK55" s="36"/>
      <c r="AL55" s="28"/>
      <c r="AN55" s="19"/>
      <c r="AO55" s="4"/>
      <c r="AP55" s="4"/>
      <c r="AQ55" s="5"/>
      <c r="AS55" s="19"/>
      <c r="AT55" s="5"/>
    </row>
    <row r="56" spans="2:46" x14ac:dyDescent="0.35">
      <c r="B56" s="13"/>
      <c r="C56" s="8"/>
      <c r="D56" s="13"/>
      <c r="E56" s="12"/>
      <c r="H56" s="13" t="s">
        <v>97</v>
      </c>
      <c r="I56" s="8" t="s">
        <v>53</v>
      </c>
      <c r="J56" s="114">
        <f t="shared" si="2"/>
        <v>44235</v>
      </c>
      <c r="K56" s="114">
        <f t="shared" si="3"/>
        <v>44238</v>
      </c>
      <c r="L56" s="13" t="str">
        <f>B47</f>
        <v>ST004</v>
      </c>
      <c r="M56" s="15">
        <v>3</v>
      </c>
      <c r="Q56" s="13" t="str">
        <f>Q55</f>
        <v>WS014</v>
      </c>
      <c r="R56" s="13" t="str">
        <f t="shared" si="5"/>
        <v>WS015</v>
      </c>
      <c r="S56" s="13"/>
      <c r="T56" s="13"/>
      <c r="U56" s="13">
        <v>13</v>
      </c>
      <c r="V56" s="13" t="s">
        <v>124</v>
      </c>
      <c r="W56" s="8" t="s">
        <v>77</v>
      </c>
      <c r="X56" s="5" t="s">
        <v>2</v>
      </c>
      <c r="Y56" s="5">
        <v>250</v>
      </c>
      <c r="Z56" s="58">
        <f>'ahs (cost_id vs resource_id)'!I70</f>
        <v>69267</v>
      </c>
      <c r="AA56" s="58">
        <f t="shared" si="4"/>
        <v>17316750</v>
      </c>
      <c r="AB56" s="59" t="s">
        <v>176</v>
      </c>
      <c r="AC56" s="5">
        <v>5</v>
      </c>
      <c r="AE56" s="27" t="s">
        <v>165</v>
      </c>
      <c r="AF56" s="8" t="s">
        <v>3</v>
      </c>
      <c r="AG56" s="34">
        <f>Y51</f>
        <v>500</v>
      </c>
      <c r="AH56" s="36"/>
      <c r="AI56" s="36"/>
      <c r="AJ56" s="36"/>
      <c r="AK56" s="36"/>
      <c r="AL56" s="28"/>
      <c r="AN56" s="19"/>
      <c r="AO56" s="4"/>
      <c r="AP56" s="4"/>
      <c r="AQ56" s="5"/>
      <c r="AS56" s="19"/>
      <c r="AT56" s="5"/>
    </row>
    <row r="57" spans="2:46" x14ac:dyDescent="0.35">
      <c r="B57" s="13"/>
      <c r="C57" s="11"/>
      <c r="D57" s="13"/>
      <c r="E57" s="12"/>
      <c r="H57" s="13" t="s">
        <v>98</v>
      </c>
      <c r="I57" s="8" t="s">
        <v>54</v>
      </c>
      <c r="J57" s="114">
        <f t="shared" si="2"/>
        <v>44239</v>
      </c>
      <c r="K57" s="114">
        <f t="shared" si="3"/>
        <v>44243</v>
      </c>
      <c r="L57" s="13" t="str">
        <f>B47</f>
        <v>ST004</v>
      </c>
      <c r="M57" s="15">
        <v>4</v>
      </c>
      <c r="Q57" s="13" t="str">
        <f>Q56</f>
        <v>WS014</v>
      </c>
      <c r="R57" s="13" t="str">
        <f t="shared" si="5"/>
        <v>WS015</v>
      </c>
      <c r="S57" s="13"/>
      <c r="T57" s="13"/>
      <c r="U57" s="13">
        <v>14</v>
      </c>
      <c r="V57" s="13" t="s">
        <v>134</v>
      </c>
      <c r="W57" s="8" t="s">
        <v>78</v>
      </c>
      <c r="X57" s="5" t="s">
        <v>3</v>
      </c>
      <c r="Y57" s="5">
        <v>750</v>
      </c>
      <c r="Z57" s="58">
        <f>'ahs (cost_id vs resource_id)'!I76</f>
        <v>183639.5</v>
      </c>
      <c r="AA57" s="58">
        <f t="shared" si="4"/>
        <v>137729625</v>
      </c>
      <c r="AB57" s="59" t="s">
        <v>145</v>
      </c>
      <c r="AC57" s="5">
        <v>5</v>
      </c>
      <c r="AE57" s="27" t="s">
        <v>166</v>
      </c>
      <c r="AF57" s="8" t="s">
        <v>85</v>
      </c>
      <c r="AG57" s="34">
        <f>Y58*70</f>
        <v>35000</v>
      </c>
      <c r="AH57" s="36"/>
      <c r="AI57" s="36"/>
      <c r="AJ57" s="36"/>
      <c r="AK57" s="36"/>
      <c r="AL57" s="28"/>
      <c r="AN57" s="19"/>
      <c r="AO57" s="4"/>
      <c r="AP57" s="4"/>
      <c r="AQ57" s="5"/>
      <c r="AS57" s="19"/>
      <c r="AT57" s="5"/>
    </row>
    <row r="58" spans="2:46" x14ac:dyDescent="0.35">
      <c r="B58" s="13"/>
      <c r="C58" s="11"/>
      <c r="D58" s="13"/>
      <c r="E58" s="12"/>
      <c r="H58" s="13" t="s">
        <v>99</v>
      </c>
      <c r="I58" s="8" t="s">
        <v>49</v>
      </c>
      <c r="J58" s="114">
        <f t="shared" si="2"/>
        <v>44244</v>
      </c>
      <c r="K58" s="114">
        <f t="shared" si="3"/>
        <v>44246</v>
      </c>
      <c r="L58" s="13" t="str">
        <f>B47</f>
        <v>ST004</v>
      </c>
      <c r="M58" s="15">
        <v>2</v>
      </c>
      <c r="Q58" s="13" t="str">
        <f>H62</f>
        <v>WA001</v>
      </c>
      <c r="R58" s="13"/>
      <c r="S58" s="13"/>
      <c r="T58" s="13"/>
      <c r="U58" s="13">
        <v>15</v>
      </c>
      <c r="V58" s="13" t="s">
        <v>125</v>
      </c>
      <c r="W58" s="8" t="s">
        <v>83</v>
      </c>
      <c r="X58" s="5" t="s">
        <v>3</v>
      </c>
      <c r="Y58" s="5">
        <v>500</v>
      </c>
      <c r="Z58" s="58">
        <f>'ahs (cost_id vs resource_id)'!I81</f>
        <v>163454.38999999998</v>
      </c>
      <c r="AA58" s="58">
        <f t="shared" si="4"/>
        <v>81727194.999999985</v>
      </c>
      <c r="AB58" s="59" t="s">
        <v>138</v>
      </c>
      <c r="AC58" s="5">
        <v>5</v>
      </c>
      <c r="AE58" s="27" t="s">
        <v>71</v>
      </c>
      <c r="AF58" s="8" t="s">
        <v>2</v>
      </c>
      <c r="AG58" s="34">
        <f>Y48</f>
        <v>2000</v>
      </c>
      <c r="AH58" s="36"/>
      <c r="AI58" s="36"/>
      <c r="AJ58" s="36"/>
      <c r="AK58" s="36"/>
      <c r="AL58" s="28"/>
      <c r="AN58" s="19"/>
      <c r="AO58" s="4"/>
      <c r="AP58" s="4"/>
      <c r="AQ58" s="5"/>
      <c r="AS58" s="19"/>
      <c r="AT58" s="5"/>
    </row>
    <row r="59" spans="2:46" x14ac:dyDescent="0.35">
      <c r="B59" s="13"/>
      <c r="C59" s="11"/>
      <c r="D59" s="13"/>
      <c r="E59" s="12"/>
      <c r="H59" s="13" t="s">
        <v>100</v>
      </c>
      <c r="I59" s="8" t="s">
        <v>55</v>
      </c>
      <c r="J59" s="114">
        <f t="shared" si="2"/>
        <v>44247</v>
      </c>
      <c r="K59" s="114">
        <f t="shared" si="3"/>
        <v>44250</v>
      </c>
      <c r="L59" s="13" t="str">
        <f>B47</f>
        <v>ST004</v>
      </c>
      <c r="M59" s="15">
        <v>3</v>
      </c>
      <c r="Q59" s="13" t="str">
        <f>Q58</f>
        <v>WA001</v>
      </c>
      <c r="R59" s="13"/>
      <c r="S59" s="13"/>
      <c r="T59" s="13"/>
      <c r="U59" s="13">
        <v>16</v>
      </c>
      <c r="V59" s="13" t="s">
        <v>126</v>
      </c>
      <c r="W59" s="8" t="s">
        <v>84</v>
      </c>
      <c r="X59" s="5" t="s">
        <v>3</v>
      </c>
      <c r="Y59" s="5">
        <v>500</v>
      </c>
      <c r="Z59" s="58">
        <f>'ahs (cost_id vs resource_id)'!I88</f>
        <v>97987.67</v>
      </c>
      <c r="AA59" s="58">
        <f t="shared" si="4"/>
        <v>48993835</v>
      </c>
      <c r="AB59" s="59" t="s">
        <v>147</v>
      </c>
      <c r="AC59" s="5">
        <v>5</v>
      </c>
      <c r="AE59" s="27" t="s">
        <v>167</v>
      </c>
      <c r="AF59" s="8" t="s">
        <v>3</v>
      </c>
      <c r="AG59" s="34">
        <f>Y65*0.6</f>
        <v>0.6</v>
      </c>
      <c r="AH59" s="36"/>
      <c r="AI59" s="36"/>
      <c r="AJ59" s="36"/>
      <c r="AK59" s="36"/>
      <c r="AL59" s="28"/>
      <c r="AN59" s="19"/>
      <c r="AO59" s="4"/>
      <c r="AP59" s="4"/>
      <c r="AQ59" s="5"/>
      <c r="AS59" s="19"/>
      <c r="AT59" s="5"/>
    </row>
    <row r="60" spans="2:46" x14ac:dyDescent="0.35">
      <c r="B60" s="13"/>
      <c r="C60" s="11"/>
      <c r="D60" s="13"/>
      <c r="E60" s="12"/>
      <c r="H60" s="13" t="s">
        <v>101</v>
      </c>
      <c r="I60" s="8" t="s">
        <v>56</v>
      </c>
      <c r="J60" s="114">
        <f t="shared" si="2"/>
        <v>44251</v>
      </c>
      <c r="K60" s="114">
        <f t="shared" si="3"/>
        <v>44253</v>
      </c>
      <c r="L60" s="13" t="str">
        <f>B47</f>
        <v>ST004</v>
      </c>
      <c r="M60" s="15">
        <v>2</v>
      </c>
      <c r="Q60" s="13" t="str">
        <f>H63</f>
        <v>WA002</v>
      </c>
      <c r="R60" s="13"/>
      <c r="S60" s="13"/>
      <c r="T60" s="13"/>
      <c r="U60" s="13">
        <v>17</v>
      </c>
      <c r="V60" s="13" t="s">
        <v>127</v>
      </c>
      <c r="W60" s="8" t="s">
        <v>225</v>
      </c>
      <c r="X60" s="5" t="s">
        <v>3</v>
      </c>
      <c r="Y60" s="110">
        <f>5*(1.2*2.4)</f>
        <v>14.399999999999999</v>
      </c>
      <c r="Z60" s="58">
        <f>'ahs (cost_id vs resource_id)'!I94</f>
        <v>1125081.1000000001</v>
      </c>
      <c r="AA60" s="58">
        <f t="shared" si="4"/>
        <v>16201167.84</v>
      </c>
      <c r="AB60" s="59" t="s">
        <v>146</v>
      </c>
      <c r="AC60" s="5">
        <v>5</v>
      </c>
      <c r="AE60" s="27" t="s">
        <v>168</v>
      </c>
      <c r="AF60" s="8" t="s">
        <v>3</v>
      </c>
      <c r="AG60" s="34">
        <f>Y65*0.4</f>
        <v>0.4</v>
      </c>
      <c r="AH60" s="36"/>
      <c r="AI60" s="36"/>
      <c r="AJ60" s="36"/>
      <c r="AK60" s="36"/>
      <c r="AL60" s="28"/>
      <c r="AN60" s="19"/>
      <c r="AO60" s="4"/>
      <c r="AP60" s="4"/>
      <c r="AQ60" s="5"/>
      <c r="AS60" s="19"/>
      <c r="AT60" s="5"/>
    </row>
    <row r="61" spans="2:46" x14ac:dyDescent="0.35">
      <c r="B61" s="13"/>
      <c r="C61" s="11"/>
      <c r="D61" s="13"/>
      <c r="E61" s="12"/>
      <c r="H61" s="13" t="s">
        <v>102</v>
      </c>
      <c r="I61" s="8" t="s">
        <v>49</v>
      </c>
      <c r="J61" s="114">
        <f t="shared" si="2"/>
        <v>44254</v>
      </c>
      <c r="K61" s="114">
        <f t="shared" si="3"/>
        <v>44256</v>
      </c>
      <c r="L61" s="13" t="str">
        <f>B47</f>
        <v>ST004</v>
      </c>
      <c r="M61" s="15">
        <v>2</v>
      </c>
      <c r="Q61" s="13" t="str">
        <f>Q60</f>
        <v>WA002</v>
      </c>
      <c r="R61" s="13"/>
      <c r="S61" s="13"/>
      <c r="T61" s="13"/>
      <c r="U61" s="13">
        <v>18</v>
      </c>
      <c r="V61" s="13" t="s">
        <v>128</v>
      </c>
      <c r="W61" s="8" t="s">
        <v>226</v>
      </c>
      <c r="X61" s="5" t="s">
        <v>1</v>
      </c>
      <c r="Y61" s="110">
        <f>2.8*1.5*0.2*5</f>
        <v>4.1999999999999993</v>
      </c>
      <c r="Z61" s="58">
        <f>'ahs (cost_id vs resource_id)'!I100</f>
        <v>30008242</v>
      </c>
      <c r="AA61" s="58">
        <f t="shared" si="4"/>
        <v>126034616.39999998</v>
      </c>
      <c r="AB61" s="59" t="s">
        <v>148</v>
      </c>
      <c r="AC61" s="5">
        <v>5</v>
      </c>
      <c r="AE61" s="27" t="s">
        <v>25</v>
      </c>
      <c r="AF61" s="8" t="s">
        <v>3</v>
      </c>
      <c r="AG61" s="34">
        <f>Y64</f>
        <v>500</v>
      </c>
      <c r="AH61" s="36"/>
      <c r="AI61" s="36"/>
      <c r="AJ61" s="36"/>
      <c r="AK61" s="36"/>
      <c r="AL61" s="28"/>
      <c r="AN61" s="65"/>
      <c r="AO61" s="6"/>
      <c r="AP61" s="6"/>
      <c r="AQ61" s="7"/>
      <c r="AS61" s="65"/>
      <c r="AT61" s="7"/>
    </row>
    <row r="62" spans="2:46" x14ac:dyDescent="0.35">
      <c r="B62" s="13"/>
      <c r="C62" s="11"/>
      <c r="D62" s="13"/>
      <c r="E62" s="12"/>
      <c r="H62" s="13" t="s">
        <v>103</v>
      </c>
      <c r="I62" s="8" t="s">
        <v>59</v>
      </c>
      <c r="J62" s="114">
        <f t="shared" si="2"/>
        <v>44257</v>
      </c>
      <c r="K62" s="114">
        <f t="shared" si="3"/>
        <v>44264</v>
      </c>
      <c r="L62" s="13" t="str">
        <f>B50</f>
        <v>AR001</v>
      </c>
      <c r="M62" s="15">
        <v>7</v>
      </c>
      <c r="Q62" s="13" t="str">
        <f>H67</f>
        <v>WA003</v>
      </c>
      <c r="R62" s="13"/>
      <c r="S62" s="13"/>
      <c r="T62" s="13"/>
      <c r="U62" s="13">
        <v>19</v>
      </c>
      <c r="V62" s="13" t="s">
        <v>129</v>
      </c>
      <c r="W62" s="8" t="s">
        <v>61</v>
      </c>
      <c r="X62" s="5" t="s">
        <v>3</v>
      </c>
      <c r="Y62" s="5">
        <v>200</v>
      </c>
      <c r="Z62" s="58">
        <f>'ahs (cost_id vs resource_id)'!I107</f>
        <v>262953.90000000002</v>
      </c>
      <c r="AA62" s="58">
        <f>Y62*Z62</f>
        <v>52590780.000000007</v>
      </c>
      <c r="AB62" s="59" t="s">
        <v>150</v>
      </c>
      <c r="AC62" s="5">
        <v>5</v>
      </c>
      <c r="AE62" s="27" t="s">
        <v>169</v>
      </c>
      <c r="AF62" s="8" t="s">
        <v>0</v>
      </c>
      <c r="AG62" s="34">
        <f>Y63/3</f>
        <v>0.33333333333333331</v>
      </c>
      <c r="AH62" s="36"/>
      <c r="AI62" s="36"/>
      <c r="AJ62" s="36"/>
      <c r="AK62" s="36"/>
      <c r="AL62" s="28"/>
    </row>
    <row r="63" spans="2:46" x14ac:dyDescent="0.35">
      <c r="B63" s="13"/>
      <c r="C63" s="11"/>
      <c r="D63" s="13"/>
      <c r="E63" s="12"/>
      <c r="H63" s="13" t="s">
        <v>104</v>
      </c>
      <c r="I63" s="8" t="s">
        <v>60</v>
      </c>
      <c r="J63" s="114">
        <f t="shared" si="2"/>
        <v>44265</v>
      </c>
      <c r="K63" s="114">
        <f t="shared" si="3"/>
        <v>44268</v>
      </c>
      <c r="L63" s="13" t="str">
        <f>B51</f>
        <v>AR002</v>
      </c>
      <c r="M63" s="15">
        <v>3</v>
      </c>
      <c r="Q63" s="13" t="str">
        <f>H66</f>
        <v>WE001</v>
      </c>
      <c r="R63" s="13"/>
      <c r="S63" s="13"/>
      <c r="T63" s="13"/>
      <c r="U63" s="13">
        <v>20</v>
      </c>
      <c r="V63" s="13" t="s">
        <v>132</v>
      </c>
      <c r="W63" s="8" t="s">
        <v>26</v>
      </c>
      <c r="X63" s="5" t="s">
        <v>82</v>
      </c>
      <c r="Y63" s="5">
        <v>1</v>
      </c>
      <c r="Z63" s="58">
        <f>'ahs (cost_id vs resource_id)'!I114</f>
        <v>27500000</v>
      </c>
      <c r="AA63" s="58">
        <f>Y63*Z63</f>
        <v>27500000</v>
      </c>
      <c r="AB63" s="59" t="s">
        <v>151</v>
      </c>
      <c r="AC63" s="5">
        <v>5</v>
      </c>
      <c r="AE63" s="27" t="s">
        <v>170</v>
      </c>
      <c r="AF63" s="8" t="s">
        <v>85</v>
      </c>
      <c r="AG63" s="34">
        <v>10</v>
      </c>
      <c r="AH63" s="36"/>
      <c r="AI63" s="36"/>
      <c r="AJ63" s="36"/>
      <c r="AK63" s="36"/>
      <c r="AL63" s="28"/>
    </row>
    <row r="64" spans="2:46" x14ac:dyDescent="0.35">
      <c r="B64" s="13"/>
      <c r="C64" s="11"/>
      <c r="D64" s="13"/>
      <c r="E64" s="12"/>
      <c r="H64" s="13" t="s">
        <v>105</v>
      </c>
      <c r="I64" s="8" t="s">
        <v>57</v>
      </c>
      <c r="J64" s="114">
        <f t="shared" si="2"/>
        <v>44269</v>
      </c>
      <c r="K64" s="114">
        <f t="shared" si="3"/>
        <v>44272</v>
      </c>
      <c r="L64" s="13" t="str">
        <f>B48</f>
        <v>ST005</v>
      </c>
      <c r="M64" s="15">
        <v>3</v>
      </c>
      <c r="Q64" s="13" t="str">
        <f>H69</f>
        <v>WA005</v>
      </c>
      <c r="R64" s="13"/>
      <c r="S64" s="13"/>
      <c r="T64" s="13"/>
      <c r="U64" s="13">
        <v>21</v>
      </c>
      <c r="V64" s="13" t="s">
        <v>130</v>
      </c>
      <c r="W64" s="8" t="s">
        <v>62</v>
      </c>
      <c r="X64" s="5" t="s">
        <v>3</v>
      </c>
      <c r="Y64" s="5">
        <v>500</v>
      </c>
      <c r="Z64" s="58">
        <f>'ahs (cost_id vs resource_id)'!I117</f>
        <v>47186.15</v>
      </c>
      <c r="AA64" s="58">
        <f>Y64*Z64</f>
        <v>23593075</v>
      </c>
      <c r="AB64" s="59" t="s">
        <v>149</v>
      </c>
      <c r="AC64" s="5">
        <v>5</v>
      </c>
      <c r="AE64" s="27" t="s">
        <v>171</v>
      </c>
      <c r="AF64" s="8" t="s">
        <v>85</v>
      </c>
      <c r="AG64" s="34">
        <v>4</v>
      </c>
      <c r="AH64" s="36"/>
      <c r="AI64" s="36"/>
      <c r="AJ64" s="36"/>
      <c r="AK64" s="36"/>
      <c r="AL64" s="28"/>
    </row>
    <row r="65" spans="2:38" x14ac:dyDescent="0.35">
      <c r="B65" s="13"/>
      <c r="C65" s="11"/>
      <c r="D65" s="13"/>
      <c r="E65" s="12"/>
      <c r="H65" s="13" t="s">
        <v>106</v>
      </c>
      <c r="I65" s="8" t="s">
        <v>58</v>
      </c>
      <c r="J65" s="114">
        <f t="shared" si="2"/>
        <v>44273</v>
      </c>
      <c r="K65" s="114">
        <f t="shared" si="3"/>
        <v>44278</v>
      </c>
      <c r="L65" s="13" t="str">
        <f>B48</f>
        <v>ST005</v>
      </c>
      <c r="M65" s="15">
        <v>5</v>
      </c>
      <c r="Q65" s="13" t="str">
        <f>H70</f>
        <v>WA006</v>
      </c>
      <c r="R65" s="13"/>
      <c r="S65" s="13"/>
      <c r="T65" s="13"/>
      <c r="U65" s="13">
        <v>22</v>
      </c>
      <c r="V65" s="13" t="s">
        <v>131</v>
      </c>
      <c r="W65" s="8" t="s">
        <v>64</v>
      </c>
      <c r="X65" s="5" t="s">
        <v>82</v>
      </c>
      <c r="Y65" s="5">
        <v>1</v>
      </c>
      <c r="Z65" s="58">
        <f>'ahs (cost_id vs resource_id)'!I124</f>
        <v>16500000</v>
      </c>
      <c r="AA65" s="58">
        <f>Y65*Z65</f>
        <v>16500000</v>
      </c>
      <c r="AB65" s="59" t="s">
        <v>152</v>
      </c>
      <c r="AC65" s="5">
        <v>5</v>
      </c>
      <c r="AE65" s="27" t="s">
        <v>172</v>
      </c>
      <c r="AF65" s="8" t="s">
        <v>85</v>
      </c>
      <c r="AG65" s="34">
        <v>4</v>
      </c>
      <c r="AH65" s="36"/>
      <c r="AI65" s="36"/>
      <c r="AJ65" s="36"/>
      <c r="AK65" s="36"/>
      <c r="AL65" s="28"/>
    </row>
    <row r="66" spans="2:38" x14ac:dyDescent="0.35">
      <c r="B66" s="13"/>
      <c r="C66" s="11"/>
      <c r="D66" s="13"/>
      <c r="E66" s="12"/>
      <c r="H66" s="13" t="s">
        <v>107</v>
      </c>
      <c r="I66" s="8" t="s">
        <v>26</v>
      </c>
      <c r="J66" s="114">
        <f t="shared" si="2"/>
        <v>44279</v>
      </c>
      <c r="K66" s="114">
        <f t="shared" si="3"/>
        <v>44284</v>
      </c>
      <c r="L66" s="13" t="str">
        <f>B55</f>
        <v>ME001</v>
      </c>
      <c r="M66" s="15">
        <v>5</v>
      </c>
      <c r="Q66" s="13" t="str">
        <f>H68</f>
        <v>WA004</v>
      </c>
      <c r="R66" s="13"/>
      <c r="S66" s="13"/>
      <c r="T66" s="13"/>
      <c r="U66" s="13">
        <v>23</v>
      </c>
      <c r="V66" s="13" t="s">
        <v>135</v>
      </c>
      <c r="W66" s="8" t="str">
        <f>I68</f>
        <v>Tile installation</v>
      </c>
      <c r="X66" s="5" t="s">
        <v>3</v>
      </c>
      <c r="Y66" s="5">
        <v>200</v>
      </c>
      <c r="Z66" s="58">
        <f>'ahs (cost_id vs resource_id)'!I127</f>
        <v>309587.40999999997</v>
      </c>
      <c r="AA66" s="58">
        <f>Y66*Z66</f>
        <v>61917481.999999993</v>
      </c>
      <c r="AB66" s="59" t="s">
        <v>153</v>
      </c>
      <c r="AC66" s="5">
        <v>5</v>
      </c>
      <c r="AE66" s="27" t="s">
        <v>173</v>
      </c>
      <c r="AF66" s="8" t="s">
        <v>0</v>
      </c>
      <c r="AG66" s="34">
        <f>AG62</f>
        <v>0.33333333333333331</v>
      </c>
      <c r="AH66" s="36"/>
      <c r="AI66" s="36"/>
      <c r="AJ66" s="36"/>
      <c r="AK66" s="36"/>
      <c r="AL66" s="28"/>
    </row>
    <row r="67" spans="2:38" x14ac:dyDescent="0.35">
      <c r="B67" s="13"/>
      <c r="C67" s="11"/>
      <c r="D67" s="13"/>
      <c r="E67" s="12"/>
      <c r="H67" s="13" t="s">
        <v>108</v>
      </c>
      <c r="I67" s="8" t="s">
        <v>61</v>
      </c>
      <c r="J67" s="114">
        <f t="shared" si="2"/>
        <v>44285</v>
      </c>
      <c r="K67" s="114">
        <f t="shared" si="3"/>
        <v>44290</v>
      </c>
      <c r="L67" s="13" t="str">
        <f>B52</f>
        <v>AR003</v>
      </c>
      <c r="M67" s="15">
        <v>5</v>
      </c>
      <c r="Q67" s="8"/>
      <c r="R67" s="8"/>
      <c r="S67" s="8"/>
      <c r="T67" s="8"/>
      <c r="U67" s="8"/>
      <c r="V67" s="13"/>
      <c r="W67" s="8"/>
      <c r="X67" s="8"/>
      <c r="Y67" s="8"/>
      <c r="Z67" s="108"/>
      <c r="AA67" s="108"/>
      <c r="AB67" s="59"/>
      <c r="AC67" s="8"/>
      <c r="AE67" s="27" t="s">
        <v>79</v>
      </c>
      <c r="AF67" s="8" t="s">
        <v>85</v>
      </c>
      <c r="AG67" s="34">
        <f>Y60</f>
        <v>14.399999999999999</v>
      </c>
      <c r="AH67" s="36"/>
      <c r="AI67" s="36"/>
      <c r="AJ67" s="36"/>
      <c r="AK67" s="36"/>
      <c r="AL67" s="28"/>
    </row>
    <row r="68" spans="2:38" x14ac:dyDescent="0.35">
      <c r="B68" s="13"/>
      <c r="C68" s="11"/>
      <c r="D68" s="13"/>
      <c r="E68" s="12"/>
      <c r="H68" s="13" t="s">
        <v>109</v>
      </c>
      <c r="I68" s="8" t="s">
        <v>63</v>
      </c>
      <c r="J68" s="114">
        <f t="shared" si="2"/>
        <v>44291</v>
      </c>
      <c r="K68" s="114">
        <f t="shared" si="3"/>
        <v>44296</v>
      </c>
      <c r="L68" s="13" t="str">
        <f>B53</f>
        <v>AR004</v>
      </c>
      <c r="M68" s="15">
        <v>5</v>
      </c>
      <c r="Q68" s="8"/>
      <c r="R68" s="8"/>
      <c r="S68" s="8"/>
      <c r="T68" s="8"/>
      <c r="U68" s="8"/>
      <c r="V68" s="13"/>
      <c r="W68" s="8"/>
      <c r="X68" s="8"/>
      <c r="Y68" s="8"/>
      <c r="Z68" s="108"/>
      <c r="AA68" s="108"/>
      <c r="AB68" s="59"/>
      <c r="AC68" s="8"/>
      <c r="AE68" s="27" t="s">
        <v>80</v>
      </c>
      <c r="AF68" s="8" t="s">
        <v>5</v>
      </c>
      <c r="AG68" s="34">
        <f t="shared" ref="AG68" si="6">Y61</f>
        <v>4.1999999999999993</v>
      </c>
      <c r="AH68" s="36"/>
      <c r="AI68" s="36"/>
      <c r="AJ68" s="36"/>
      <c r="AK68" s="36"/>
      <c r="AL68" s="28"/>
    </row>
    <row r="69" spans="2:38" x14ac:dyDescent="0.35">
      <c r="B69" s="13"/>
      <c r="C69" s="11"/>
      <c r="D69" s="13"/>
      <c r="E69" s="12"/>
      <c r="H69" s="13" t="s">
        <v>110</v>
      </c>
      <c r="I69" s="8" t="s">
        <v>62</v>
      </c>
      <c r="J69" s="114">
        <f t="shared" si="2"/>
        <v>44297</v>
      </c>
      <c r="K69" s="114">
        <f t="shared" si="3"/>
        <v>44302</v>
      </c>
      <c r="L69" s="13" t="str">
        <f>B53</f>
        <v>AR004</v>
      </c>
      <c r="M69" s="15">
        <v>5</v>
      </c>
      <c r="Q69" s="13"/>
      <c r="R69" s="13"/>
      <c r="S69" s="13"/>
      <c r="T69" s="13"/>
      <c r="U69" s="13"/>
      <c r="V69" s="13"/>
      <c r="W69" s="8"/>
      <c r="X69" s="5"/>
      <c r="Y69" s="5"/>
      <c r="Z69" s="58"/>
      <c r="AA69" s="58"/>
      <c r="AB69" s="59"/>
      <c r="AC69" s="5"/>
      <c r="AE69" s="27" t="s">
        <v>174</v>
      </c>
      <c r="AF69" s="8" t="s">
        <v>85</v>
      </c>
      <c r="AG69" s="34" t="e">
        <f>#REF!</f>
        <v>#REF!</v>
      </c>
      <c r="AH69" s="36"/>
      <c r="AI69" s="36"/>
      <c r="AJ69" s="36"/>
      <c r="AK69" s="36"/>
      <c r="AL69" s="28"/>
    </row>
    <row r="70" spans="2:38" x14ac:dyDescent="0.35">
      <c r="B70" s="13"/>
      <c r="C70" s="11"/>
      <c r="D70" s="13"/>
      <c r="E70" s="12"/>
      <c r="H70" s="13" t="s">
        <v>111</v>
      </c>
      <c r="I70" s="8" t="s">
        <v>64</v>
      </c>
      <c r="J70" s="114">
        <f t="shared" si="2"/>
        <v>44303</v>
      </c>
      <c r="K70" s="114">
        <f t="shared" si="3"/>
        <v>44306</v>
      </c>
      <c r="L70" s="13" t="str">
        <f>B44</f>
        <v>ST001</v>
      </c>
      <c r="M70" s="15">
        <v>3</v>
      </c>
      <c r="Q70" s="13"/>
      <c r="R70" s="13"/>
      <c r="S70" s="13"/>
      <c r="T70" s="13"/>
      <c r="U70" s="13"/>
      <c r="V70" s="13"/>
      <c r="W70" s="8"/>
      <c r="X70" s="5"/>
      <c r="Y70" s="5"/>
      <c r="Z70" s="58"/>
      <c r="AA70" s="58"/>
      <c r="AB70" s="59"/>
      <c r="AC70" s="5"/>
      <c r="AE70" s="27" t="s">
        <v>78</v>
      </c>
      <c r="AF70" s="8" t="s">
        <v>3</v>
      </c>
      <c r="AG70" s="34" t="e">
        <f>#REF!</f>
        <v>#REF!</v>
      </c>
      <c r="AH70" s="36"/>
      <c r="AI70" s="36"/>
      <c r="AJ70" s="36"/>
      <c r="AK70" s="36"/>
      <c r="AL70" s="28"/>
    </row>
    <row r="71" spans="2:38" x14ac:dyDescent="0.35">
      <c r="B71" s="13"/>
      <c r="C71" s="11"/>
      <c r="D71" s="13"/>
      <c r="E71" s="12"/>
      <c r="H71" s="13"/>
      <c r="I71" s="8"/>
      <c r="J71" s="5"/>
      <c r="K71" s="5"/>
      <c r="L71" s="13"/>
      <c r="M71" s="15"/>
      <c r="Q71" s="13"/>
      <c r="R71" s="13"/>
      <c r="S71" s="13"/>
      <c r="T71" s="13"/>
      <c r="U71" s="13"/>
      <c r="V71" s="13"/>
      <c r="W71" s="8"/>
      <c r="X71" s="5"/>
      <c r="Y71" s="5"/>
      <c r="Z71" s="58"/>
      <c r="AA71" s="58"/>
      <c r="AB71" s="59"/>
      <c r="AC71" s="5"/>
      <c r="AE71" s="27" t="s">
        <v>175</v>
      </c>
      <c r="AF71" s="8" t="s">
        <v>2</v>
      </c>
      <c r="AG71" s="34">
        <f>Y56</f>
        <v>250</v>
      </c>
      <c r="AH71" s="36"/>
      <c r="AI71" s="36"/>
      <c r="AJ71" s="36"/>
      <c r="AK71" s="36"/>
      <c r="AL71" s="28"/>
    </row>
    <row r="72" spans="2:38" x14ac:dyDescent="0.35">
      <c r="B72" s="13"/>
      <c r="C72" s="11"/>
      <c r="D72" s="13"/>
      <c r="E72" s="12"/>
      <c r="H72" s="13"/>
      <c r="I72" s="8"/>
      <c r="J72" s="5"/>
      <c r="K72" s="5"/>
      <c r="L72" s="13"/>
      <c r="M72" s="15"/>
      <c r="Q72" s="13"/>
      <c r="R72" s="13"/>
      <c r="S72" s="13"/>
      <c r="T72" s="13"/>
      <c r="U72" s="13"/>
      <c r="V72" s="13"/>
      <c r="W72" s="8"/>
      <c r="X72" s="5"/>
      <c r="Y72" s="5"/>
      <c r="Z72" s="58"/>
      <c r="AA72" s="58"/>
      <c r="AB72" s="59"/>
      <c r="AC72" s="5"/>
      <c r="AE72" s="27" t="s">
        <v>46</v>
      </c>
      <c r="AF72" s="8" t="s">
        <v>1</v>
      </c>
      <c r="AG72" s="34">
        <f>Y52</f>
        <v>200</v>
      </c>
      <c r="AH72" s="36"/>
      <c r="AI72" s="36"/>
      <c r="AJ72" s="36"/>
      <c r="AK72" s="36"/>
      <c r="AL72" s="28"/>
    </row>
    <row r="73" spans="2:38" x14ac:dyDescent="0.35">
      <c r="B73" s="13"/>
      <c r="C73" s="11"/>
      <c r="D73" s="13"/>
      <c r="E73" s="12"/>
      <c r="H73" s="13"/>
      <c r="I73" s="8"/>
      <c r="J73" s="5"/>
      <c r="K73" s="5"/>
      <c r="L73" s="13"/>
      <c r="M73" s="15"/>
      <c r="Q73" s="13"/>
      <c r="R73" s="13"/>
      <c r="S73" s="13"/>
      <c r="T73" s="13"/>
      <c r="U73" s="13"/>
      <c r="V73" s="13"/>
      <c r="W73" s="8"/>
      <c r="X73" s="5"/>
      <c r="Y73" s="5"/>
      <c r="Z73" s="58"/>
      <c r="AA73" s="58"/>
      <c r="AB73" s="59"/>
      <c r="AC73" s="5"/>
      <c r="AE73" s="27" t="s">
        <v>74</v>
      </c>
      <c r="AF73" s="8" t="s">
        <v>2</v>
      </c>
      <c r="AG73" s="34">
        <f>Y53</f>
        <v>1500</v>
      </c>
      <c r="AH73" s="36"/>
      <c r="AI73" s="36"/>
      <c r="AJ73" s="36"/>
      <c r="AK73" s="36"/>
      <c r="AL73" s="28"/>
    </row>
    <row r="74" spans="2:38" x14ac:dyDescent="0.35">
      <c r="B74" s="13"/>
      <c r="C74" s="11"/>
      <c r="D74" s="13"/>
      <c r="E74" s="12"/>
      <c r="H74" s="13"/>
      <c r="I74" s="8"/>
      <c r="J74" s="5"/>
      <c r="K74" s="5"/>
      <c r="L74" s="13"/>
      <c r="M74" s="15"/>
      <c r="Q74" s="13"/>
      <c r="R74" s="13"/>
      <c r="S74" s="13"/>
      <c r="T74" s="13"/>
      <c r="U74" s="13"/>
      <c r="V74" s="13"/>
      <c r="W74" s="8"/>
      <c r="X74" s="5"/>
      <c r="Y74" s="5"/>
      <c r="Z74" s="58"/>
      <c r="AA74" s="58"/>
      <c r="AB74" s="59"/>
      <c r="AC74" s="5"/>
      <c r="AE74" s="27" t="s">
        <v>75</v>
      </c>
      <c r="AF74" s="8" t="s">
        <v>2</v>
      </c>
      <c r="AG74" s="34">
        <f>Y54</f>
        <v>300</v>
      </c>
      <c r="AH74" s="36"/>
      <c r="AI74" s="36"/>
      <c r="AJ74" s="36"/>
      <c r="AK74" s="36"/>
      <c r="AL74" s="28"/>
    </row>
    <row r="75" spans="2:38" ht="26" x14ac:dyDescent="0.6">
      <c r="B75" s="13"/>
      <c r="C75" s="4"/>
      <c r="D75" s="13"/>
      <c r="E75" s="12"/>
      <c r="H75" s="13"/>
      <c r="I75" s="8"/>
      <c r="J75" s="5"/>
      <c r="K75" s="5"/>
      <c r="L75" s="13"/>
      <c r="M75" s="15"/>
      <c r="Q75" s="13"/>
      <c r="R75" s="13"/>
      <c r="S75" s="13"/>
      <c r="T75" s="13"/>
      <c r="U75" s="13"/>
      <c r="V75" s="13"/>
      <c r="W75" s="8"/>
      <c r="X75" s="5"/>
      <c r="Y75" s="5"/>
      <c r="Z75" s="58"/>
      <c r="AA75" s="60">
        <f>SUM(AA44:AA66)</f>
        <v>1562575157.9899998</v>
      </c>
      <c r="AB75" s="59"/>
      <c r="AC75" s="5"/>
      <c r="AE75" s="27" t="s">
        <v>76</v>
      </c>
      <c r="AF75" s="8" t="s">
        <v>2</v>
      </c>
      <c r="AG75" s="34">
        <f>Y55</f>
        <v>200</v>
      </c>
      <c r="AH75" s="36"/>
      <c r="AI75" s="36"/>
      <c r="AJ75" s="36"/>
      <c r="AK75" s="36"/>
      <c r="AL75" s="28"/>
    </row>
    <row r="76" spans="2:38" x14ac:dyDescent="0.35">
      <c r="B76" s="14"/>
      <c r="C76" s="6"/>
      <c r="D76" s="14"/>
      <c r="E76" s="12"/>
      <c r="H76" s="14"/>
      <c r="I76" s="9"/>
      <c r="J76" s="7"/>
      <c r="K76" s="7"/>
      <c r="L76" s="14"/>
      <c r="M76" s="16"/>
      <c r="Q76" s="14"/>
      <c r="R76" s="14"/>
      <c r="S76" s="14"/>
      <c r="T76" s="14"/>
      <c r="U76" s="14"/>
      <c r="V76" s="14"/>
      <c r="W76" s="9"/>
      <c r="X76" s="7"/>
      <c r="Y76" s="7"/>
      <c r="Z76" s="61"/>
      <c r="AA76" s="61"/>
      <c r="AB76" s="62"/>
      <c r="AC76" s="7"/>
      <c r="AE76" s="27" t="s">
        <v>77</v>
      </c>
      <c r="AF76" s="8" t="s">
        <v>2</v>
      </c>
      <c r="AG76" s="34">
        <f>Y56</f>
        <v>250</v>
      </c>
      <c r="AH76" s="36"/>
      <c r="AI76" s="36"/>
      <c r="AJ76" s="36"/>
      <c r="AK76" s="36"/>
      <c r="AL76" s="28"/>
    </row>
    <row r="77" spans="2:38" ht="29.5" customHeight="1" x14ac:dyDescent="0.35">
      <c r="AE77" s="30" t="s">
        <v>185</v>
      </c>
      <c r="AF77" s="8"/>
      <c r="AG77" s="34"/>
      <c r="AH77" s="8"/>
      <c r="AI77" s="8"/>
      <c r="AJ77" s="8"/>
      <c r="AK77" s="8"/>
      <c r="AL77" s="31"/>
    </row>
    <row r="78" spans="2:38" x14ac:dyDescent="0.35">
      <c r="AE78" s="32" t="s">
        <v>70</v>
      </c>
      <c r="AF78" s="9" t="s">
        <v>81</v>
      </c>
      <c r="AG78" s="35">
        <v>1</v>
      </c>
      <c r="AH78" s="37"/>
      <c r="AI78" s="37"/>
      <c r="AJ78" s="37"/>
      <c r="AK78" s="38">
        <f>Z44+Z45+Z46+Z47</f>
        <v>2915156.75</v>
      </c>
      <c r="AL78" s="33"/>
    </row>
    <row r="79" spans="2:38" ht="26" x14ac:dyDescent="0.6">
      <c r="AL79" s="40">
        <f>AA75</f>
        <v>1562575157.9899998</v>
      </c>
    </row>
  </sheetData>
  <mergeCells count="3">
    <mergeCell ref="Q43:T43"/>
    <mergeCell ref="M2:N2"/>
    <mergeCell ref="V2:X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34"/>
  <sheetViews>
    <sheetView showGridLines="0" tabSelected="1" zoomScale="85" zoomScaleNormal="85" workbookViewId="0">
      <selection activeCell="M16" sqref="M16"/>
    </sheetView>
  </sheetViews>
  <sheetFormatPr defaultRowHeight="14.5" x14ac:dyDescent="0.35"/>
  <cols>
    <col min="1" max="1" width="2.26953125" customWidth="1"/>
    <col min="2" max="2" width="4.54296875" style="10" hidden="1" customWidth="1"/>
    <col min="3" max="3" width="12" style="10" customWidth="1"/>
    <col min="4" max="4" width="12" style="131" customWidth="1"/>
    <col min="5" max="5" width="17.26953125" customWidth="1"/>
    <col min="6" max="6" width="8.7265625" style="82" customWidth="1"/>
    <col min="7" max="7" width="8.7265625" style="18"/>
    <col min="8" max="8" width="13.453125" style="2" hidden="1" customWidth="1"/>
    <col min="9" max="9" width="14.6328125" style="2" hidden="1" customWidth="1"/>
    <col min="10" max="10" width="2.08984375" hidden="1" customWidth="1"/>
    <col min="11" max="11" width="0" hidden="1" customWidth="1"/>
    <col min="12" max="12" width="11.90625" style="4" hidden="1" customWidth="1"/>
    <col min="13" max="13" width="17.453125" style="4" bestFit="1" customWidth="1"/>
    <col min="14" max="14" width="8.7265625" style="4"/>
    <col min="15" max="15" width="10" style="4" bestFit="1" customWidth="1"/>
    <col min="16" max="30" width="8.7265625" style="4"/>
  </cols>
  <sheetData>
    <row r="1" spans="2:30" ht="7.5" customHeight="1" x14ac:dyDescent="0.35"/>
    <row r="2" spans="2:30" s="83" customFormat="1" ht="31.5" customHeight="1" x14ac:dyDescent="0.35">
      <c r="B2" s="98" t="s">
        <v>203</v>
      </c>
      <c r="C2" s="99" t="s">
        <v>197</v>
      </c>
      <c r="D2" s="99" t="s">
        <v>238</v>
      </c>
      <c r="E2" s="100" t="s">
        <v>198</v>
      </c>
      <c r="F2" s="101" t="s">
        <v>5</v>
      </c>
      <c r="G2" s="101" t="s">
        <v>191</v>
      </c>
      <c r="H2" s="102" t="s">
        <v>9</v>
      </c>
      <c r="I2" s="103" t="s">
        <v>6</v>
      </c>
      <c r="K2" s="130">
        <v>0.1</v>
      </c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</row>
    <row r="3" spans="2:30" x14ac:dyDescent="0.35">
      <c r="B3" s="13">
        <v>1</v>
      </c>
      <c r="C3" s="94" t="str">
        <f>Input!V44</f>
        <v>CP001</v>
      </c>
      <c r="D3" s="105"/>
      <c r="E3" s="73" t="str">
        <f>Input!W44</f>
        <v>Preparation work</v>
      </c>
      <c r="F3" s="78" t="s">
        <v>82</v>
      </c>
      <c r="G3" s="34"/>
      <c r="H3" s="88"/>
      <c r="I3" s="86">
        <f>SUM(I4:I6)</f>
        <v>19681.75</v>
      </c>
      <c r="M3" s="138"/>
      <c r="O3" s="139"/>
    </row>
    <row r="4" spans="2:30" x14ac:dyDescent="0.35">
      <c r="B4" s="13"/>
      <c r="C4" s="94"/>
      <c r="D4" s="134" t="s">
        <v>193</v>
      </c>
      <c r="E4" s="74" t="s">
        <v>211</v>
      </c>
      <c r="F4" s="104" t="s">
        <v>204</v>
      </c>
      <c r="G4" s="34">
        <f>0.0145</f>
        <v>1.4500000000000001E-2</v>
      </c>
      <c r="H4" s="90">
        <v>165000</v>
      </c>
      <c r="I4" s="85">
        <f>G4*H4</f>
        <v>2392.5</v>
      </c>
      <c r="K4" s="1" t="s">
        <v>358</v>
      </c>
      <c r="L4" s="138"/>
      <c r="M4" s="138"/>
      <c r="N4" s="138"/>
      <c r="O4" s="139"/>
      <c r="P4" s="138"/>
      <c r="Q4" s="138"/>
    </row>
    <row r="5" spans="2:30" x14ac:dyDescent="0.35">
      <c r="B5" s="13"/>
      <c r="C5" s="95"/>
      <c r="D5" s="134" t="s">
        <v>194</v>
      </c>
      <c r="E5" s="74" t="s">
        <v>10</v>
      </c>
      <c r="F5" s="79" t="s">
        <v>204</v>
      </c>
      <c r="G5" s="34">
        <v>0.1</v>
      </c>
      <c r="H5" s="90">
        <v>155000</v>
      </c>
      <c r="I5" s="85">
        <f t="shared" ref="I5" si="0">G5*H5</f>
        <v>15500</v>
      </c>
      <c r="K5" s="107" t="s">
        <v>359</v>
      </c>
      <c r="L5" s="138"/>
      <c r="M5" s="138"/>
      <c r="N5" s="142"/>
      <c r="O5" s="139"/>
      <c r="P5" s="139"/>
      <c r="Q5" s="138"/>
    </row>
    <row r="6" spans="2:30" x14ac:dyDescent="0.35">
      <c r="B6" s="14"/>
      <c r="C6" s="96"/>
      <c r="D6" s="135" t="s">
        <v>287</v>
      </c>
      <c r="E6" s="9" t="s">
        <v>199</v>
      </c>
      <c r="F6" s="81">
        <v>0</v>
      </c>
      <c r="G6" s="35">
        <v>0</v>
      </c>
      <c r="H6" s="77">
        <f>$K$2</f>
        <v>0.1</v>
      </c>
      <c r="I6" s="112">
        <f>H6*SUM(I4:I5)</f>
        <v>1789.25</v>
      </c>
      <c r="K6" s="107" t="s">
        <v>360</v>
      </c>
      <c r="L6" s="138"/>
      <c r="M6" s="138"/>
      <c r="N6" s="142"/>
      <c r="O6" s="139"/>
      <c r="P6" s="139"/>
      <c r="Q6" s="138"/>
    </row>
    <row r="7" spans="2:30" s="1" customFormat="1" x14ac:dyDescent="0.35">
      <c r="B7" s="91">
        <v>2</v>
      </c>
      <c r="C7" s="97" t="str">
        <f>Input!V45</f>
        <v>CP002</v>
      </c>
      <c r="D7" s="132" t="s">
        <v>362</v>
      </c>
      <c r="E7" s="72" t="str">
        <f>Input!W45</f>
        <v>Site clearing</v>
      </c>
      <c r="F7" s="91" t="str">
        <f>Input!X45</f>
        <v>m2</v>
      </c>
      <c r="G7" s="75"/>
      <c r="H7" s="92"/>
      <c r="I7" s="86">
        <f>SUM(I8:I10)</f>
        <v>13062.5</v>
      </c>
      <c r="K7" s="107" t="s">
        <v>361</v>
      </c>
      <c r="L7" s="138"/>
      <c r="M7" s="138"/>
      <c r="N7" s="142"/>
      <c r="O7" s="139"/>
      <c r="P7" s="139"/>
      <c r="Q7" s="138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</row>
    <row r="8" spans="2:30" s="107" customFormat="1" x14ac:dyDescent="0.35">
      <c r="B8" s="21"/>
      <c r="C8" s="105"/>
      <c r="D8" s="134" t="s">
        <v>193</v>
      </c>
      <c r="E8" s="74" t="s">
        <v>211</v>
      </c>
      <c r="F8" s="104" t="s">
        <v>204</v>
      </c>
      <c r="G8" s="84">
        <v>2.5000000000000001E-2</v>
      </c>
      <c r="H8" s="90">
        <v>165000</v>
      </c>
      <c r="I8" s="85">
        <f t="shared" ref="I8:I9" si="1">G8*H8</f>
        <v>4125</v>
      </c>
      <c r="L8" s="138"/>
      <c r="M8" s="138"/>
      <c r="N8" s="142"/>
      <c r="O8" s="139"/>
      <c r="P8" s="139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</row>
    <row r="9" spans="2:30" x14ac:dyDescent="0.35">
      <c r="B9" s="13"/>
      <c r="C9" s="95"/>
      <c r="D9" s="134" t="s">
        <v>194</v>
      </c>
      <c r="E9" s="74" t="s">
        <v>10</v>
      </c>
      <c r="F9" s="79" t="s">
        <v>204</v>
      </c>
      <c r="G9" s="34">
        <v>0.05</v>
      </c>
      <c r="H9" s="90">
        <v>155000</v>
      </c>
      <c r="I9" s="85">
        <f t="shared" si="1"/>
        <v>7750</v>
      </c>
      <c r="K9" s="107"/>
      <c r="L9" s="138"/>
      <c r="M9" s="138"/>
      <c r="N9" s="142"/>
      <c r="O9" s="139"/>
      <c r="P9" s="138"/>
      <c r="Q9" s="138"/>
    </row>
    <row r="10" spans="2:30" x14ac:dyDescent="0.35">
      <c r="B10" s="14"/>
      <c r="C10" s="96"/>
      <c r="D10" s="135" t="s">
        <v>287</v>
      </c>
      <c r="E10" s="9" t="s">
        <v>199</v>
      </c>
      <c r="F10" s="81">
        <v>0</v>
      </c>
      <c r="G10" s="35">
        <v>0</v>
      </c>
      <c r="H10" s="77">
        <f>$K$2</f>
        <v>0.1</v>
      </c>
      <c r="I10" s="87">
        <f>H10*SUM(I8:I9)</f>
        <v>1187.5</v>
      </c>
      <c r="K10" s="107"/>
      <c r="L10" s="138"/>
      <c r="M10" s="138"/>
      <c r="N10" s="142"/>
      <c r="O10" s="139"/>
      <c r="P10" s="138"/>
      <c r="Q10" s="138"/>
    </row>
    <row r="11" spans="2:30" s="1" customFormat="1" x14ac:dyDescent="0.35">
      <c r="B11" s="91">
        <v>3</v>
      </c>
      <c r="C11" s="97" t="str">
        <f>Input!V46</f>
        <v>CP003</v>
      </c>
      <c r="D11" s="132"/>
      <c r="E11" s="72" t="str">
        <f>Input!W46</f>
        <v>Mob and demob</v>
      </c>
      <c r="F11" s="91" t="str">
        <f>Input!X46</f>
        <v>ls</v>
      </c>
      <c r="G11" s="75"/>
      <c r="H11" s="92"/>
      <c r="I11" s="93">
        <f>SUM(I12:I13)</f>
        <v>2750000</v>
      </c>
      <c r="K11" s="107"/>
      <c r="L11" s="138"/>
      <c r="M11" s="138"/>
      <c r="N11" s="142"/>
      <c r="O11" s="139"/>
      <c r="P11" s="138"/>
      <c r="Q11" s="138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</row>
    <row r="12" spans="2:30" x14ac:dyDescent="0.35">
      <c r="B12" s="13"/>
      <c r="C12" s="95"/>
      <c r="D12" s="133" t="s">
        <v>310</v>
      </c>
      <c r="E12" s="8" t="s">
        <v>41</v>
      </c>
      <c r="F12" s="79" t="s">
        <v>82</v>
      </c>
      <c r="G12" s="34">
        <v>1</v>
      </c>
      <c r="H12" s="88">
        <v>2500000</v>
      </c>
      <c r="I12" s="85">
        <f t="shared" ref="I12" si="2">G12*H12</f>
        <v>2500000</v>
      </c>
      <c r="K12" s="107"/>
      <c r="L12" s="138"/>
      <c r="M12" s="138"/>
      <c r="N12" s="142"/>
      <c r="O12" s="139"/>
      <c r="P12" s="138"/>
      <c r="Q12" s="138"/>
    </row>
    <row r="13" spans="2:30" x14ac:dyDescent="0.35">
      <c r="B13" s="14"/>
      <c r="C13" s="96"/>
      <c r="D13" s="135" t="s">
        <v>287</v>
      </c>
      <c r="E13" s="9" t="s">
        <v>199</v>
      </c>
      <c r="F13" s="81">
        <v>0</v>
      </c>
      <c r="G13" s="35">
        <v>0</v>
      </c>
      <c r="H13" s="77">
        <f>$K$2</f>
        <v>0.1</v>
      </c>
      <c r="I13" s="87">
        <f>H13*SUM(I12)</f>
        <v>250000</v>
      </c>
      <c r="K13" s="107"/>
      <c r="L13" s="138"/>
      <c r="M13" s="138"/>
      <c r="N13" s="142"/>
      <c r="O13" s="139"/>
      <c r="P13" s="138"/>
      <c r="Q13" s="138"/>
    </row>
    <row r="14" spans="2:30" s="1" customFormat="1" x14ac:dyDescent="0.35">
      <c r="B14" s="91">
        <v>4</v>
      </c>
      <c r="C14" s="97" t="str">
        <f>Input!V47</f>
        <v>CP004</v>
      </c>
      <c r="D14" s="132"/>
      <c r="E14" s="72" t="str">
        <f>Input!W47</f>
        <v>Excavation work</v>
      </c>
      <c r="F14" s="91" t="str">
        <f>Input!X47</f>
        <v>m3</v>
      </c>
      <c r="G14" s="75"/>
      <c r="H14" s="92"/>
      <c r="I14" s="86">
        <f>SUM(I15:I17)</f>
        <v>132412.5</v>
      </c>
      <c r="K14" s="107"/>
      <c r="L14" s="138"/>
      <c r="M14" s="138"/>
      <c r="N14" s="142"/>
      <c r="O14" s="139"/>
      <c r="P14" s="139"/>
      <c r="Q14" s="138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</row>
    <row r="15" spans="2:30" s="1" customFormat="1" x14ac:dyDescent="0.35">
      <c r="B15" s="80"/>
      <c r="C15" s="94"/>
      <c r="D15" s="134" t="s">
        <v>193</v>
      </c>
      <c r="E15" s="74" t="s">
        <v>211</v>
      </c>
      <c r="F15" s="104" t="s">
        <v>204</v>
      </c>
      <c r="G15" s="84">
        <v>2.5000000000000001E-2</v>
      </c>
      <c r="H15" s="90">
        <v>165000</v>
      </c>
      <c r="I15" s="85">
        <f t="shared" ref="I15:I16" si="3">G15*H15</f>
        <v>4125</v>
      </c>
      <c r="K15" s="107"/>
      <c r="L15" s="138"/>
      <c r="M15" s="138"/>
      <c r="N15" s="142"/>
      <c r="O15" s="139"/>
      <c r="P15" s="139"/>
      <c r="Q15" s="138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</row>
    <row r="16" spans="2:30" x14ac:dyDescent="0.35">
      <c r="B16" s="13"/>
      <c r="C16" s="95"/>
      <c r="D16" s="134" t="s">
        <v>194</v>
      </c>
      <c r="E16" s="8" t="s">
        <v>10</v>
      </c>
      <c r="F16" s="79" t="s">
        <v>204</v>
      </c>
      <c r="G16" s="34">
        <v>0.75</v>
      </c>
      <c r="H16" s="90">
        <v>155000</v>
      </c>
      <c r="I16" s="85">
        <f t="shared" si="3"/>
        <v>116250</v>
      </c>
      <c r="K16" s="107"/>
      <c r="L16" s="138"/>
      <c r="M16" s="138"/>
      <c r="N16" s="142"/>
      <c r="O16" s="139"/>
      <c r="P16" s="139"/>
      <c r="Q16" s="138"/>
    </row>
    <row r="17" spans="2:30" x14ac:dyDescent="0.35">
      <c r="B17" s="14"/>
      <c r="C17" s="96"/>
      <c r="D17" s="135" t="s">
        <v>287</v>
      </c>
      <c r="E17" s="9" t="s">
        <v>199</v>
      </c>
      <c r="F17" s="81">
        <v>0</v>
      </c>
      <c r="G17" s="35">
        <v>0</v>
      </c>
      <c r="H17" s="77">
        <f>$K$2</f>
        <v>0.1</v>
      </c>
      <c r="I17" s="87">
        <f>H17*SUM(I15:I16)</f>
        <v>12037.5</v>
      </c>
      <c r="K17" s="107"/>
      <c r="L17" s="138"/>
      <c r="M17" s="138"/>
      <c r="N17" s="142"/>
      <c r="O17" s="139"/>
      <c r="P17" s="139"/>
      <c r="Q17" s="138"/>
    </row>
    <row r="18" spans="2:30" s="1" customFormat="1" x14ac:dyDescent="0.35">
      <c r="B18" s="91">
        <v>5</v>
      </c>
      <c r="C18" s="97" t="str">
        <f>Input!V48</f>
        <v>CS001</v>
      </c>
      <c r="D18" s="132"/>
      <c r="E18" s="72" t="str">
        <f>Input!W48</f>
        <v>Rebar BJTD 40</v>
      </c>
      <c r="F18" s="91" t="str">
        <f>Input!X48</f>
        <v>kg</v>
      </c>
      <c r="G18" s="75"/>
      <c r="H18" s="92"/>
      <c r="I18" s="93">
        <f>SUM(I19:I24)</f>
        <v>24110.9</v>
      </c>
      <c r="K18" s="107"/>
      <c r="L18" s="138"/>
      <c r="M18" s="138"/>
      <c r="N18" s="138"/>
      <c r="O18" s="138"/>
      <c r="P18" s="138"/>
      <c r="Q18" s="138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</row>
    <row r="19" spans="2:30" x14ac:dyDescent="0.35">
      <c r="B19" s="13"/>
      <c r="C19" s="95"/>
      <c r="D19" s="134" t="s">
        <v>193</v>
      </c>
      <c r="E19" s="74" t="s">
        <v>211</v>
      </c>
      <c r="F19" s="21" t="s">
        <v>204</v>
      </c>
      <c r="G19" s="34">
        <f>0.0077</f>
        <v>7.7000000000000002E-3</v>
      </c>
      <c r="H19" s="90">
        <v>165000</v>
      </c>
      <c r="I19" s="85">
        <f t="shared" ref="I19:I23" si="4">G19*H19</f>
        <v>1270.5</v>
      </c>
    </row>
    <row r="20" spans="2:30" x14ac:dyDescent="0.35">
      <c r="B20" s="13"/>
      <c r="C20" s="95"/>
      <c r="D20" s="134" t="s">
        <v>194</v>
      </c>
      <c r="E20" s="74" t="s">
        <v>10</v>
      </c>
      <c r="F20" s="79" t="s">
        <v>204</v>
      </c>
      <c r="G20" s="34">
        <v>7.0000000000000001E-3</v>
      </c>
      <c r="H20" s="90">
        <v>155000</v>
      </c>
      <c r="I20" s="85">
        <f t="shared" si="4"/>
        <v>1085</v>
      </c>
    </row>
    <row r="21" spans="2:30" x14ac:dyDescent="0.35">
      <c r="B21" s="13"/>
      <c r="C21" s="95"/>
      <c r="D21" s="133" t="s">
        <v>311</v>
      </c>
      <c r="E21" s="8" t="s">
        <v>157</v>
      </c>
      <c r="F21" s="79" t="s">
        <v>81</v>
      </c>
      <c r="G21" s="34">
        <v>1</v>
      </c>
      <c r="H21" s="88">
        <v>5000</v>
      </c>
      <c r="I21" s="85">
        <f t="shared" si="4"/>
        <v>5000</v>
      </c>
    </row>
    <row r="22" spans="2:30" x14ac:dyDescent="0.35">
      <c r="B22" s="13"/>
      <c r="C22" s="95"/>
      <c r="D22" s="105" t="s">
        <v>314</v>
      </c>
      <c r="E22" s="8" t="s">
        <v>209</v>
      </c>
      <c r="F22" s="79" t="s">
        <v>2</v>
      </c>
      <c r="G22" s="34">
        <v>1.4999999999999999E-2</v>
      </c>
      <c r="H22" s="88">
        <v>25900</v>
      </c>
      <c r="I22" s="85">
        <f t="shared" si="4"/>
        <v>388.5</v>
      </c>
    </row>
    <row r="23" spans="2:30" x14ac:dyDescent="0.35">
      <c r="B23" s="13"/>
      <c r="C23" s="95"/>
      <c r="D23" s="105" t="s">
        <v>315</v>
      </c>
      <c r="E23" s="8" t="s">
        <v>210</v>
      </c>
      <c r="F23" s="79" t="s">
        <v>2</v>
      </c>
      <c r="G23" s="34">
        <v>1.05</v>
      </c>
      <c r="H23" s="88">
        <v>13500</v>
      </c>
      <c r="I23" s="85">
        <f t="shared" si="4"/>
        <v>14175</v>
      </c>
    </row>
    <row r="24" spans="2:30" x14ac:dyDescent="0.35">
      <c r="B24" s="14"/>
      <c r="C24" s="96"/>
      <c r="D24" s="135" t="s">
        <v>287</v>
      </c>
      <c r="E24" s="9" t="s">
        <v>199</v>
      </c>
      <c r="F24" s="81">
        <v>0</v>
      </c>
      <c r="G24" s="35">
        <v>0</v>
      </c>
      <c r="H24" s="77">
        <f>$K$2</f>
        <v>0.1</v>
      </c>
      <c r="I24" s="87">
        <f>H24*SUM(I19:I23)</f>
        <v>2191.9</v>
      </c>
    </row>
    <row r="25" spans="2:30" s="1" customFormat="1" x14ac:dyDescent="0.35">
      <c r="B25" s="91">
        <v>6</v>
      </c>
      <c r="C25" s="97" t="str">
        <f>Input!V49</f>
        <v>CS002</v>
      </c>
      <c r="D25" s="132"/>
      <c r="E25" s="72" t="str">
        <f>Input!W49</f>
        <v>Concrete K300</v>
      </c>
      <c r="F25" s="91" t="str">
        <f>Input!X49</f>
        <v>m3</v>
      </c>
      <c r="G25" s="75"/>
      <c r="H25" s="92"/>
      <c r="I25" s="93">
        <f>SUM(I26:I33)</f>
        <v>659235.76399999997</v>
      </c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</row>
    <row r="26" spans="2:30" s="1" customFormat="1" x14ac:dyDescent="0.35">
      <c r="B26" s="80"/>
      <c r="C26" s="94"/>
      <c r="D26" s="134" t="s">
        <v>193</v>
      </c>
      <c r="E26" s="74" t="s">
        <v>211</v>
      </c>
      <c r="F26" s="21" t="s">
        <v>204</v>
      </c>
      <c r="G26" s="84">
        <f>0.028+0.275</f>
        <v>0.30300000000000005</v>
      </c>
      <c r="H26" s="90">
        <v>165000</v>
      </c>
      <c r="I26" s="85">
        <f>G26*H26</f>
        <v>49995.000000000007</v>
      </c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</row>
    <row r="27" spans="2:30" x14ac:dyDescent="0.35">
      <c r="B27" s="13"/>
      <c r="C27" s="95"/>
      <c r="D27" s="134" t="s">
        <v>194</v>
      </c>
      <c r="E27" s="74" t="s">
        <v>10</v>
      </c>
      <c r="F27" s="79" t="s">
        <v>204</v>
      </c>
      <c r="G27" s="84">
        <v>1.65</v>
      </c>
      <c r="H27" s="90">
        <v>155000</v>
      </c>
      <c r="I27" s="85">
        <f t="shared" ref="I27:I32" si="5">G27*H27</f>
        <v>255750</v>
      </c>
    </row>
    <row r="28" spans="2:30" x14ac:dyDescent="0.35">
      <c r="B28" s="13"/>
      <c r="C28" s="95"/>
      <c r="D28" s="105" t="s">
        <v>316</v>
      </c>
      <c r="E28" s="74" t="s">
        <v>158</v>
      </c>
      <c r="F28" s="79" t="s">
        <v>208</v>
      </c>
      <c r="G28" s="34">
        <v>7.6E-3</v>
      </c>
      <c r="H28" s="88">
        <v>149400</v>
      </c>
      <c r="I28" s="85">
        <f t="shared" si="5"/>
        <v>1135.44</v>
      </c>
    </row>
    <row r="29" spans="2:30" x14ac:dyDescent="0.35">
      <c r="B29" s="13"/>
      <c r="C29" s="95"/>
      <c r="D29" s="105" t="s">
        <v>317</v>
      </c>
      <c r="E29" s="74" t="s">
        <v>160</v>
      </c>
      <c r="F29" s="79" t="s">
        <v>205</v>
      </c>
      <c r="G29" s="34">
        <v>0.65</v>
      </c>
      <c r="H29" s="88">
        <v>71900</v>
      </c>
      <c r="I29" s="85">
        <f t="shared" si="5"/>
        <v>46735</v>
      </c>
    </row>
    <row r="30" spans="2:30" x14ac:dyDescent="0.35">
      <c r="B30" s="13"/>
      <c r="C30" s="95"/>
      <c r="D30" s="105" t="s">
        <v>318</v>
      </c>
      <c r="E30" s="74" t="s">
        <v>161</v>
      </c>
      <c r="F30" s="79" t="s">
        <v>1</v>
      </c>
      <c r="G30" s="34">
        <v>0.42599999999999999</v>
      </c>
      <c r="H30" s="88">
        <v>265300</v>
      </c>
      <c r="I30" s="85">
        <f t="shared" si="5"/>
        <v>113017.8</v>
      </c>
    </row>
    <row r="31" spans="2:30" x14ac:dyDescent="0.35">
      <c r="B31" s="13"/>
      <c r="C31" s="95"/>
      <c r="D31" s="105" t="s">
        <v>319</v>
      </c>
      <c r="E31" s="74" t="s">
        <v>164</v>
      </c>
      <c r="F31" s="79" t="s">
        <v>1</v>
      </c>
      <c r="G31" s="34">
        <v>0.54</v>
      </c>
      <c r="H31" s="88">
        <v>243300</v>
      </c>
      <c r="I31" s="85">
        <f t="shared" si="5"/>
        <v>131382</v>
      </c>
    </row>
    <row r="32" spans="2:30" x14ac:dyDescent="0.35">
      <c r="B32" s="13"/>
      <c r="C32" s="95"/>
      <c r="D32" s="105" t="s">
        <v>320</v>
      </c>
      <c r="E32" s="74" t="s">
        <v>206</v>
      </c>
      <c r="F32" s="79" t="s">
        <v>207</v>
      </c>
      <c r="G32" s="34">
        <v>215</v>
      </c>
      <c r="H32" s="88">
        <v>6</v>
      </c>
      <c r="I32" s="85">
        <f t="shared" si="5"/>
        <v>1290</v>
      </c>
    </row>
    <row r="33" spans="2:30" x14ac:dyDescent="0.35">
      <c r="B33" s="14"/>
      <c r="C33" s="96"/>
      <c r="D33" s="135" t="s">
        <v>287</v>
      </c>
      <c r="E33" s="9" t="s">
        <v>199</v>
      </c>
      <c r="F33" s="81">
        <v>0</v>
      </c>
      <c r="G33" s="35">
        <v>0</v>
      </c>
      <c r="H33" s="77">
        <f>$K$2</f>
        <v>0.1</v>
      </c>
      <c r="I33" s="87">
        <f>H33*SUM(I26:I32)</f>
        <v>59930.524000000005</v>
      </c>
    </row>
    <row r="34" spans="2:30" s="1" customFormat="1" x14ac:dyDescent="0.35">
      <c r="B34" s="91">
        <v>7</v>
      </c>
      <c r="C34" s="97" t="str">
        <f>Input!V50</f>
        <v>CS003</v>
      </c>
      <c r="D34" s="132"/>
      <c r="E34" s="72" t="str">
        <f>Input!W50</f>
        <v>Brick formwork</v>
      </c>
      <c r="F34" s="91" t="str">
        <f>Input!X50</f>
        <v>m2</v>
      </c>
      <c r="G34" s="75"/>
      <c r="H34" s="92"/>
      <c r="I34" s="93">
        <f>SUM(I35:I40)</f>
        <v>171773.25</v>
      </c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</row>
    <row r="35" spans="2:30" s="107" customFormat="1" x14ac:dyDescent="0.35">
      <c r="B35" s="21"/>
      <c r="C35" s="105"/>
      <c r="D35" s="134" t="s">
        <v>193</v>
      </c>
      <c r="E35" s="74" t="s">
        <v>211</v>
      </c>
      <c r="F35" s="21" t="s">
        <v>204</v>
      </c>
      <c r="G35" s="84">
        <v>0.11</v>
      </c>
      <c r="H35" s="90">
        <v>165000</v>
      </c>
      <c r="I35" s="106">
        <f>G35*H35</f>
        <v>18150</v>
      </c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</row>
    <row r="36" spans="2:30" x14ac:dyDescent="0.35">
      <c r="B36" s="13"/>
      <c r="C36" s="95"/>
      <c r="D36" s="134" t="s">
        <v>194</v>
      </c>
      <c r="E36" s="8" t="s">
        <v>10</v>
      </c>
      <c r="F36" s="79" t="s">
        <v>204</v>
      </c>
      <c r="G36" s="34">
        <v>0.2</v>
      </c>
      <c r="H36" s="90">
        <v>155000</v>
      </c>
      <c r="I36" s="106">
        <f t="shared" ref="I36:I39" si="6">G36*H36</f>
        <v>31000</v>
      </c>
    </row>
    <row r="37" spans="2:30" x14ac:dyDescent="0.35">
      <c r="B37" s="13"/>
      <c r="C37" s="95"/>
      <c r="D37" s="105" t="s">
        <v>321</v>
      </c>
      <c r="E37" s="8" t="s">
        <v>356</v>
      </c>
      <c r="F37" s="79" t="s">
        <v>85</v>
      </c>
      <c r="G37" s="34">
        <v>12.5</v>
      </c>
      <c r="H37" s="88">
        <v>3220</v>
      </c>
      <c r="I37" s="106">
        <f t="shared" si="6"/>
        <v>40250</v>
      </c>
    </row>
    <row r="38" spans="2:30" x14ac:dyDescent="0.35">
      <c r="B38" s="13"/>
      <c r="C38" s="95"/>
      <c r="D38" s="105" t="s">
        <v>317</v>
      </c>
      <c r="E38" s="8" t="s">
        <v>160</v>
      </c>
      <c r="F38" s="79" t="s">
        <v>205</v>
      </c>
      <c r="G38" s="34">
        <f>15/40</f>
        <v>0.375</v>
      </c>
      <c r="H38" s="88">
        <f>H29</f>
        <v>71900</v>
      </c>
      <c r="I38" s="106">
        <f t="shared" si="6"/>
        <v>26962.5</v>
      </c>
    </row>
    <row r="39" spans="2:30" x14ac:dyDescent="0.35">
      <c r="B39" s="13"/>
      <c r="C39" s="95"/>
      <c r="D39" s="105" t="s">
        <v>318</v>
      </c>
      <c r="E39" s="8" t="s">
        <v>161</v>
      </c>
      <c r="F39" s="79" t="s">
        <v>1</v>
      </c>
      <c r="G39" s="34">
        <v>0.15</v>
      </c>
      <c r="H39" s="88">
        <f>H30</f>
        <v>265300</v>
      </c>
      <c r="I39" s="106">
        <f t="shared" si="6"/>
        <v>39795</v>
      </c>
    </row>
    <row r="40" spans="2:30" x14ac:dyDescent="0.35">
      <c r="B40" s="14"/>
      <c r="C40" s="96"/>
      <c r="D40" s="135" t="s">
        <v>287</v>
      </c>
      <c r="E40" s="9" t="s">
        <v>199</v>
      </c>
      <c r="F40" s="81">
        <v>0</v>
      </c>
      <c r="G40" s="35">
        <v>0</v>
      </c>
      <c r="H40" s="77">
        <f>$K$2</f>
        <v>0.1</v>
      </c>
      <c r="I40" s="87">
        <f>H40*SUM(I35:I39)</f>
        <v>15615.75</v>
      </c>
    </row>
    <row r="41" spans="2:30" s="1" customFormat="1" x14ac:dyDescent="0.35">
      <c r="B41" s="91">
        <v>8</v>
      </c>
      <c r="C41" s="97" t="str">
        <f>Input!V51</f>
        <v>CS004</v>
      </c>
      <c r="D41" s="132"/>
      <c r="E41" s="72" t="str">
        <f>Input!W51</f>
        <v>Wood formwork</v>
      </c>
      <c r="F41" s="91" t="str">
        <f>Input!X51</f>
        <v>m2</v>
      </c>
      <c r="G41" s="75"/>
      <c r="H41" s="92"/>
      <c r="I41" s="93">
        <f>SUM(I42:I47)</f>
        <v>384741.5</v>
      </c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</row>
    <row r="42" spans="2:30" s="107" customFormat="1" x14ac:dyDescent="0.35">
      <c r="B42" s="21"/>
      <c r="C42" s="105"/>
      <c r="D42" s="134" t="s">
        <v>193</v>
      </c>
      <c r="E42" s="74" t="s">
        <v>211</v>
      </c>
      <c r="F42" s="21" t="s">
        <v>204</v>
      </c>
      <c r="G42" s="84">
        <f>0.033+0.33</f>
        <v>0.36299999999999999</v>
      </c>
      <c r="H42" s="90">
        <v>165000</v>
      </c>
      <c r="I42" s="106">
        <f t="shared" ref="I42:I46" si="7">G42*H42</f>
        <v>59895</v>
      </c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</row>
    <row r="43" spans="2:30" x14ac:dyDescent="0.35">
      <c r="B43" s="13"/>
      <c r="C43" s="95"/>
      <c r="D43" s="134" t="s">
        <v>194</v>
      </c>
      <c r="E43" s="8" t="s">
        <v>10</v>
      </c>
      <c r="F43" s="21" t="s">
        <v>204</v>
      </c>
      <c r="G43" s="34">
        <v>0.66</v>
      </c>
      <c r="H43" s="90">
        <v>155000</v>
      </c>
      <c r="I43" s="106">
        <f t="shared" si="7"/>
        <v>102300</v>
      </c>
    </row>
    <row r="44" spans="2:30" x14ac:dyDescent="0.35">
      <c r="B44" s="13"/>
      <c r="C44" s="95"/>
      <c r="D44" s="105" t="s">
        <v>322</v>
      </c>
      <c r="E44" s="8" t="s">
        <v>200</v>
      </c>
      <c r="F44" s="79" t="s">
        <v>212</v>
      </c>
      <c r="G44" s="34">
        <v>0.35</v>
      </c>
      <c r="H44" s="88">
        <v>105000</v>
      </c>
      <c r="I44" s="106">
        <f t="shared" si="7"/>
        <v>36750</v>
      </c>
    </row>
    <row r="45" spans="2:30" x14ac:dyDescent="0.35">
      <c r="B45" s="13"/>
      <c r="C45" s="95"/>
      <c r="D45" s="105" t="s">
        <v>323</v>
      </c>
      <c r="E45" s="8" t="s">
        <v>213</v>
      </c>
      <c r="F45" s="79" t="s">
        <v>2</v>
      </c>
      <c r="G45" s="34">
        <v>0.4</v>
      </c>
      <c r="H45" s="88">
        <v>14800</v>
      </c>
      <c r="I45" s="106">
        <f t="shared" si="7"/>
        <v>5920</v>
      </c>
    </row>
    <row r="46" spans="2:30" x14ac:dyDescent="0.35">
      <c r="B46" s="13"/>
      <c r="C46" s="95"/>
      <c r="D46" s="105" t="s">
        <v>324</v>
      </c>
      <c r="E46" s="8" t="s">
        <v>214</v>
      </c>
      <c r="F46" s="79" t="s">
        <v>1</v>
      </c>
      <c r="G46" s="34">
        <v>0.04</v>
      </c>
      <c r="H46" s="88">
        <v>3622500</v>
      </c>
      <c r="I46" s="106">
        <f t="shared" si="7"/>
        <v>144900</v>
      </c>
    </row>
    <row r="47" spans="2:30" x14ac:dyDescent="0.35">
      <c r="B47" s="14"/>
      <c r="C47" s="96"/>
      <c r="D47" s="135" t="s">
        <v>287</v>
      </c>
      <c r="E47" s="9" t="s">
        <v>199</v>
      </c>
      <c r="F47" s="81">
        <v>0</v>
      </c>
      <c r="G47" s="35">
        <v>0</v>
      </c>
      <c r="H47" s="77">
        <f>$K$2</f>
        <v>0.1</v>
      </c>
      <c r="I47" s="87">
        <f>H47*SUM(I42:I46)</f>
        <v>34976.5</v>
      </c>
    </row>
    <row r="48" spans="2:30" s="1" customFormat="1" x14ac:dyDescent="0.35">
      <c r="B48" s="91">
        <v>9</v>
      </c>
      <c r="C48" s="97" t="str">
        <f>Input!V52</f>
        <v>CS005</v>
      </c>
      <c r="D48" s="132"/>
      <c r="E48" s="72" t="str">
        <f>Input!W52</f>
        <v>Masonry foundation work</v>
      </c>
      <c r="F48" s="91" t="str">
        <f>Input!X52</f>
        <v>m3</v>
      </c>
      <c r="G48" s="75"/>
      <c r="H48" s="92"/>
      <c r="I48" s="93">
        <f>SUM(I49:I54)</f>
        <v>1374687.8199999998</v>
      </c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</row>
    <row r="49" spans="2:30" x14ac:dyDescent="0.35">
      <c r="B49" s="13"/>
      <c r="C49" s="95"/>
      <c r="D49" s="134" t="s">
        <v>193</v>
      </c>
      <c r="E49" s="74" t="s">
        <v>211</v>
      </c>
      <c r="F49" s="21" t="s">
        <v>204</v>
      </c>
      <c r="G49" s="34">
        <f>0.75+0.075</f>
        <v>0.82499999999999996</v>
      </c>
      <c r="H49" s="90">
        <v>165000</v>
      </c>
      <c r="I49" s="106">
        <f t="shared" ref="I49:I53" si="8">G49*H49</f>
        <v>136125</v>
      </c>
    </row>
    <row r="50" spans="2:30" x14ac:dyDescent="0.35">
      <c r="B50" s="13"/>
      <c r="C50" s="95"/>
      <c r="D50" s="134" t="s">
        <v>194</v>
      </c>
      <c r="E50" s="8" t="s">
        <v>10</v>
      </c>
      <c r="F50" s="21" t="s">
        <v>204</v>
      </c>
      <c r="G50" s="34">
        <v>1.5</v>
      </c>
      <c r="H50" s="90">
        <v>155000</v>
      </c>
      <c r="I50" s="106">
        <f t="shared" si="8"/>
        <v>232500</v>
      </c>
    </row>
    <row r="51" spans="2:30" x14ac:dyDescent="0.35">
      <c r="B51" s="13"/>
      <c r="C51" s="95"/>
      <c r="D51" s="105" t="s">
        <v>325</v>
      </c>
      <c r="E51" s="8" t="s">
        <v>215</v>
      </c>
      <c r="F51" s="13" t="s">
        <v>1</v>
      </c>
      <c r="G51" s="34">
        <v>1.2</v>
      </c>
      <c r="H51" s="88">
        <v>451000</v>
      </c>
      <c r="I51" s="106">
        <f t="shared" si="8"/>
        <v>541200</v>
      </c>
    </row>
    <row r="52" spans="2:30" x14ac:dyDescent="0.35">
      <c r="B52" s="13"/>
      <c r="C52" s="95"/>
      <c r="D52" s="105" t="s">
        <v>317</v>
      </c>
      <c r="E52" s="8" t="s">
        <v>160</v>
      </c>
      <c r="F52" s="13" t="s">
        <v>205</v>
      </c>
      <c r="G52" s="34">
        <v>2.72</v>
      </c>
      <c r="H52" s="88">
        <f>H29</f>
        <v>71900</v>
      </c>
      <c r="I52" s="106">
        <f t="shared" si="8"/>
        <v>195568</v>
      </c>
    </row>
    <row r="53" spans="2:30" x14ac:dyDescent="0.35">
      <c r="B53" s="13"/>
      <c r="C53" s="95"/>
      <c r="D53" s="105" t="s">
        <v>318</v>
      </c>
      <c r="E53" s="8" t="s">
        <v>161</v>
      </c>
      <c r="F53" s="13" t="s">
        <v>1</v>
      </c>
      <c r="G53" s="34">
        <v>0.54400000000000004</v>
      </c>
      <c r="H53" s="88">
        <f>H39</f>
        <v>265300</v>
      </c>
      <c r="I53" s="106">
        <f t="shared" si="8"/>
        <v>144323.20000000001</v>
      </c>
    </row>
    <row r="54" spans="2:30" x14ac:dyDescent="0.35">
      <c r="B54" s="14"/>
      <c r="C54" s="96"/>
      <c r="D54" s="135" t="s">
        <v>287</v>
      </c>
      <c r="E54" s="9" t="s">
        <v>199</v>
      </c>
      <c r="F54" s="81">
        <v>0</v>
      </c>
      <c r="G54" s="35">
        <v>0</v>
      </c>
      <c r="H54" s="77">
        <f>$K$2</f>
        <v>0.1</v>
      </c>
      <c r="I54" s="87">
        <f>H54*SUM(I49:I53)</f>
        <v>124971.62</v>
      </c>
    </row>
    <row r="55" spans="2:30" s="1" customFormat="1" x14ac:dyDescent="0.35">
      <c r="B55" s="91">
        <v>10</v>
      </c>
      <c r="C55" s="97" t="str">
        <f>Input!V53</f>
        <v>CS006</v>
      </c>
      <c r="D55" s="132"/>
      <c r="E55" s="72" t="str">
        <f>Input!W53</f>
        <v>Wide flange steel</v>
      </c>
      <c r="F55" s="91" t="str">
        <f>Input!X53</f>
        <v>kg</v>
      </c>
      <c r="G55" s="75"/>
      <c r="H55" s="92"/>
      <c r="I55" s="93">
        <f>SUM(I56:I59)</f>
        <v>38021.5</v>
      </c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</row>
    <row r="56" spans="2:30" x14ac:dyDescent="0.35">
      <c r="B56" s="13"/>
      <c r="C56" s="95"/>
      <c r="D56" s="134" t="s">
        <v>193</v>
      </c>
      <c r="E56" s="74" t="s">
        <v>211</v>
      </c>
      <c r="F56" s="21" t="s">
        <v>204</v>
      </c>
      <c r="G56" s="34">
        <v>6.6000000000000003E-2</v>
      </c>
      <c r="H56" s="90">
        <v>165000</v>
      </c>
      <c r="I56" s="106">
        <f t="shared" ref="I56:I58" si="9">G56*H56</f>
        <v>10890</v>
      </c>
    </row>
    <row r="57" spans="2:30" x14ac:dyDescent="0.35">
      <c r="B57" s="13"/>
      <c r="C57" s="95"/>
      <c r="D57" s="134" t="s">
        <v>194</v>
      </c>
      <c r="E57" s="8" t="s">
        <v>10</v>
      </c>
      <c r="F57" s="21" t="s">
        <v>204</v>
      </c>
      <c r="G57" s="34">
        <v>0.06</v>
      </c>
      <c r="H57" s="90">
        <v>155000</v>
      </c>
      <c r="I57" s="106">
        <f t="shared" si="9"/>
        <v>9300</v>
      </c>
    </row>
    <row r="58" spans="2:30" x14ac:dyDescent="0.35">
      <c r="B58" s="13"/>
      <c r="C58" s="95"/>
      <c r="D58" s="105" t="s">
        <v>326</v>
      </c>
      <c r="E58" s="8" t="s">
        <v>201</v>
      </c>
      <c r="F58" s="13" t="s">
        <v>2</v>
      </c>
      <c r="G58" s="34">
        <v>1.1499999999999999</v>
      </c>
      <c r="H58" s="88">
        <v>12500</v>
      </c>
      <c r="I58" s="106">
        <f t="shared" si="9"/>
        <v>14374.999999999998</v>
      </c>
    </row>
    <row r="59" spans="2:30" x14ac:dyDescent="0.35">
      <c r="B59" s="14"/>
      <c r="C59" s="96"/>
      <c r="D59" s="135" t="s">
        <v>287</v>
      </c>
      <c r="E59" s="9" t="s">
        <v>199</v>
      </c>
      <c r="F59" s="81">
        <v>0</v>
      </c>
      <c r="G59" s="35">
        <v>0</v>
      </c>
      <c r="H59" s="77">
        <f>$K$2</f>
        <v>0.1</v>
      </c>
      <c r="I59" s="87">
        <f>H59*SUM(I56:I58)</f>
        <v>3456.5</v>
      </c>
    </row>
    <row r="60" spans="2:30" s="1" customFormat="1" x14ac:dyDescent="0.35">
      <c r="B60" s="91">
        <v>11</v>
      </c>
      <c r="C60" s="97" t="str">
        <f>Input!V54</f>
        <v>CS007</v>
      </c>
      <c r="D60" s="132"/>
      <c r="E60" s="72" t="str">
        <f>Input!W54</f>
        <v>Gording</v>
      </c>
      <c r="F60" s="91" t="str">
        <f>Input!X54</f>
        <v>kg</v>
      </c>
      <c r="G60" s="75"/>
      <c r="H60" s="92"/>
      <c r="I60" s="93">
        <f>SUM(I61:I64)</f>
        <v>40007.550000000003</v>
      </c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</row>
    <row r="61" spans="2:30" x14ac:dyDescent="0.35">
      <c r="B61" s="13"/>
      <c r="C61" s="95"/>
      <c r="D61" s="134" t="s">
        <v>193</v>
      </c>
      <c r="E61" s="74" t="s">
        <v>211</v>
      </c>
      <c r="F61" s="21" t="s">
        <v>204</v>
      </c>
      <c r="G61" s="34">
        <v>6.6000000000000003E-2</v>
      </c>
      <c r="H61" s="90">
        <v>165000</v>
      </c>
      <c r="I61" s="106">
        <f t="shared" ref="I61:I63" si="10">G61*H61</f>
        <v>10890</v>
      </c>
    </row>
    <row r="62" spans="2:30" x14ac:dyDescent="0.35">
      <c r="B62" s="13"/>
      <c r="C62" s="95"/>
      <c r="D62" s="134" t="s">
        <v>194</v>
      </c>
      <c r="E62" s="8" t="s">
        <v>10</v>
      </c>
      <c r="F62" s="21" t="s">
        <v>204</v>
      </c>
      <c r="G62" s="34">
        <v>0.06</v>
      </c>
      <c r="H62" s="90">
        <v>155000</v>
      </c>
      <c r="I62" s="106">
        <f t="shared" si="10"/>
        <v>9300</v>
      </c>
    </row>
    <row r="63" spans="2:30" x14ac:dyDescent="0.35">
      <c r="B63" s="13"/>
      <c r="C63" s="95"/>
      <c r="D63" s="105" t="s">
        <v>327</v>
      </c>
      <c r="E63" s="8" t="s">
        <v>216</v>
      </c>
      <c r="F63" s="13" t="s">
        <v>2</v>
      </c>
      <c r="G63" s="34">
        <v>1.1499999999999999</v>
      </c>
      <c r="H63" s="88">
        <v>14070</v>
      </c>
      <c r="I63" s="106">
        <f t="shared" si="10"/>
        <v>16180.499999999998</v>
      </c>
    </row>
    <row r="64" spans="2:30" x14ac:dyDescent="0.35">
      <c r="B64" s="14"/>
      <c r="C64" s="96"/>
      <c r="D64" s="135" t="s">
        <v>287</v>
      </c>
      <c r="E64" s="9" t="s">
        <v>199</v>
      </c>
      <c r="F64" s="81">
        <v>0</v>
      </c>
      <c r="G64" s="35">
        <v>0</v>
      </c>
      <c r="H64" s="77">
        <f>$K$2</f>
        <v>0.1</v>
      </c>
      <c r="I64" s="87">
        <f>H64*SUM(I61:I63)</f>
        <v>3637.05</v>
      </c>
    </row>
    <row r="65" spans="2:30" s="1" customFormat="1" x14ac:dyDescent="0.35">
      <c r="B65" s="91">
        <v>12</v>
      </c>
      <c r="C65" s="97" t="str">
        <f>Input!V55</f>
        <v>CS008</v>
      </c>
      <c r="D65" s="132"/>
      <c r="E65" s="72" t="str">
        <f>Input!W55</f>
        <v>Stiffener, HTB, &amp; conection plate</v>
      </c>
      <c r="F65" s="91" t="str">
        <f>Input!X55</f>
        <v>kg</v>
      </c>
      <c r="G65" s="75"/>
      <c r="H65" s="92"/>
      <c r="I65" s="93">
        <f>SUM(I66:I69)</f>
        <v>19058.82</v>
      </c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</row>
    <row r="66" spans="2:30" x14ac:dyDescent="0.35">
      <c r="B66" s="13"/>
      <c r="C66" s="95"/>
      <c r="D66" s="134" t="s">
        <v>193</v>
      </c>
      <c r="E66" s="74" t="s">
        <v>211</v>
      </c>
      <c r="F66" s="21" t="s">
        <v>204</v>
      </c>
      <c r="G66" s="34">
        <v>4.4000000000000003E-3</v>
      </c>
      <c r="H66" s="90">
        <v>165000</v>
      </c>
      <c r="I66" s="106">
        <f t="shared" ref="I66:I68" si="11">G66*H66</f>
        <v>726</v>
      </c>
    </row>
    <row r="67" spans="2:30" x14ac:dyDescent="0.35">
      <c r="B67" s="13"/>
      <c r="C67" s="95"/>
      <c r="D67" s="134" t="s">
        <v>194</v>
      </c>
      <c r="E67" s="8" t="s">
        <v>10</v>
      </c>
      <c r="F67" s="21" t="s">
        <v>204</v>
      </c>
      <c r="G67" s="34">
        <v>8.8999999999999999E-3</v>
      </c>
      <c r="H67" s="90">
        <v>155000</v>
      </c>
      <c r="I67" s="106">
        <f t="shared" si="11"/>
        <v>1379.5</v>
      </c>
    </row>
    <row r="68" spans="2:30" x14ac:dyDescent="0.35">
      <c r="B68" s="13"/>
      <c r="C68" s="95"/>
      <c r="D68" s="105" t="s">
        <v>328</v>
      </c>
      <c r="E68" s="8" t="s">
        <v>217</v>
      </c>
      <c r="F68" s="13" t="s">
        <v>2</v>
      </c>
      <c r="G68" s="34">
        <v>1.1000000000000001</v>
      </c>
      <c r="H68" s="88">
        <v>13837</v>
      </c>
      <c r="I68" s="106">
        <f t="shared" si="11"/>
        <v>15220.7</v>
      </c>
    </row>
    <row r="69" spans="2:30" x14ac:dyDescent="0.35">
      <c r="B69" s="14"/>
      <c r="C69" s="96"/>
      <c r="D69" s="135" t="s">
        <v>287</v>
      </c>
      <c r="E69" s="9" t="s">
        <v>199</v>
      </c>
      <c r="F69" s="81">
        <v>0</v>
      </c>
      <c r="G69" s="35">
        <v>0</v>
      </c>
      <c r="H69" s="77">
        <f>$K$2</f>
        <v>0.1</v>
      </c>
      <c r="I69" s="87">
        <f>H69*SUM(I66:I68)</f>
        <v>1732.6200000000001</v>
      </c>
    </row>
    <row r="70" spans="2:30" s="1" customFormat="1" x14ac:dyDescent="0.35">
      <c r="B70" s="91">
        <v>13</v>
      </c>
      <c r="C70" s="97" t="str">
        <f>Input!V56</f>
        <v>CS009</v>
      </c>
      <c r="D70" s="132"/>
      <c r="E70" s="72" t="str">
        <f>Input!W56</f>
        <v>Bracing steel</v>
      </c>
      <c r="F70" s="91" t="str">
        <f>Input!X56</f>
        <v>kg</v>
      </c>
      <c r="G70" s="75"/>
      <c r="H70" s="92"/>
      <c r="I70" s="93">
        <f>SUM(I71:I75)</f>
        <v>69267</v>
      </c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</row>
    <row r="71" spans="2:30" x14ac:dyDescent="0.35">
      <c r="B71" s="13"/>
      <c r="C71" s="95"/>
      <c r="D71" s="134" t="s">
        <v>193</v>
      </c>
      <c r="E71" s="74" t="s">
        <v>211</v>
      </c>
      <c r="F71" s="21" t="s">
        <v>204</v>
      </c>
      <c r="G71" s="34">
        <f>0.006*2</f>
        <v>1.2E-2</v>
      </c>
      <c r="H71" s="90">
        <v>165000</v>
      </c>
      <c r="I71" s="106">
        <f t="shared" ref="I71:I74" si="12">G71*H71</f>
        <v>1980</v>
      </c>
    </row>
    <row r="72" spans="2:30" x14ac:dyDescent="0.35">
      <c r="B72" s="13"/>
      <c r="C72" s="95"/>
      <c r="D72" s="134" t="s">
        <v>194</v>
      </c>
      <c r="E72" s="8" t="s">
        <v>10</v>
      </c>
      <c r="F72" s="21" t="s">
        <v>204</v>
      </c>
      <c r="G72" s="34">
        <v>6.0000000000000001E-3</v>
      </c>
      <c r="H72" s="90">
        <v>155000</v>
      </c>
      <c r="I72" s="106">
        <f t="shared" si="12"/>
        <v>930</v>
      </c>
    </row>
    <row r="73" spans="2:30" x14ac:dyDescent="0.35">
      <c r="B73" s="13"/>
      <c r="C73" s="95"/>
      <c r="D73" s="105" t="s">
        <v>329</v>
      </c>
      <c r="E73" s="8" t="s">
        <v>218</v>
      </c>
      <c r="F73" s="13" t="s">
        <v>2</v>
      </c>
      <c r="G73" s="34">
        <v>0.85</v>
      </c>
      <c r="H73" s="88">
        <v>70000</v>
      </c>
      <c r="I73" s="106">
        <f t="shared" si="12"/>
        <v>59500</v>
      </c>
    </row>
    <row r="74" spans="2:30" x14ac:dyDescent="0.35">
      <c r="B74" s="13"/>
      <c r="C74" s="95"/>
      <c r="D74" s="105" t="s">
        <v>330</v>
      </c>
      <c r="E74" s="8" t="s">
        <v>219</v>
      </c>
      <c r="F74" s="13" t="s">
        <v>2</v>
      </c>
      <c r="G74" s="34">
        <v>0.08</v>
      </c>
      <c r="H74" s="88">
        <v>7000</v>
      </c>
      <c r="I74" s="106">
        <f t="shared" si="12"/>
        <v>560</v>
      </c>
    </row>
    <row r="75" spans="2:30" x14ac:dyDescent="0.35">
      <c r="B75" s="14"/>
      <c r="C75" s="96"/>
      <c r="D75" s="135" t="s">
        <v>287</v>
      </c>
      <c r="E75" s="9" t="s">
        <v>199</v>
      </c>
      <c r="F75" s="81">
        <v>0</v>
      </c>
      <c r="G75" s="35">
        <v>0</v>
      </c>
      <c r="H75" s="77">
        <f>$K$2</f>
        <v>0.1</v>
      </c>
      <c r="I75" s="87">
        <f>H75*SUM(I71:I74)</f>
        <v>6297</v>
      </c>
    </row>
    <row r="76" spans="2:30" s="1" customFormat="1" x14ac:dyDescent="0.35">
      <c r="B76" s="91">
        <v>14</v>
      </c>
      <c r="C76" s="97" t="str">
        <f>Input!V57</f>
        <v>CS010</v>
      </c>
      <c r="D76" s="132"/>
      <c r="E76" s="72" t="str">
        <f>Input!W57</f>
        <v>Metal roof</v>
      </c>
      <c r="F76" s="91" t="str">
        <f>Input!X57</f>
        <v>m2</v>
      </c>
      <c r="G76" s="75"/>
      <c r="H76" s="92"/>
      <c r="I76" s="93">
        <f>SUM(I77:I80)</f>
        <v>183639.5</v>
      </c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</row>
    <row r="77" spans="2:30" x14ac:dyDescent="0.35">
      <c r="B77" s="13"/>
      <c r="C77" s="95"/>
      <c r="D77" s="134" t="s">
        <v>193</v>
      </c>
      <c r="E77" s="74" t="s">
        <v>211</v>
      </c>
      <c r="F77" s="21" t="s">
        <v>204</v>
      </c>
      <c r="G77" s="34">
        <f>0.008+0.075</f>
        <v>8.299999999999999E-2</v>
      </c>
      <c r="H77" s="90">
        <v>165000</v>
      </c>
      <c r="I77" s="106">
        <f t="shared" ref="I77:I79" si="13">G77*H77</f>
        <v>13694.999999999998</v>
      </c>
    </row>
    <row r="78" spans="2:30" x14ac:dyDescent="0.35">
      <c r="B78" s="13"/>
      <c r="C78" s="95"/>
      <c r="D78" s="134" t="s">
        <v>194</v>
      </c>
      <c r="E78" s="8" t="s">
        <v>10</v>
      </c>
      <c r="F78" s="21" t="s">
        <v>204</v>
      </c>
      <c r="G78" s="34">
        <v>0.15</v>
      </c>
      <c r="H78" s="90">
        <v>155000</v>
      </c>
      <c r="I78" s="106">
        <f t="shared" si="13"/>
        <v>23250</v>
      </c>
    </row>
    <row r="79" spans="2:30" x14ac:dyDescent="0.35">
      <c r="B79" s="13"/>
      <c r="C79" s="95"/>
      <c r="D79" s="105" t="s">
        <v>331</v>
      </c>
      <c r="E79" s="8" t="s">
        <v>220</v>
      </c>
      <c r="F79" s="13" t="s">
        <v>85</v>
      </c>
      <c r="G79" s="34">
        <v>25</v>
      </c>
      <c r="H79" s="88">
        <v>5200</v>
      </c>
      <c r="I79" s="106">
        <f t="shared" si="13"/>
        <v>130000</v>
      </c>
    </row>
    <row r="80" spans="2:30" x14ac:dyDescent="0.35">
      <c r="B80" s="14"/>
      <c r="C80" s="96"/>
      <c r="D80" s="135" t="s">
        <v>287</v>
      </c>
      <c r="E80" s="9" t="s">
        <v>199</v>
      </c>
      <c r="F80" s="81">
        <v>0</v>
      </c>
      <c r="G80" s="35">
        <v>0</v>
      </c>
      <c r="H80" s="77">
        <f>$K$2</f>
        <v>0.1</v>
      </c>
      <c r="I80" s="87">
        <f>H80*SUM(I77:I79)</f>
        <v>16694.5</v>
      </c>
    </row>
    <row r="81" spans="2:30" s="1" customFormat="1" x14ac:dyDescent="0.35">
      <c r="B81" s="91">
        <v>15</v>
      </c>
      <c r="C81" s="97" t="str">
        <f>Input!V58</f>
        <v>CA001</v>
      </c>
      <c r="D81" s="132"/>
      <c r="E81" s="72" t="str">
        <f>Input!W58</f>
        <v>Brick laying</v>
      </c>
      <c r="F81" s="91" t="str">
        <f>Input!X58</f>
        <v>m2</v>
      </c>
      <c r="G81" s="75"/>
      <c r="H81" s="92"/>
      <c r="I81" s="93">
        <f>SUM(I82:I87)</f>
        <v>163454.38999999998</v>
      </c>
      <c r="L81" s="71"/>
      <c r="M81" s="4"/>
      <c r="N81" s="12"/>
      <c r="O81" s="141"/>
      <c r="P81" s="140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</row>
    <row r="82" spans="2:30" x14ac:dyDescent="0.35">
      <c r="B82" s="13"/>
      <c r="C82" s="95"/>
      <c r="D82" s="134" t="s">
        <v>193</v>
      </c>
      <c r="E82" s="74" t="s">
        <v>211</v>
      </c>
      <c r="F82" s="21" t="s">
        <v>204</v>
      </c>
      <c r="G82" s="34">
        <f>0.11</f>
        <v>0.11</v>
      </c>
      <c r="H82" s="90">
        <v>165000</v>
      </c>
      <c r="I82" s="106">
        <f t="shared" ref="I82:I86" si="14">G82*H82</f>
        <v>18150</v>
      </c>
      <c r="N82" s="12"/>
      <c r="O82" s="141"/>
      <c r="P82" s="140"/>
    </row>
    <row r="83" spans="2:30" x14ac:dyDescent="0.35">
      <c r="B83" s="13"/>
      <c r="C83" s="95"/>
      <c r="D83" s="134" t="s">
        <v>194</v>
      </c>
      <c r="E83" s="8" t="s">
        <v>10</v>
      </c>
      <c r="F83" s="21" t="s">
        <v>204</v>
      </c>
      <c r="G83" s="34">
        <v>0.3</v>
      </c>
      <c r="H83" s="90">
        <v>155000</v>
      </c>
      <c r="I83" s="106">
        <f t="shared" si="14"/>
        <v>46500</v>
      </c>
      <c r="N83" s="12"/>
      <c r="O83" s="141"/>
      <c r="P83" s="140"/>
    </row>
    <row r="84" spans="2:30" x14ac:dyDescent="0.35">
      <c r="B84" s="13"/>
      <c r="C84" s="95"/>
      <c r="D84" s="105" t="s">
        <v>332</v>
      </c>
      <c r="E84" s="8" t="s">
        <v>363</v>
      </c>
      <c r="F84" s="13" t="s">
        <v>85</v>
      </c>
      <c r="G84" s="34">
        <v>70</v>
      </c>
      <c r="H84" s="88">
        <v>800</v>
      </c>
      <c r="I84" s="106">
        <f t="shared" si="14"/>
        <v>56000</v>
      </c>
      <c r="N84" s="12"/>
      <c r="O84" s="141"/>
      <c r="P84" s="140"/>
    </row>
    <row r="85" spans="2:30" x14ac:dyDescent="0.35">
      <c r="B85" s="13"/>
      <c r="C85" s="95"/>
      <c r="D85" s="105" t="s">
        <v>317</v>
      </c>
      <c r="E85" s="8" t="s">
        <v>160</v>
      </c>
      <c r="F85" s="13" t="s">
        <v>205</v>
      </c>
      <c r="G85" s="34">
        <v>0.23</v>
      </c>
      <c r="H85" s="88">
        <f>H52</f>
        <v>71900</v>
      </c>
      <c r="I85" s="106">
        <f t="shared" si="14"/>
        <v>16537</v>
      </c>
      <c r="N85" s="12"/>
      <c r="O85" s="141"/>
      <c r="P85" s="140"/>
    </row>
    <row r="86" spans="2:30" x14ac:dyDescent="0.35">
      <c r="B86" s="13"/>
      <c r="C86" s="95"/>
      <c r="D86" s="105" t="s">
        <v>318</v>
      </c>
      <c r="E86" s="8" t="s">
        <v>161</v>
      </c>
      <c r="F86" s="13" t="s">
        <v>1</v>
      </c>
      <c r="G86" s="34">
        <v>4.2999999999999997E-2</v>
      </c>
      <c r="H86" s="88">
        <f>H53</f>
        <v>265300</v>
      </c>
      <c r="I86" s="106">
        <f t="shared" si="14"/>
        <v>11407.9</v>
      </c>
      <c r="N86" s="12"/>
      <c r="O86" s="141"/>
      <c r="P86" s="140"/>
    </row>
    <row r="87" spans="2:30" x14ac:dyDescent="0.35">
      <c r="B87" s="14"/>
      <c r="C87" s="96"/>
      <c r="D87" s="135" t="s">
        <v>287</v>
      </c>
      <c r="E87" s="9" t="s">
        <v>199</v>
      </c>
      <c r="F87" s="81">
        <v>0</v>
      </c>
      <c r="G87" s="35">
        <v>0</v>
      </c>
      <c r="H87" s="77">
        <f>$K$2</f>
        <v>0.1</v>
      </c>
      <c r="I87" s="87">
        <f>H87*SUM(I82:I86)</f>
        <v>14859.49</v>
      </c>
      <c r="N87" s="12"/>
      <c r="O87" s="141"/>
      <c r="P87" s="140"/>
    </row>
    <row r="88" spans="2:30" s="1" customFormat="1" x14ac:dyDescent="0.35">
      <c r="B88" s="91">
        <v>16</v>
      </c>
      <c r="C88" s="97" t="str">
        <f>Input!V59</f>
        <v>CA002</v>
      </c>
      <c r="D88" s="132"/>
      <c r="E88" s="72" t="str">
        <f>Input!W59</f>
        <v>Stucco work</v>
      </c>
      <c r="F88" s="91" t="str">
        <f>Input!X59</f>
        <v>m2</v>
      </c>
      <c r="G88" s="75"/>
      <c r="H88" s="92"/>
      <c r="I88" s="93">
        <f>SUM(I89:I93)</f>
        <v>97987.67</v>
      </c>
      <c r="L88" s="71"/>
      <c r="M88" s="4"/>
      <c r="N88" s="12"/>
      <c r="O88" s="141"/>
      <c r="P88" s="140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</row>
    <row r="89" spans="2:30" x14ac:dyDescent="0.35">
      <c r="B89" s="13"/>
      <c r="C89" s="95"/>
      <c r="D89" s="134" t="s">
        <v>193</v>
      </c>
      <c r="E89" s="74" t="s">
        <v>211</v>
      </c>
      <c r="F89" s="21" t="s">
        <v>204</v>
      </c>
      <c r="G89" s="34">
        <f>0.015+0.15</f>
        <v>0.16499999999999998</v>
      </c>
      <c r="H89" s="90">
        <v>165000</v>
      </c>
      <c r="I89" s="106">
        <f t="shared" ref="I89:I92" si="15">G89*H89</f>
        <v>27224.999999999996</v>
      </c>
      <c r="N89" s="12"/>
      <c r="O89" s="141"/>
      <c r="P89" s="140"/>
    </row>
    <row r="90" spans="2:30" x14ac:dyDescent="0.35">
      <c r="B90" s="13"/>
      <c r="C90" s="95"/>
      <c r="D90" s="134" t="s">
        <v>194</v>
      </c>
      <c r="E90" s="8" t="s">
        <v>10</v>
      </c>
      <c r="F90" s="21" t="s">
        <v>204</v>
      </c>
      <c r="G90" s="34">
        <v>0.3</v>
      </c>
      <c r="H90" s="90">
        <v>155000</v>
      </c>
      <c r="I90" s="106">
        <f t="shared" si="15"/>
        <v>46500</v>
      </c>
      <c r="N90" s="12"/>
      <c r="O90" s="141"/>
      <c r="P90" s="140"/>
    </row>
    <row r="91" spans="2:30" x14ac:dyDescent="0.35">
      <c r="B91" s="13"/>
      <c r="C91" s="95"/>
      <c r="D91" s="105" t="s">
        <v>317</v>
      </c>
      <c r="E91" s="8" t="s">
        <v>160</v>
      </c>
      <c r="F91" s="13" t="s">
        <v>205</v>
      </c>
      <c r="G91" s="34">
        <v>0.125</v>
      </c>
      <c r="H91" s="88">
        <v>71900</v>
      </c>
      <c r="I91" s="106">
        <f t="shared" si="15"/>
        <v>8987.5</v>
      </c>
      <c r="N91" s="12"/>
      <c r="O91" s="141"/>
      <c r="P91" s="140"/>
    </row>
    <row r="92" spans="2:30" x14ac:dyDescent="0.35">
      <c r="B92" s="13"/>
      <c r="C92" s="95"/>
      <c r="D92" s="105" t="s">
        <v>318</v>
      </c>
      <c r="E92" s="8" t="s">
        <v>161</v>
      </c>
      <c r="F92" s="13" t="s">
        <v>1</v>
      </c>
      <c r="G92" s="34">
        <v>2.4E-2</v>
      </c>
      <c r="H92" s="88">
        <v>265300</v>
      </c>
      <c r="I92" s="106">
        <f t="shared" si="15"/>
        <v>6367.2</v>
      </c>
      <c r="N92" s="12"/>
      <c r="O92" s="141"/>
      <c r="P92" s="140"/>
    </row>
    <row r="93" spans="2:30" x14ac:dyDescent="0.35">
      <c r="B93" s="14"/>
      <c r="C93" s="96"/>
      <c r="D93" s="135" t="s">
        <v>287</v>
      </c>
      <c r="E93" s="9" t="s">
        <v>199</v>
      </c>
      <c r="F93" s="81">
        <v>0</v>
      </c>
      <c r="G93" s="35">
        <v>0</v>
      </c>
      <c r="H93" s="77">
        <f>$K$2</f>
        <v>0.1</v>
      </c>
      <c r="I93" s="87">
        <f>H93*SUM(I89:I92)</f>
        <v>8907.9699999999993</v>
      </c>
      <c r="N93" s="12"/>
      <c r="O93" s="141"/>
      <c r="P93" s="140"/>
    </row>
    <row r="94" spans="2:30" s="1" customFormat="1" x14ac:dyDescent="0.35">
      <c r="B94" s="91">
        <v>17</v>
      </c>
      <c r="C94" s="97" t="str">
        <f>Input!V60</f>
        <v>CA003</v>
      </c>
      <c r="D94" s="132"/>
      <c r="E94" s="72" t="str">
        <f>Input!W60</f>
        <v>Wooden door and windows</v>
      </c>
      <c r="F94" s="91" t="str">
        <f>Input!X60</f>
        <v>m2</v>
      </c>
      <c r="G94" s="75"/>
      <c r="H94" s="92"/>
      <c r="I94" s="93">
        <f>SUM(I95:I99)</f>
        <v>1125081.1000000001</v>
      </c>
      <c r="L94" s="71"/>
      <c r="M94" s="4"/>
      <c r="N94" s="12"/>
      <c r="O94" s="141"/>
      <c r="P94" s="140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</row>
    <row r="95" spans="2:30" x14ac:dyDescent="0.35">
      <c r="B95" s="13"/>
      <c r="C95" s="95"/>
      <c r="D95" s="134" t="s">
        <v>193</v>
      </c>
      <c r="E95" s="74" t="s">
        <v>211</v>
      </c>
      <c r="F95" s="21" t="s">
        <v>204</v>
      </c>
      <c r="G95" s="34">
        <f>0.105+1.05</f>
        <v>1.155</v>
      </c>
      <c r="H95" s="90">
        <v>165000</v>
      </c>
      <c r="I95" s="106">
        <f t="shared" ref="I95:I98" si="16">G95*H95</f>
        <v>190575</v>
      </c>
      <c r="N95" s="12"/>
      <c r="O95" s="141"/>
      <c r="P95" s="140"/>
    </row>
    <row r="96" spans="2:30" x14ac:dyDescent="0.35">
      <c r="B96" s="13"/>
      <c r="C96" s="95"/>
      <c r="D96" s="134" t="s">
        <v>194</v>
      </c>
      <c r="E96" s="8" t="s">
        <v>10</v>
      </c>
      <c r="F96" s="21" t="s">
        <v>204</v>
      </c>
      <c r="G96" s="34">
        <v>0.35</v>
      </c>
      <c r="H96" s="90">
        <v>155000</v>
      </c>
      <c r="I96" s="106">
        <f t="shared" si="16"/>
        <v>54250</v>
      </c>
    </row>
    <row r="97" spans="2:30" x14ac:dyDescent="0.35">
      <c r="B97" s="13"/>
      <c r="C97" s="95"/>
      <c r="D97" s="105" t="s">
        <v>333</v>
      </c>
      <c r="E97" s="8" t="s">
        <v>221</v>
      </c>
      <c r="F97" s="13" t="s">
        <v>1</v>
      </c>
      <c r="G97" s="34">
        <v>0.04</v>
      </c>
      <c r="H97" s="88">
        <v>19430900</v>
      </c>
      <c r="I97" s="106">
        <f t="shared" si="16"/>
        <v>777236</v>
      </c>
    </row>
    <row r="98" spans="2:30" x14ac:dyDescent="0.35">
      <c r="B98" s="13"/>
      <c r="C98" s="95"/>
      <c r="D98" s="105" t="s">
        <v>323</v>
      </c>
      <c r="E98" s="8" t="s">
        <v>213</v>
      </c>
      <c r="F98" s="13" t="s">
        <v>2</v>
      </c>
      <c r="G98" s="34">
        <v>0.05</v>
      </c>
      <c r="H98" s="88">
        <v>14800</v>
      </c>
      <c r="I98" s="106">
        <f t="shared" si="16"/>
        <v>740</v>
      </c>
    </row>
    <row r="99" spans="2:30" x14ac:dyDescent="0.35">
      <c r="B99" s="14"/>
      <c r="C99" s="96"/>
      <c r="D99" s="135" t="s">
        <v>287</v>
      </c>
      <c r="E99" s="9" t="s">
        <v>199</v>
      </c>
      <c r="F99" s="81">
        <v>0</v>
      </c>
      <c r="G99" s="35">
        <v>0</v>
      </c>
      <c r="H99" s="77">
        <f>$K$2</f>
        <v>0.1</v>
      </c>
      <c r="I99" s="87">
        <f>H99*SUM(I95:I98)</f>
        <v>102280.1</v>
      </c>
    </row>
    <row r="100" spans="2:30" s="1" customFormat="1" x14ac:dyDescent="0.35">
      <c r="B100" s="91">
        <v>18</v>
      </c>
      <c r="C100" s="97" t="str">
        <f>Input!V61</f>
        <v>CA004</v>
      </c>
      <c r="D100" s="136"/>
      <c r="E100" s="72" t="str">
        <f>Input!W61</f>
        <v>Doors and windows frame</v>
      </c>
      <c r="F100" s="91" t="s">
        <v>1</v>
      </c>
      <c r="G100" s="75"/>
      <c r="H100" s="92"/>
      <c r="I100" s="93">
        <f>SUM(I101:I106)</f>
        <v>30008242</v>
      </c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</row>
    <row r="101" spans="2:30" x14ac:dyDescent="0.35">
      <c r="B101" s="13"/>
      <c r="C101" s="95"/>
      <c r="D101" s="134" t="s">
        <v>193</v>
      </c>
      <c r="E101" s="74" t="s">
        <v>211</v>
      </c>
      <c r="F101" s="21" t="s">
        <v>204</v>
      </c>
      <c r="G101" s="34">
        <f>21+2.1</f>
        <v>23.1</v>
      </c>
      <c r="H101" s="90">
        <v>165000</v>
      </c>
      <c r="I101" s="106">
        <f t="shared" ref="I101:I105" si="17">G101*H101</f>
        <v>3811500.0000000005</v>
      </c>
    </row>
    <row r="102" spans="2:30" x14ac:dyDescent="0.35">
      <c r="B102" s="13"/>
      <c r="C102" s="95"/>
      <c r="D102" s="134" t="s">
        <v>194</v>
      </c>
      <c r="E102" s="8" t="s">
        <v>10</v>
      </c>
      <c r="F102" s="21" t="s">
        <v>204</v>
      </c>
      <c r="G102" s="34">
        <v>7</v>
      </c>
      <c r="H102" s="90">
        <v>155000</v>
      </c>
      <c r="I102" s="106">
        <f t="shared" si="17"/>
        <v>1085000</v>
      </c>
    </row>
    <row r="103" spans="2:30" x14ac:dyDescent="0.35">
      <c r="B103" s="13"/>
      <c r="C103" s="95"/>
      <c r="D103" s="105" t="s">
        <v>334</v>
      </c>
      <c r="E103" s="8" t="s">
        <v>222</v>
      </c>
      <c r="F103" s="13" t="s">
        <v>2</v>
      </c>
      <c r="G103" s="34">
        <v>1</v>
      </c>
      <c r="H103" s="88">
        <v>13000</v>
      </c>
      <c r="I103" s="106">
        <f t="shared" si="17"/>
        <v>13000</v>
      </c>
    </row>
    <row r="104" spans="2:30" x14ac:dyDescent="0.35">
      <c r="B104" s="13"/>
      <c r="C104" s="95"/>
      <c r="D104" s="105" t="s">
        <v>335</v>
      </c>
      <c r="E104" s="8" t="s">
        <v>357</v>
      </c>
      <c r="F104" s="13" t="s">
        <v>224</v>
      </c>
      <c r="G104" s="34">
        <v>1.25</v>
      </c>
      <c r="H104" s="88">
        <v>10400</v>
      </c>
      <c r="I104" s="106">
        <f t="shared" si="17"/>
        <v>13000</v>
      </c>
    </row>
    <row r="105" spans="2:30" x14ac:dyDescent="0.35">
      <c r="B105" s="13"/>
      <c r="C105" s="95"/>
      <c r="D105" s="105" t="s">
        <v>336</v>
      </c>
      <c r="E105" s="8" t="s">
        <v>223</v>
      </c>
      <c r="F105" s="13" t="s">
        <v>1</v>
      </c>
      <c r="G105" s="34">
        <v>1.1000000000000001</v>
      </c>
      <c r="H105" s="88">
        <v>20325200</v>
      </c>
      <c r="I105" s="106">
        <f t="shared" si="17"/>
        <v>22357720</v>
      </c>
    </row>
    <row r="106" spans="2:30" x14ac:dyDescent="0.35">
      <c r="B106" s="14"/>
      <c r="C106" s="96"/>
      <c r="D106" s="135" t="s">
        <v>287</v>
      </c>
      <c r="E106" s="9" t="s">
        <v>199</v>
      </c>
      <c r="F106" s="81">
        <v>0</v>
      </c>
      <c r="G106" s="35">
        <v>0</v>
      </c>
      <c r="H106" s="77">
        <f>$K$2</f>
        <v>0.1</v>
      </c>
      <c r="I106" s="87">
        <f>H106*SUM(I101:I105)</f>
        <v>2728022</v>
      </c>
    </row>
    <row r="107" spans="2:30" s="1" customFormat="1" x14ac:dyDescent="0.35">
      <c r="B107" s="91">
        <v>19</v>
      </c>
      <c r="C107" s="97" t="str">
        <f>Input!V62</f>
        <v>CA005</v>
      </c>
      <c r="D107" s="132"/>
      <c r="E107" s="72" t="str">
        <f>Input!W62</f>
        <v>Ceiling work</v>
      </c>
      <c r="F107" s="91" t="str">
        <f>Input!X62</f>
        <v>m2</v>
      </c>
      <c r="G107" s="75"/>
      <c r="H107" s="92"/>
      <c r="I107" s="93">
        <f>SUM(I108:I113)</f>
        <v>262953.90000000002</v>
      </c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</row>
    <row r="108" spans="2:30" x14ac:dyDescent="0.35">
      <c r="B108" s="13"/>
      <c r="C108" s="95"/>
      <c r="D108" s="134" t="s">
        <v>193</v>
      </c>
      <c r="E108" s="74" t="s">
        <v>211</v>
      </c>
      <c r="F108" s="21" t="s">
        <v>204</v>
      </c>
      <c r="G108" s="34">
        <f>0.009+0.32</f>
        <v>0.32900000000000001</v>
      </c>
      <c r="H108" s="90">
        <v>165000</v>
      </c>
      <c r="I108" s="106">
        <f t="shared" ref="I108:I112" si="18">G108*H108</f>
        <v>54285</v>
      </c>
    </row>
    <row r="109" spans="2:30" x14ac:dyDescent="0.35">
      <c r="B109" s="13"/>
      <c r="C109" s="95"/>
      <c r="D109" s="134" t="s">
        <v>194</v>
      </c>
      <c r="E109" s="8" t="s">
        <v>10</v>
      </c>
      <c r="F109" s="21" t="s">
        <v>204</v>
      </c>
      <c r="G109" s="34">
        <f>0.18</f>
        <v>0.18</v>
      </c>
      <c r="H109" s="90">
        <v>155000</v>
      </c>
      <c r="I109" s="106">
        <f t="shared" si="18"/>
        <v>27900</v>
      </c>
    </row>
    <row r="110" spans="2:30" x14ac:dyDescent="0.35">
      <c r="B110" s="13"/>
      <c r="C110" s="95"/>
      <c r="D110" s="105" t="s">
        <v>337</v>
      </c>
      <c r="E110" s="8" t="s">
        <v>228</v>
      </c>
      <c r="F110" s="13" t="s">
        <v>1</v>
      </c>
      <c r="G110" s="34">
        <v>1.2E-2</v>
      </c>
      <c r="H110" s="88">
        <v>7245000</v>
      </c>
      <c r="I110" s="106">
        <f t="shared" si="18"/>
        <v>86940</v>
      </c>
    </row>
    <row r="111" spans="2:30" x14ac:dyDescent="0.35">
      <c r="B111" s="13"/>
      <c r="C111" s="95"/>
      <c r="D111" s="105" t="s">
        <v>338</v>
      </c>
      <c r="E111" s="8" t="s">
        <v>227</v>
      </c>
      <c r="F111" s="13" t="s">
        <v>3</v>
      </c>
      <c r="G111" s="34">
        <v>1.1000000000000001</v>
      </c>
      <c r="H111" s="88">
        <v>63000</v>
      </c>
      <c r="I111" s="106">
        <f t="shared" si="18"/>
        <v>69300</v>
      </c>
    </row>
    <row r="112" spans="2:30" x14ac:dyDescent="0.35">
      <c r="B112" s="13"/>
      <c r="C112" s="95"/>
      <c r="D112" s="105" t="s">
        <v>335</v>
      </c>
      <c r="E112" s="8" t="s">
        <v>357</v>
      </c>
      <c r="F112" s="13" t="s">
        <v>2</v>
      </c>
      <c r="G112" s="34">
        <v>0.06</v>
      </c>
      <c r="H112" s="88">
        <f>H104</f>
        <v>10400</v>
      </c>
      <c r="I112" s="106">
        <f t="shared" si="18"/>
        <v>624</v>
      </c>
    </row>
    <row r="113" spans="2:30" x14ac:dyDescent="0.35">
      <c r="B113" s="14"/>
      <c r="C113" s="96"/>
      <c r="D113" s="135" t="s">
        <v>287</v>
      </c>
      <c r="E113" s="9" t="s">
        <v>199</v>
      </c>
      <c r="F113" s="81">
        <v>0</v>
      </c>
      <c r="G113" s="35">
        <v>0</v>
      </c>
      <c r="H113" s="77">
        <f>$K$2</f>
        <v>0.1</v>
      </c>
      <c r="I113" s="87">
        <f>H113*SUM(I108:I112)</f>
        <v>23904.9</v>
      </c>
    </row>
    <row r="114" spans="2:30" s="1" customFormat="1" x14ac:dyDescent="0.35">
      <c r="B114" s="91">
        <v>20</v>
      </c>
      <c r="C114" s="97" t="str">
        <f>Input!V63</f>
        <v>CE001</v>
      </c>
      <c r="D114" s="132"/>
      <c r="E114" s="72" t="str">
        <f>Input!W63</f>
        <v>Electrical, water and plumbing installations</v>
      </c>
      <c r="F114" s="91" t="s">
        <v>82</v>
      </c>
      <c r="G114" s="75"/>
      <c r="H114" s="92"/>
      <c r="I114" s="93">
        <f>SUM(I115:I116)</f>
        <v>27500000</v>
      </c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</row>
    <row r="115" spans="2:30" x14ac:dyDescent="0.35">
      <c r="B115" s="13"/>
      <c r="C115" s="95"/>
      <c r="D115" s="133" t="s">
        <v>312</v>
      </c>
      <c r="E115" s="8" t="s">
        <v>26</v>
      </c>
      <c r="F115" s="13" t="s">
        <v>82</v>
      </c>
      <c r="G115" s="34">
        <v>1</v>
      </c>
      <c r="H115" s="88">
        <v>25000000</v>
      </c>
      <c r="I115" s="85">
        <f>G115*H115</f>
        <v>25000000</v>
      </c>
    </row>
    <row r="116" spans="2:30" x14ac:dyDescent="0.35">
      <c r="B116" s="14"/>
      <c r="C116" s="96"/>
      <c r="D116" s="135" t="s">
        <v>287</v>
      </c>
      <c r="E116" s="9" t="s">
        <v>199</v>
      </c>
      <c r="F116" s="81">
        <v>0</v>
      </c>
      <c r="G116" s="35">
        <v>0</v>
      </c>
      <c r="H116" s="77">
        <f>$K$2</f>
        <v>0.1</v>
      </c>
      <c r="I116" s="87">
        <f>H116*SUM(I115)</f>
        <v>2500000</v>
      </c>
    </row>
    <row r="117" spans="2:30" s="71" customFormat="1" x14ac:dyDescent="0.35">
      <c r="B117" s="80">
        <v>21</v>
      </c>
      <c r="C117" s="94" t="str">
        <f>Input!V64</f>
        <v>CA008</v>
      </c>
      <c r="D117" s="105"/>
      <c r="E117" s="73" t="str">
        <f>Input!W64</f>
        <v>Painting work</v>
      </c>
      <c r="F117" s="80" t="str">
        <f>Input!X64</f>
        <v>m2</v>
      </c>
      <c r="G117" s="76"/>
      <c r="H117" s="89"/>
      <c r="I117" s="93">
        <f>SUM(I118:I123)</f>
        <v>47186.15</v>
      </c>
    </row>
    <row r="118" spans="2:30" s="4" customFormat="1" x14ac:dyDescent="0.35">
      <c r="B118" s="13"/>
      <c r="C118" s="95"/>
      <c r="D118" s="134" t="s">
        <v>193</v>
      </c>
      <c r="E118" s="74" t="s">
        <v>211</v>
      </c>
      <c r="F118" s="21" t="s">
        <v>204</v>
      </c>
      <c r="G118" s="34">
        <f>0.0063+0.063</f>
        <v>6.93E-2</v>
      </c>
      <c r="H118" s="90">
        <v>165000</v>
      </c>
      <c r="I118" s="85">
        <f t="shared" ref="I118:I122" si="19">G118*H118</f>
        <v>11434.5</v>
      </c>
    </row>
    <row r="119" spans="2:30" s="4" customFormat="1" x14ac:dyDescent="0.35">
      <c r="B119" s="13"/>
      <c r="C119" s="95"/>
      <c r="D119" s="134" t="s">
        <v>194</v>
      </c>
      <c r="E119" s="8" t="s">
        <v>10</v>
      </c>
      <c r="F119" s="21" t="s">
        <v>204</v>
      </c>
      <c r="G119" s="34">
        <v>0.02</v>
      </c>
      <c r="H119" s="90">
        <v>155000</v>
      </c>
      <c r="I119" s="85">
        <f t="shared" si="19"/>
        <v>3100</v>
      </c>
    </row>
    <row r="120" spans="2:30" s="4" customFormat="1" x14ac:dyDescent="0.35">
      <c r="B120" s="13"/>
      <c r="C120" s="95"/>
      <c r="D120" s="105" t="s">
        <v>339</v>
      </c>
      <c r="E120" s="8" t="s">
        <v>229</v>
      </c>
      <c r="F120" s="13" t="s">
        <v>234</v>
      </c>
      <c r="G120" s="34">
        <v>0.104</v>
      </c>
      <c r="H120" s="88">
        <v>218000</v>
      </c>
      <c r="I120" s="85">
        <f t="shared" si="19"/>
        <v>22672</v>
      </c>
    </row>
    <row r="121" spans="2:30" s="4" customFormat="1" x14ac:dyDescent="0.35">
      <c r="B121" s="13"/>
      <c r="C121" s="95"/>
      <c r="D121" s="105" t="s">
        <v>340</v>
      </c>
      <c r="E121" s="8" t="s">
        <v>230</v>
      </c>
      <c r="F121" s="13" t="s">
        <v>2</v>
      </c>
      <c r="G121" s="34">
        <v>0.1</v>
      </c>
      <c r="H121" s="88">
        <v>36500</v>
      </c>
      <c r="I121" s="85">
        <f t="shared" si="19"/>
        <v>3650</v>
      </c>
    </row>
    <row r="122" spans="2:30" s="4" customFormat="1" x14ac:dyDescent="0.35">
      <c r="B122" s="13"/>
      <c r="C122" s="95"/>
      <c r="D122" s="105" t="s">
        <v>341</v>
      </c>
      <c r="E122" s="8" t="s">
        <v>231</v>
      </c>
      <c r="F122" s="13" t="s">
        <v>235</v>
      </c>
      <c r="G122" s="34">
        <v>0.1</v>
      </c>
      <c r="H122" s="88">
        <v>20400</v>
      </c>
      <c r="I122" s="85">
        <f t="shared" si="19"/>
        <v>2040</v>
      </c>
    </row>
    <row r="123" spans="2:30" s="6" customFormat="1" x14ac:dyDescent="0.35">
      <c r="B123" s="14"/>
      <c r="C123" s="96"/>
      <c r="D123" s="135" t="s">
        <v>287</v>
      </c>
      <c r="E123" s="9" t="s">
        <v>199</v>
      </c>
      <c r="F123" s="81">
        <v>0</v>
      </c>
      <c r="G123" s="35">
        <v>0</v>
      </c>
      <c r="H123" s="77">
        <f>$K$2</f>
        <v>0.1</v>
      </c>
      <c r="I123" s="87">
        <f>H123*SUM(I118:I122)</f>
        <v>4289.6500000000005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s="1" customFormat="1" x14ac:dyDescent="0.35">
      <c r="B124" s="91">
        <v>22</v>
      </c>
      <c r="C124" s="97" t="str">
        <f>Input!V65</f>
        <v>CA009</v>
      </c>
      <c r="D124" s="132"/>
      <c r="E124" s="72" t="str">
        <f>Input!W65</f>
        <v>Landscaping work</v>
      </c>
      <c r="F124" s="91" t="s">
        <v>82</v>
      </c>
      <c r="G124" s="75"/>
      <c r="H124" s="92"/>
      <c r="I124" s="93">
        <f>SUM(I125:I126)</f>
        <v>16500000</v>
      </c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</row>
    <row r="125" spans="2:30" x14ac:dyDescent="0.35">
      <c r="B125" s="13"/>
      <c r="C125" s="95"/>
      <c r="D125" s="133" t="s">
        <v>313</v>
      </c>
      <c r="E125" s="8" t="s">
        <v>64</v>
      </c>
      <c r="F125" s="13" t="s">
        <v>82</v>
      </c>
      <c r="G125" s="34">
        <v>1</v>
      </c>
      <c r="H125" s="88">
        <v>15000000</v>
      </c>
      <c r="I125" s="85">
        <f>G125*H125</f>
        <v>15000000</v>
      </c>
    </row>
    <row r="126" spans="2:30" x14ac:dyDescent="0.35">
      <c r="B126" s="14"/>
      <c r="C126" s="96"/>
      <c r="D126" s="135" t="s">
        <v>287</v>
      </c>
      <c r="E126" s="9" t="s">
        <v>199</v>
      </c>
      <c r="F126" s="81">
        <v>0</v>
      </c>
      <c r="G126" s="35">
        <v>0</v>
      </c>
      <c r="H126" s="77">
        <f>$K$2</f>
        <v>0.1</v>
      </c>
      <c r="I126" s="87">
        <f>H126*SUM(I125)</f>
        <v>1500000</v>
      </c>
    </row>
    <row r="127" spans="2:30" s="1" customFormat="1" x14ac:dyDescent="0.35">
      <c r="B127" s="80">
        <v>23</v>
      </c>
      <c r="C127" s="94" t="str">
        <f>Input!V66</f>
        <v>CA010</v>
      </c>
      <c r="D127" s="105"/>
      <c r="E127" s="73" t="str">
        <f>Input!W66</f>
        <v>Tile installation</v>
      </c>
      <c r="F127" s="80" t="str">
        <f>Input!X66</f>
        <v>m2</v>
      </c>
      <c r="G127" s="76"/>
      <c r="H127" s="89"/>
      <c r="I127" s="93">
        <f>SUM(I128:I134)</f>
        <v>309587.40999999997</v>
      </c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</row>
    <row r="128" spans="2:30" x14ac:dyDescent="0.35">
      <c r="B128" s="13"/>
      <c r="C128" s="95"/>
      <c r="D128" s="134" t="s">
        <v>193</v>
      </c>
      <c r="E128" s="74" t="s">
        <v>211</v>
      </c>
      <c r="F128" s="21" t="s">
        <v>204</v>
      </c>
      <c r="G128" s="34">
        <f>0.035+0.35</f>
        <v>0.38500000000000001</v>
      </c>
      <c r="H128" s="90">
        <v>165000</v>
      </c>
      <c r="I128" s="85">
        <f t="shared" ref="I128:I133" si="20">G128*H128</f>
        <v>63525</v>
      </c>
    </row>
    <row r="129" spans="2:9" x14ac:dyDescent="0.35">
      <c r="B129" s="13"/>
      <c r="C129" s="95"/>
      <c r="D129" s="134" t="s">
        <v>194</v>
      </c>
      <c r="E129" s="8" t="s">
        <v>10</v>
      </c>
      <c r="F129" s="21" t="s">
        <v>204</v>
      </c>
      <c r="G129" s="34">
        <v>0.7</v>
      </c>
      <c r="H129" s="90">
        <v>155000</v>
      </c>
      <c r="I129" s="85">
        <f t="shared" si="20"/>
        <v>108500</v>
      </c>
    </row>
    <row r="130" spans="2:9" x14ac:dyDescent="0.35">
      <c r="B130" s="13"/>
      <c r="C130" s="95"/>
      <c r="D130" s="105" t="s">
        <v>342</v>
      </c>
      <c r="E130" s="8" t="s">
        <v>202</v>
      </c>
      <c r="F130" s="79" t="s">
        <v>3</v>
      </c>
      <c r="G130" s="34">
        <v>1.0608</v>
      </c>
      <c r="H130" s="88">
        <v>59000</v>
      </c>
      <c r="I130" s="85">
        <f t="shared" si="20"/>
        <v>62587.199999999997</v>
      </c>
    </row>
    <row r="131" spans="2:9" x14ac:dyDescent="0.35">
      <c r="B131" s="13"/>
      <c r="C131" s="95"/>
      <c r="D131" s="105" t="s">
        <v>317</v>
      </c>
      <c r="E131" s="8" t="s">
        <v>160</v>
      </c>
      <c r="F131" s="79" t="s">
        <v>205</v>
      </c>
      <c r="G131" s="34">
        <v>0.19600000000000001</v>
      </c>
      <c r="H131" s="88">
        <f>H91</f>
        <v>71900</v>
      </c>
      <c r="I131" s="85">
        <f t="shared" si="20"/>
        <v>14092.4</v>
      </c>
    </row>
    <row r="132" spans="2:9" x14ac:dyDescent="0.35">
      <c r="B132" s="13"/>
      <c r="C132" s="95"/>
      <c r="D132" s="105" t="s">
        <v>318</v>
      </c>
      <c r="E132" s="8" t="s">
        <v>232</v>
      </c>
      <c r="F132" s="79" t="s">
        <v>1</v>
      </c>
      <c r="G132" s="34">
        <v>4.4999999999999998E-2</v>
      </c>
      <c r="H132" s="88">
        <f>H92</f>
        <v>265300</v>
      </c>
      <c r="I132" s="85">
        <f t="shared" si="20"/>
        <v>11938.5</v>
      </c>
    </row>
    <row r="133" spans="2:9" x14ac:dyDescent="0.35">
      <c r="B133" s="13"/>
      <c r="C133" s="95"/>
      <c r="D133" s="105" t="s">
        <v>343</v>
      </c>
      <c r="E133" s="8" t="s">
        <v>233</v>
      </c>
      <c r="F133" s="79" t="s">
        <v>2</v>
      </c>
      <c r="G133" s="34">
        <v>1.3</v>
      </c>
      <c r="H133" s="88">
        <v>16000</v>
      </c>
      <c r="I133" s="85">
        <f t="shared" si="20"/>
        <v>20800</v>
      </c>
    </row>
    <row r="134" spans="2:9" x14ac:dyDescent="0.35">
      <c r="B134" s="14"/>
      <c r="C134" s="96"/>
      <c r="D134" s="135" t="s">
        <v>287</v>
      </c>
      <c r="E134" s="9" t="s">
        <v>199</v>
      </c>
      <c r="F134" s="81">
        <v>0</v>
      </c>
      <c r="G134" s="35">
        <v>0</v>
      </c>
      <c r="H134" s="77">
        <f>$K$2</f>
        <v>0.1</v>
      </c>
      <c r="I134" s="87">
        <f>H134*SUM(I128:I133)</f>
        <v>28144.309999999998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3"/>
  <sheetViews>
    <sheetView showGridLines="0"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87" sqref="E87"/>
    </sheetView>
  </sheetViews>
  <sheetFormatPr defaultRowHeight="14.5" x14ac:dyDescent="0.35"/>
  <cols>
    <col min="1" max="1" width="2.26953125" customWidth="1"/>
    <col min="2" max="2" width="12" style="10" customWidth="1"/>
    <col min="3" max="3" width="36" customWidth="1"/>
    <col min="4" max="4" width="8.7265625" style="82"/>
    <col min="5" max="5" width="13.453125" style="2" customWidth="1"/>
  </cols>
  <sheetData>
    <row r="1" spans="2:7" ht="7.5" customHeight="1" x14ac:dyDescent="0.35"/>
    <row r="2" spans="2:7" s="83" customFormat="1" ht="31.5" customHeight="1" x14ac:dyDescent="0.35">
      <c r="B2" s="99" t="s">
        <v>238</v>
      </c>
      <c r="C2" s="100" t="s">
        <v>239</v>
      </c>
      <c r="D2" s="101" t="s">
        <v>5</v>
      </c>
      <c r="E2" s="102" t="s">
        <v>9</v>
      </c>
    </row>
    <row r="3" spans="2:7" x14ac:dyDescent="0.35">
      <c r="B3" s="115" t="s">
        <v>240</v>
      </c>
      <c r="C3" s="116" t="s">
        <v>157</v>
      </c>
      <c r="D3" s="117" t="s">
        <v>81</v>
      </c>
      <c r="E3" s="118">
        <v>5000</v>
      </c>
    </row>
    <row r="4" spans="2:7" x14ac:dyDescent="0.35">
      <c r="B4" s="115" t="s">
        <v>240</v>
      </c>
      <c r="C4" s="116" t="s">
        <v>218</v>
      </c>
      <c r="D4" s="115" t="s">
        <v>2</v>
      </c>
      <c r="E4" s="118">
        <v>70000</v>
      </c>
    </row>
    <row r="5" spans="2:7" x14ac:dyDescent="0.35">
      <c r="B5" s="115" t="s">
        <v>241</v>
      </c>
      <c r="C5" s="116" t="s">
        <v>217</v>
      </c>
      <c r="D5" s="115" t="s">
        <v>2</v>
      </c>
      <c r="E5" s="118">
        <v>13837</v>
      </c>
    </row>
    <row r="6" spans="2:7" x14ac:dyDescent="0.35">
      <c r="B6" s="115"/>
      <c r="C6" s="116" t="s">
        <v>219</v>
      </c>
      <c r="D6" s="115" t="s">
        <v>2</v>
      </c>
      <c r="E6" s="118">
        <v>7000</v>
      </c>
    </row>
    <row r="7" spans="2:7" s="107" customFormat="1" x14ac:dyDescent="0.35">
      <c r="B7" s="115"/>
      <c r="C7" s="116" t="s">
        <v>166</v>
      </c>
      <c r="D7" s="117" t="s">
        <v>85</v>
      </c>
      <c r="E7" s="118">
        <v>3220</v>
      </c>
      <c r="G7" s="107" t="s">
        <v>237</v>
      </c>
    </row>
    <row r="8" spans="2:7" x14ac:dyDescent="0.35">
      <c r="B8" s="115"/>
      <c r="C8" s="116" t="s">
        <v>227</v>
      </c>
      <c r="D8" s="115" t="s">
        <v>3</v>
      </c>
      <c r="E8" s="118">
        <v>63000</v>
      </c>
    </row>
    <row r="9" spans="2:7" x14ac:dyDescent="0.35">
      <c r="B9" s="115"/>
      <c r="C9" s="116" t="s">
        <v>228</v>
      </c>
      <c r="D9" s="115" t="s">
        <v>1</v>
      </c>
      <c r="E9" s="118">
        <v>7245000</v>
      </c>
    </row>
    <row r="10" spans="2:7" s="1" customFormat="1" x14ac:dyDescent="0.35">
      <c r="B10" s="115"/>
      <c r="C10" s="116" t="s">
        <v>233</v>
      </c>
      <c r="D10" s="117" t="s">
        <v>2</v>
      </c>
      <c r="E10" s="118">
        <v>16000</v>
      </c>
    </row>
    <row r="11" spans="2:7" x14ac:dyDescent="0.35">
      <c r="B11" s="115"/>
      <c r="C11" s="119" t="s">
        <v>158</v>
      </c>
      <c r="D11" s="117" t="s">
        <v>208</v>
      </c>
      <c r="E11" s="118">
        <v>149400</v>
      </c>
    </row>
    <row r="12" spans="2:7" s="1" customFormat="1" x14ac:dyDescent="0.35">
      <c r="B12" s="115"/>
      <c r="C12" s="116" t="s">
        <v>210</v>
      </c>
      <c r="D12" s="117" t="s">
        <v>2</v>
      </c>
      <c r="E12" s="118">
        <v>13500</v>
      </c>
    </row>
    <row r="13" spans="2:7" x14ac:dyDescent="0.35">
      <c r="B13" s="115"/>
      <c r="C13" s="116" t="s">
        <v>26</v>
      </c>
      <c r="D13" s="115" t="s">
        <v>82</v>
      </c>
      <c r="E13" s="118">
        <v>25000000</v>
      </c>
    </row>
    <row r="14" spans="2:7" x14ac:dyDescent="0.35">
      <c r="B14" s="115"/>
      <c r="C14" s="116" t="s">
        <v>231</v>
      </c>
      <c r="D14" s="115" t="s">
        <v>235</v>
      </c>
      <c r="E14" s="118">
        <v>20400</v>
      </c>
    </row>
    <row r="15" spans="2:7" x14ac:dyDescent="0.35">
      <c r="B15" s="120"/>
      <c r="C15" s="119" t="s">
        <v>211</v>
      </c>
      <c r="D15" s="121" t="s">
        <v>204</v>
      </c>
      <c r="E15" s="122">
        <v>165000</v>
      </c>
    </row>
    <row r="16" spans="2:7" x14ac:dyDescent="0.35">
      <c r="B16" s="115"/>
      <c r="C16" s="119" t="s">
        <v>164</v>
      </c>
      <c r="D16" s="117" t="s">
        <v>1</v>
      </c>
      <c r="E16" s="118">
        <v>243300</v>
      </c>
    </row>
    <row r="17" spans="2:5" x14ac:dyDescent="0.35">
      <c r="B17" s="115"/>
      <c r="C17" s="116" t="s">
        <v>209</v>
      </c>
      <c r="D17" s="117" t="s">
        <v>2</v>
      </c>
      <c r="E17" s="118">
        <v>25900</v>
      </c>
    </row>
    <row r="18" spans="2:5" x14ac:dyDescent="0.35">
      <c r="B18" s="115"/>
      <c r="C18" s="119" t="s">
        <v>10</v>
      </c>
      <c r="D18" s="117" t="s">
        <v>204</v>
      </c>
      <c r="E18" s="122">
        <v>155000</v>
      </c>
    </row>
    <row r="19" spans="2:5" x14ac:dyDescent="0.35">
      <c r="B19" s="115"/>
      <c r="C19" s="116" t="s">
        <v>10</v>
      </c>
      <c r="D19" s="123" t="s">
        <v>204</v>
      </c>
      <c r="E19" s="122">
        <v>155000</v>
      </c>
    </row>
    <row r="20" spans="2:5" x14ac:dyDescent="0.35">
      <c r="B20" s="115"/>
      <c r="C20" s="116" t="s">
        <v>64</v>
      </c>
      <c r="D20" s="115" t="s">
        <v>82</v>
      </c>
      <c r="E20" s="118">
        <v>15000000</v>
      </c>
    </row>
    <row r="21" spans="2:5" x14ac:dyDescent="0.35">
      <c r="B21" s="115"/>
      <c r="C21" s="116" t="s">
        <v>220</v>
      </c>
      <c r="D21" s="115" t="s">
        <v>85</v>
      </c>
      <c r="E21" s="118">
        <v>5200</v>
      </c>
    </row>
    <row r="22" spans="2:5" x14ac:dyDescent="0.35">
      <c r="B22" s="115"/>
      <c r="C22" s="116" t="s">
        <v>41</v>
      </c>
      <c r="D22" s="117" t="s">
        <v>82</v>
      </c>
      <c r="E22" s="118">
        <v>2500000</v>
      </c>
    </row>
    <row r="23" spans="2:5" x14ac:dyDescent="0.35">
      <c r="B23" s="115"/>
      <c r="C23" s="116" t="s">
        <v>213</v>
      </c>
      <c r="D23" s="117" t="s">
        <v>2</v>
      </c>
      <c r="E23" s="118">
        <v>14800</v>
      </c>
    </row>
    <row r="24" spans="2:5" x14ac:dyDescent="0.35">
      <c r="B24" s="115"/>
      <c r="C24" s="116" t="s">
        <v>213</v>
      </c>
      <c r="D24" s="115" t="s">
        <v>2</v>
      </c>
      <c r="E24" s="118">
        <v>14800</v>
      </c>
    </row>
    <row r="25" spans="2:5" s="1" customFormat="1" x14ac:dyDescent="0.35">
      <c r="B25" s="115"/>
      <c r="C25" s="116" t="s">
        <v>213</v>
      </c>
      <c r="D25" s="115" t="s">
        <v>224</v>
      </c>
      <c r="E25" s="118">
        <v>10400</v>
      </c>
    </row>
    <row r="26" spans="2:5" x14ac:dyDescent="0.35">
      <c r="B26" s="115"/>
      <c r="C26" s="116" t="s">
        <v>213</v>
      </c>
      <c r="D26" s="115" t="s">
        <v>2</v>
      </c>
      <c r="E26" s="118" t="e">
        <f>#REF!</f>
        <v>#REF!</v>
      </c>
    </row>
    <row r="27" spans="2:5" x14ac:dyDescent="0.35">
      <c r="B27" s="115"/>
      <c r="C27" s="116" t="s">
        <v>199</v>
      </c>
      <c r="D27" s="117">
        <v>0</v>
      </c>
      <c r="E27" s="124">
        <v>0.05</v>
      </c>
    </row>
    <row r="28" spans="2:5" x14ac:dyDescent="0.35">
      <c r="B28" s="115"/>
      <c r="C28" s="116" t="s">
        <v>199</v>
      </c>
      <c r="D28" s="117">
        <v>0</v>
      </c>
      <c r="E28" s="124">
        <v>0.05</v>
      </c>
    </row>
    <row r="29" spans="2:5" x14ac:dyDescent="0.35">
      <c r="B29" s="115"/>
      <c r="C29" s="116" t="s">
        <v>199</v>
      </c>
      <c r="D29" s="117">
        <v>0</v>
      </c>
      <c r="E29" s="124">
        <v>0.05</v>
      </c>
    </row>
    <row r="30" spans="2:5" s="1" customFormat="1" x14ac:dyDescent="0.35">
      <c r="B30" s="115">
        <v>0</v>
      </c>
      <c r="C30" s="116" t="s">
        <v>199</v>
      </c>
      <c r="D30" s="117">
        <v>0</v>
      </c>
      <c r="E30" s="124">
        <v>0.05</v>
      </c>
    </row>
    <row r="31" spans="2:5" x14ac:dyDescent="0.35">
      <c r="B31" s="115"/>
      <c r="C31" s="116" t="s">
        <v>199</v>
      </c>
      <c r="D31" s="117">
        <v>0</v>
      </c>
      <c r="E31" s="124">
        <v>0.05</v>
      </c>
    </row>
    <row r="32" spans="2:5" x14ac:dyDescent="0.35">
      <c r="B32" s="115"/>
      <c r="C32" s="116" t="s">
        <v>199</v>
      </c>
      <c r="D32" s="117">
        <v>0</v>
      </c>
      <c r="E32" s="124">
        <v>0.05</v>
      </c>
    </row>
    <row r="33" spans="2:5" x14ac:dyDescent="0.35">
      <c r="B33" s="115"/>
      <c r="C33" s="116" t="s">
        <v>199</v>
      </c>
      <c r="D33" s="117">
        <v>0</v>
      </c>
      <c r="E33" s="124">
        <v>0.05</v>
      </c>
    </row>
    <row r="34" spans="2:5" x14ac:dyDescent="0.35">
      <c r="B34" s="115"/>
      <c r="C34" s="116" t="s">
        <v>199</v>
      </c>
      <c r="D34" s="117">
        <v>0</v>
      </c>
      <c r="E34" s="124">
        <v>0.05</v>
      </c>
    </row>
    <row r="35" spans="2:5" x14ac:dyDescent="0.35">
      <c r="B35" s="115"/>
      <c r="C35" s="116" t="s">
        <v>199</v>
      </c>
      <c r="D35" s="117">
        <v>0</v>
      </c>
      <c r="E35" s="124">
        <v>0.05</v>
      </c>
    </row>
    <row r="36" spans="2:5" x14ac:dyDescent="0.35">
      <c r="B36" s="115"/>
      <c r="C36" s="116" t="s">
        <v>199</v>
      </c>
      <c r="D36" s="117">
        <v>0</v>
      </c>
      <c r="E36" s="124">
        <v>0.05</v>
      </c>
    </row>
    <row r="37" spans="2:5" s="1" customFormat="1" x14ac:dyDescent="0.35">
      <c r="B37" s="115"/>
      <c r="C37" s="116" t="s">
        <v>199</v>
      </c>
      <c r="D37" s="117">
        <v>0</v>
      </c>
      <c r="E37" s="124">
        <v>0.05</v>
      </c>
    </row>
    <row r="38" spans="2:5" x14ac:dyDescent="0.35">
      <c r="B38" s="115"/>
      <c r="C38" s="116" t="s">
        <v>199</v>
      </c>
      <c r="D38" s="117">
        <v>0</v>
      </c>
      <c r="E38" s="124">
        <v>0.05</v>
      </c>
    </row>
    <row r="39" spans="2:5" x14ac:dyDescent="0.35">
      <c r="B39" s="115"/>
      <c r="C39" s="116" t="s">
        <v>199</v>
      </c>
      <c r="D39" s="117">
        <v>0</v>
      </c>
      <c r="E39" s="124">
        <v>0.05</v>
      </c>
    </row>
    <row r="40" spans="2:5" x14ac:dyDescent="0.35">
      <c r="B40" s="115"/>
      <c r="C40" s="116" t="s">
        <v>199</v>
      </c>
      <c r="D40" s="117">
        <v>0</v>
      </c>
      <c r="E40" s="124">
        <v>0.05</v>
      </c>
    </row>
    <row r="41" spans="2:5" x14ac:dyDescent="0.35">
      <c r="B41" s="115"/>
      <c r="C41" s="116" t="s">
        <v>199</v>
      </c>
      <c r="D41" s="117">
        <v>0</v>
      </c>
      <c r="E41" s="124">
        <v>0.05</v>
      </c>
    </row>
    <row r="42" spans="2:5" x14ac:dyDescent="0.35">
      <c r="B42" s="115"/>
      <c r="C42" s="116" t="s">
        <v>199</v>
      </c>
      <c r="D42" s="117">
        <v>0</v>
      </c>
      <c r="E42" s="124">
        <v>0.05</v>
      </c>
    </row>
    <row r="43" spans="2:5" s="1" customFormat="1" x14ac:dyDescent="0.35">
      <c r="B43" s="115"/>
      <c r="C43" s="116" t="s">
        <v>199</v>
      </c>
      <c r="D43" s="117">
        <v>0</v>
      </c>
      <c r="E43" s="124">
        <v>0.05</v>
      </c>
    </row>
    <row r="44" spans="2:5" x14ac:dyDescent="0.35">
      <c r="B44" s="115"/>
      <c r="C44" s="116" t="s">
        <v>199</v>
      </c>
      <c r="D44" s="117">
        <v>0</v>
      </c>
      <c r="E44" s="124">
        <v>0.05</v>
      </c>
    </row>
    <row r="45" spans="2:5" x14ac:dyDescent="0.35">
      <c r="B45" s="115"/>
      <c r="C45" s="116" t="s">
        <v>199</v>
      </c>
      <c r="D45" s="117">
        <v>0</v>
      </c>
      <c r="E45" s="124">
        <v>0.05</v>
      </c>
    </row>
    <row r="46" spans="2:5" x14ac:dyDescent="0.35">
      <c r="B46" s="115"/>
      <c r="C46" s="116" t="s">
        <v>199</v>
      </c>
      <c r="D46" s="117">
        <v>0</v>
      </c>
      <c r="E46" s="124">
        <v>0.05</v>
      </c>
    </row>
    <row r="47" spans="2:5" x14ac:dyDescent="0.35">
      <c r="B47" s="115"/>
      <c r="C47" s="116" t="s">
        <v>199</v>
      </c>
      <c r="D47" s="117">
        <v>0</v>
      </c>
      <c r="E47" s="124">
        <v>0.05</v>
      </c>
    </row>
    <row r="48" spans="2:5" x14ac:dyDescent="0.35">
      <c r="B48" s="115"/>
      <c r="C48" s="116" t="s">
        <v>199</v>
      </c>
      <c r="D48" s="117">
        <v>0</v>
      </c>
      <c r="E48" s="124">
        <v>0.05</v>
      </c>
    </row>
    <row r="49" spans="2:5" s="1" customFormat="1" x14ac:dyDescent="0.35">
      <c r="B49" s="115"/>
      <c r="C49" s="116" t="s">
        <v>199</v>
      </c>
      <c r="D49" s="117">
        <v>0</v>
      </c>
      <c r="E49" s="124">
        <v>0.05</v>
      </c>
    </row>
    <row r="50" spans="2:5" x14ac:dyDescent="0.35">
      <c r="B50" s="115"/>
      <c r="C50" s="116" t="s">
        <v>229</v>
      </c>
      <c r="D50" s="115" t="s">
        <v>234</v>
      </c>
      <c r="E50" s="118">
        <v>218000</v>
      </c>
    </row>
    <row r="51" spans="2:5" x14ac:dyDescent="0.35">
      <c r="B51" s="120" t="str">
        <f>Input!V64</f>
        <v>CA008</v>
      </c>
      <c r="C51" s="125" t="str">
        <f>Input!W64</f>
        <v>Painting work</v>
      </c>
      <c r="D51" s="120" t="str">
        <f>Input!X64</f>
        <v>m2</v>
      </c>
      <c r="E51" s="126"/>
    </row>
    <row r="52" spans="2:5" x14ac:dyDescent="0.35">
      <c r="B52" s="115"/>
      <c r="C52" s="119" t="s">
        <v>160</v>
      </c>
      <c r="D52" s="117" t="s">
        <v>205</v>
      </c>
      <c r="E52" s="118">
        <v>71900</v>
      </c>
    </row>
    <row r="53" spans="2:5" x14ac:dyDescent="0.35">
      <c r="B53" s="115"/>
      <c r="C53" s="116" t="s">
        <v>160</v>
      </c>
      <c r="D53" s="117" t="s">
        <v>205</v>
      </c>
      <c r="E53" s="118">
        <f>E44</f>
        <v>0.05</v>
      </c>
    </row>
    <row r="54" spans="2:5" x14ac:dyDescent="0.35">
      <c r="B54" s="115"/>
      <c r="C54" s="116" t="s">
        <v>160</v>
      </c>
      <c r="D54" s="115" t="s">
        <v>205</v>
      </c>
      <c r="E54" s="118">
        <f>E31</f>
        <v>0.05</v>
      </c>
    </row>
    <row r="55" spans="2:5" x14ac:dyDescent="0.35">
      <c r="B55" s="115"/>
      <c r="C55" s="116" t="s">
        <v>160</v>
      </c>
      <c r="D55" s="115" t="s">
        <v>205</v>
      </c>
      <c r="E55" s="118">
        <f>E22</f>
        <v>2500000</v>
      </c>
    </row>
    <row r="56" spans="2:5" s="1" customFormat="1" x14ac:dyDescent="0.35">
      <c r="B56" s="115"/>
      <c r="C56" s="116" t="s">
        <v>160</v>
      </c>
      <c r="D56" s="115" t="s">
        <v>205</v>
      </c>
      <c r="E56" s="118">
        <v>71900</v>
      </c>
    </row>
    <row r="57" spans="2:5" x14ac:dyDescent="0.35">
      <c r="B57" s="115"/>
      <c r="C57" s="116" t="s">
        <v>160</v>
      </c>
      <c r="D57" s="117" t="s">
        <v>205</v>
      </c>
      <c r="E57" s="118">
        <f>E20</f>
        <v>15000000</v>
      </c>
    </row>
    <row r="58" spans="2:5" x14ac:dyDescent="0.35">
      <c r="B58" s="115"/>
      <c r="C58" s="116" t="s">
        <v>200</v>
      </c>
      <c r="D58" s="117" t="s">
        <v>212</v>
      </c>
      <c r="E58" s="118">
        <v>105000</v>
      </c>
    </row>
    <row r="59" spans="2:5" x14ac:dyDescent="0.35">
      <c r="B59" s="120" t="str">
        <f>Input!V44</f>
        <v>CP001</v>
      </c>
      <c r="C59" s="125" t="str">
        <f>Input!W44</f>
        <v>Preparation work</v>
      </c>
      <c r="D59" s="127" t="s">
        <v>82</v>
      </c>
      <c r="E59" s="118"/>
    </row>
    <row r="60" spans="2:5" x14ac:dyDescent="0.35">
      <c r="B60" s="115"/>
      <c r="C60" s="116" t="s">
        <v>216</v>
      </c>
      <c r="D60" s="115" t="s">
        <v>2</v>
      </c>
      <c r="E60" s="118">
        <v>14070</v>
      </c>
    </row>
    <row r="61" spans="2:5" x14ac:dyDescent="0.35">
      <c r="B61" s="120" t="str">
        <f>Input!V48</f>
        <v>CS001</v>
      </c>
      <c r="C61" s="125" t="str">
        <f>Input!W48</f>
        <v>Rebar BJTD 40</v>
      </c>
      <c r="D61" s="120" t="str">
        <f>Input!X48</f>
        <v>kg</v>
      </c>
      <c r="E61" s="126"/>
    </row>
    <row r="62" spans="2:5" x14ac:dyDescent="0.35">
      <c r="B62" s="115"/>
      <c r="C62" s="116" t="s">
        <v>215</v>
      </c>
      <c r="D62" s="115" t="s">
        <v>1</v>
      </c>
      <c r="E62" s="118">
        <v>451000</v>
      </c>
    </row>
    <row r="63" spans="2:5" s="1" customFormat="1" x14ac:dyDescent="0.35">
      <c r="B63" s="115"/>
      <c r="C63" s="119" t="s">
        <v>161</v>
      </c>
      <c r="D63" s="117" t="s">
        <v>1</v>
      </c>
      <c r="E63" s="118">
        <v>265300</v>
      </c>
    </row>
    <row r="64" spans="2:5" x14ac:dyDescent="0.35">
      <c r="B64" s="115"/>
      <c r="C64" s="116" t="s">
        <v>161</v>
      </c>
      <c r="D64" s="117" t="s">
        <v>1</v>
      </c>
      <c r="E64" s="118">
        <f>E55</f>
        <v>2500000</v>
      </c>
    </row>
    <row r="65" spans="2:5" x14ac:dyDescent="0.35">
      <c r="B65" s="115"/>
      <c r="C65" s="116" t="s">
        <v>161</v>
      </c>
      <c r="D65" s="115" t="s">
        <v>1</v>
      </c>
      <c r="E65" s="118">
        <f>E51</f>
        <v>0</v>
      </c>
    </row>
    <row r="66" spans="2:5" s="71" customFormat="1" x14ac:dyDescent="0.35">
      <c r="B66" s="115"/>
      <c r="C66" s="116" t="s">
        <v>161</v>
      </c>
      <c r="D66" s="115" t="s">
        <v>1</v>
      </c>
      <c r="E66" s="118">
        <f>E33</f>
        <v>0.05</v>
      </c>
    </row>
    <row r="67" spans="2:5" s="4" customFormat="1" x14ac:dyDescent="0.35">
      <c r="B67" s="115"/>
      <c r="C67" s="116" t="s">
        <v>161</v>
      </c>
      <c r="D67" s="115" t="s">
        <v>1</v>
      </c>
      <c r="E67" s="118">
        <v>265300</v>
      </c>
    </row>
    <row r="68" spans="2:5" s="4" customFormat="1" x14ac:dyDescent="0.35">
      <c r="B68" s="115"/>
      <c r="C68" s="116" t="s">
        <v>232</v>
      </c>
      <c r="D68" s="117" t="s">
        <v>1</v>
      </c>
      <c r="E68" s="118">
        <f>E28</f>
        <v>0.05</v>
      </c>
    </row>
    <row r="69" spans="2:5" s="4" customFormat="1" x14ac:dyDescent="0.35">
      <c r="B69" s="120" t="str">
        <f>Input!V45</f>
        <v>CP002</v>
      </c>
      <c r="C69" s="125" t="str">
        <f>Input!W45</f>
        <v>Site clearing</v>
      </c>
      <c r="D69" s="120" t="str">
        <f>Input!X45</f>
        <v>m2</v>
      </c>
      <c r="E69" s="126"/>
    </row>
    <row r="70" spans="2:5" s="4" customFormat="1" x14ac:dyDescent="0.35">
      <c r="B70" s="120" t="str">
        <f>Input!V55</f>
        <v>CS008</v>
      </c>
      <c r="C70" s="125" t="str">
        <f>Input!W55</f>
        <v>Stiffener, HTB, &amp; conection plate</v>
      </c>
      <c r="D70" s="120" t="str">
        <f>Input!X55</f>
        <v>kg</v>
      </c>
      <c r="E70" s="126"/>
    </row>
    <row r="71" spans="2:5" s="4" customFormat="1" x14ac:dyDescent="0.35">
      <c r="B71" s="120" t="str">
        <f>Input!V59</f>
        <v>CA002</v>
      </c>
      <c r="C71" s="125" t="str">
        <f>Input!W59</f>
        <v>Stucco work</v>
      </c>
      <c r="D71" s="120" t="str">
        <f>Input!X59</f>
        <v>m2</v>
      </c>
      <c r="E71" s="126"/>
    </row>
    <row r="72" spans="2:5" s="6" customFormat="1" x14ac:dyDescent="0.35">
      <c r="B72" s="115"/>
      <c r="C72" s="116" t="s">
        <v>223</v>
      </c>
      <c r="D72" s="115" t="s">
        <v>1</v>
      </c>
      <c r="E72" s="118">
        <v>20325200</v>
      </c>
    </row>
    <row r="73" spans="2:5" s="1" customFormat="1" x14ac:dyDescent="0.35">
      <c r="B73" s="115"/>
      <c r="C73" s="116" t="s">
        <v>221</v>
      </c>
      <c r="D73" s="115" t="s">
        <v>1</v>
      </c>
      <c r="E73" s="118">
        <v>19430900</v>
      </c>
    </row>
    <row r="74" spans="2:5" x14ac:dyDescent="0.35">
      <c r="B74" s="115"/>
      <c r="C74" s="116" t="s">
        <v>202</v>
      </c>
      <c r="D74" s="117" t="s">
        <v>3</v>
      </c>
      <c r="E74" s="118">
        <v>59000</v>
      </c>
    </row>
    <row r="75" spans="2:5" x14ac:dyDescent="0.35">
      <c r="B75" s="120" t="str">
        <f>Input!V66</f>
        <v>CA010</v>
      </c>
      <c r="C75" s="125" t="str">
        <f>Input!W66</f>
        <v>Tile installation</v>
      </c>
      <c r="D75" s="120" t="str">
        <f>Input!X66</f>
        <v>m2</v>
      </c>
      <c r="E75" s="126"/>
    </row>
    <row r="76" spans="2:5" s="1" customFormat="1" x14ac:dyDescent="0.35">
      <c r="B76" s="115"/>
      <c r="C76" s="116" t="s">
        <v>230</v>
      </c>
      <c r="D76" s="115" t="s">
        <v>2</v>
      </c>
      <c r="E76" s="118">
        <v>36500</v>
      </c>
    </row>
    <row r="77" spans="2:5" x14ac:dyDescent="0.35">
      <c r="B77" s="115"/>
      <c r="C77" s="119" t="s">
        <v>206</v>
      </c>
      <c r="D77" s="117" t="s">
        <v>207</v>
      </c>
      <c r="E77" s="118">
        <v>6</v>
      </c>
    </row>
    <row r="78" spans="2:5" x14ac:dyDescent="0.35">
      <c r="B78" s="115"/>
      <c r="C78" s="116" t="s">
        <v>201</v>
      </c>
      <c r="D78" s="115" t="s">
        <v>2</v>
      </c>
      <c r="E78" s="118">
        <v>12500</v>
      </c>
    </row>
    <row r="79" spans="2:5" x14ac:dyDescent="0.35">
      <c r="B79" s="120" t="str">
        <f>Input!V53</f>
        <v>CS006</v>
      </c>
      <c r="C79" s="125" t="str">
        <f>Input!W53</f>
        <v>Wide flange steel</v>
      </c>
      <c r="D79" s="120" t="str">
        <f>Input!X53</f>
        <v>kg</v>
      </c>
      <c r="E79" s="126"/>
    </row>
    <row r="80" spans="2:5" x14ac:dyDescent="0.35">
      <c r="B80" s="120" t="str">
        <f>Input!V51</f>
        <v>CS004</v>
      </c>
      <c r="C80" s="125" t="str">
        <f>Input!W51</f>
        <v>Wood formwork</v>
      </c>
      <c r="D80" s="120" t="str">
        <f>Input!X51</f>
        <v>m2</v>
      </c>
      <c r="E80" s="126"/>
    </row>
    <row r="81" spans="2:5" x14ac:dyDescent="0.35">
      <c r="B81" s="120" t="str">
        <f>Input!V60</f>
        <v>CA003</v>
      </c>
      <c r="C81" s="125" t="str">
        <f>Input!W60</f>
        <v>Wooden door and windows</v>
      </c>
      <c r="D81" s="120" t="str">
        <f>Input!X60</f>
        <v>m2</v>
      </c>
      <c r="E81" s="126"/>
    </row>
    <row r="82" spans="2:5" x14ac:dyDescent="0.35">
      <c r="B82" s="115"/>
      <c r="C82" s="116" t="s">
        <v>222</v>
      </c>
      <c r="D82" s="115" t="s">
        <v>2</v>
      </c>
      <c r="E82" s="118">
        <v>13000</v>
      </c>
    </row>
    <row r="83" spans="2:5" x14ac:dyDescent="0.35">
      <c r="B83" s="115"/>
      <c r="C83" s="116" t="s">
        <v>214</v>
      </c>
      <c r="D83" s="117" t="s">
        <v>1</v>
      </c>
      <c r="E83" s="118">
        <v>3622500</v>
      </c>
    </row>
  </sheetData>
  <sortState ref="B3:H134">
    <sortCondition ref="C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15"/>
  <sheetViews>
    <sheetView showGridLines="0" zoomScale="85" zoomScaleNormal="85" workbookViewId="0">
      <selection activeCell="P49" sqref="P49"/>
    </sheetView>
  </sheetViews>
  <sheetFormatPr defaultRowHeight="14.5" x14ac:dyDescent="0.35"/>
  <cols>
    <col min="1" max="1" width="2.26953125" customWidth="1"/>
    <col min="2" max="2" width="4.54296875" style="10" hidden="1" customWidth="1"/>
    <col min="3" max="3" width="12" style="10" hidden="1" customWidth="1"/>
    <col min="4" max="4" width="12" style="131" customWidth="1"/>
    <col min="5" max="5" width="36" customWidth="1"/>
    <col min="6" max="6" width="8.7265625" style="82" customWidth="1"/>
    <col min="7" max="7" width="0" style="18" hidden="1" customWidth="1"/>
    <col min="8" max="8" width="13.453125" style="2" customWidth="1"/>
    <col min="9" max="9" width="14.6328125" style="2" hidden="1" customWidth="1"/>
    <col min="10" max="10" width="2.08984375" hidden="1" customWidth="1"/>
    <col min="11" max="11" width="0" hidden="1" customWidth="1"/>
    <col min="12" max="12" width="11.90625" style="4" hidden="1" customWidth="1"/>
    <col min="13" max="13" width="17.453125" style="4" hidden="1" customWidth="1"/>
    <col min="14" max="14" width="8.7265625" style="4"/>
    <col min="15" max="15" width="10" style="4" bestFit="1" customWidth="1"/>
    <col min="16" max="30" width="8.7265625" style="4"/>
  </cols>
  <sheetData>
    <row r="1" spans="2:30" ht="7.5" customHeight="1" x14ac:dyDescent="0.35"/>
    <row r="2" spans="2:30" ht="7.5" customHeight="1" x14ac:dyDescent="0.35"/>
    <row r="3" spans="2:30" ht="7.5" customHeight="1" x14ac:dyDescent="0.35"/>
    <row r="4" spans="2:30" ht="7.5" customHeight="1" x14ac:dyDescent="0.35"/>
    <row r="5" spans="2:30" ht="7.5" customHeight="1" x14ac:dyDescent="0.35"/>
    <row r="6" spans="2:30" s="83" customFormat="1" ht="31.5" customHeight="1" x14ac:dyDescent="0.35">
      <c r="B6" s="98" t="s">
        <v>203</v>
      </c>
      <c r="C6" s="149" t="s">
        <v>197</v>
      </c>
      <c r="D6" s="149" t="s">
        <v>238</v>
      </c>
      <c r="E6" s="98" t="s">
        <v>198</v>
      </c>
      <c r="F6" s="150" t="s">
        <v>5</v>
      </c>
      <c r="G6" s="150" t="s">
        <v>191</v>
      </c>
      <c r="H6" s="151" t="s">
        <v>9</v>
      </c>
      <c r="I6" s="152" t="s">
        <v>6</v>
      </c>
      <c r="K6" s="130">
        <v>0.1</v>
      </c>
      <c r="L6" s="137"/>
      <c r="M6" s="162" t="s">
        <v>368</v>
      </c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</row>
    <row r="7" spans="2:30" x14ac:dyDescent="0.35">
      <c r="B7" s="115"/>
      <c r="C7" s="120"/>
      <c r="D7" s="167" t="s">
        <v>193</v>
      </c>
      <c r="E7" s="119" t="s">
        <v>211</v>
      </c>
      <c r="F7" s="121" t="s">
        <v>204</v>
      </c>
      <c r="G7" s="143">
        <f>0.0145</f>
        <v>1.4500000000000001E-2</v>
      </c>
      <c r="H7" s="122">
        <v>165000</v>
      </c>
      <c r="I7" s="118">
        <f t="shared" ref="I7:I38" si="0">G7*H7</f>
        <v>2392.5</v>
      </c>
      <c r="K7" s="1" t="s">
        <v>358</v>
      </c>
      <c r="L7" s="138"/>
      <c r="M7" s="119"/>
      <c r="N7" s="138"/>
      <c r="O7" s="139"/>
      <c r="P7" s="138"/>
      <c r="Q7" s="138"/>
    </row>
    <row r="8" spans="2:30" hidden="1" x14ac:dyDescent="0.35">
      <c r="B8" s="123"/>
      <c r="C8" s="123"/>
      <c r="D8" s="167" t="s">
        <v>193</v>
      </c>
      <c r="E8" s="119" t="s">
        <v>211</v>
      </c>
      <c r="F8" s="121" t="s">
        <v>204</v>
      </c>
      <c r="G8" s="147">
        <v>2.5000000000000001E-2</v>
      </c>
      <c r="H8" s="122">
        <v>165000</v>
      </c>
      <c r="I8" s="118">
        <f t="shared" si="0"/>
        <v>4125</v>
      </c>
      <c r="K8" s="107" t="s">
        <v>359</v>
      </c>
      <c r="L8" s="138"/>
      <c r="M8" s="119"/>
      <c r="N8" s="142"/>
      <c r="O8" s="139"/>
      <c r="P8" s="139"/>
      <c r="Q8" s="138"/>
    </row>
    <row r="9" spans="2:30" hidden="1" x14ac:dyDescent="0.35">
      <c r="B9" s="120"/>
      <c r="C9" s="120"/>
      <c r="D9" s="167" t="s">
        <v>193</v>
      </c>
      <c r="E9" s="119" t="s">
        <v>211</v>
      </c>
      <c r="F9" s="121" t="s">
        <v>204</v>
      </c>
      <c r="G9" s="147">
        <v>2.5000000000000001E-2</v>
      </c>
      <c r="H9" s="122">
        <v>165000</v>
      </c>
      <c r="I9" s="118">
        <f t="shared" si="0"/>
        <v>4125</v>
      </c>
      <c r="K9" s="107" t="s">
        <v>360</v>
      </c>
      <c r="L9" s="138"/>
      <c r="M9" s="119"/>
      <c r="N9" s="142"/>
      <c r="O9" s="139"/>
      <c r="P9" s="139"/>
      <c r="Q9" s="138"/>
    </row>
    <row r="10" spans="2:30" s="107" customFormat="1" hidden="1" x14ac:dyDescent="0.35">
      <c r="B10" s="115"/>
      <c r="C10" s="115"/>
      <c r="D10" s="167" t="s">
        <v>193</v>
      </c>
      <c r="E10" s="119" t="s">
        <v>211</v>
      </c>
      <c r="F10" s="123" t="s">
        <v>204</v>
      </c>
      <c r="G10" s="143">
        <f>0.0077</f>
        <v>7.7000000000000002E-3</v>
      </c>
      <c r="H10" s="122">
        <v>165000</v>
      </c>
      <c r="I10" s="118">
        <f t="shared" si="0"/>
        <v>1270.5</v>
      </c>
      <c r="L10" s="138"/>
      <c r="M10" s="119"/>
      <c r="N10" s="142"/>
      <c r="O10" s="139"/>
      <c r="P10" s="139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</row>
    <row r="11" spans="2:30" hidden="1" x14ac:dyDescent="0.35">
      <c r="B11" s="120"/>
      <c r="C11" s="120"/>
      <c r="D11" s="167" t="s">
        <v>193</v>
      </c>
      <c r="E11" s="119" t="s">
        <v>211</v>
      </c>
      <c r="F11" s="123" t="s">
        <v>204</v>
      </c>
      <c r="G11" s="147">
        <f>0.028+0.275</f>
        <v>0.30300000000000005</v>
      </c>
      <c r="H11" s="122">
        <v>165000</v>
      </c>
      <c r="I11" s="118">
        <f t="shared" si="0"/>
        <v>49995.000000000007</v>
      </c>
      <c r="K11" s="107"/>
      <c r="L11" s="138"/>
      <c r="M11" s="119"/>
      <c r="N11" s="142"/>
      <c r="O11" s="139"/>
      <c r="P11" s="138"/>
      <c r="Q11" s="138"/>
    </row>
    <row r="12" spans="2:30" hidden="1" x14ac:dyDescent="0.35">
      <c r="B12" s="123"/>
      <c r="C12" s="123"/>
      <c r="D12" s="167" t="s">
        <v>193</v>
      </c>
      <c r="E12" s="119" t="s">
        <v>211</v>
      </c>
      <c r="F12" s="123" t="s">
        <v>204</v>
      </c>
      <c r="G12" s="147">
        <v>0.11</v>
      </c>
      <c r="H12" s="122">
        <v>165000</v>
      </c>
      <c r="I12" s="122">
        <f t="shared" si="0"/>
        <v>18150</v>
      </c>
      <c r="K12" s="107"/>
      <c r="L12" s="138"/>
      <c r="M12" s="119"/>
      <c r="N12" s="142"/>
      <c r="O12" s="139"/>
      <c r="P12" s="138"/>
      <c r="Q12" s="138"/>
    </row>
    <row r="13" spans="2:30" hidden="1" x14ac:dyDescent="0.35">
      <c r="B13" s="123"/>
      <c r="C13" s="123"/>
      <c r="D13" s="167" t="s">
        <v>193</v>
      </c>
      <c r="E13" s="119" t="s">
        <v>211</v>
      </c>
      <c r="F13" s="123" t="s">
        <v>204</v>
      </c>
      <c r="G13" s="147">
        <f>0.033+0.33</f>
        <v>0.36299999999999999</v>
      </c>
      <c r="H13" s="122">
        <v>165000</v>
      </c>
      <c r="I13" s="122">
        <f t="shared" si="0"/>
        <v>59895</v>
      </c>
      <c r="K13" s="107"/>
      <c r="L13" s="138"/>
      <c r="M13" s="119"/>
      <c r="N13" s="142"/>
      <c r="O13" s="139"/>
      <c r="P13" s="138"/>
      <c r="Q13" s="138"/>
    </row>
    <row r="14" spans="2:30" hidden="1" x14ac:dyDescent="0.35">
      <c r="B14" s="115"/>
      <c r="C14" s="115"/>
      <c r="D14" s="167" t="s">
        <v>193</v>
      </c>
      <c r="E14" s="119" t="s">
        <v>211</v>
      </c>
      <c r="F14" s="123" t="s">
        <v>204</v>
      </c>
      <c r="G14" s="143">
        <f>0.75+0.075</f>
        <v>0.82499999999999996</v>
      </c>
      <c r="H14" s="122">
        <v>165000</v>
      </c>
      <c r="I14" s="122">
        <f t="shared" si="0"/>
        <v>136125</v>
      </c>
      <c r="K14" s="107"/>
      <c r="L14" s="138"/>
      <c r="M14" s="119"/>
      <c r="N14" s="142"/>
      <c r="O14" s="139"/>
      <c r="P14" s="138"/>
      <c r="Q14" s="138"/>
    </row>
    <row r="15" spans="2:30" s="1" customFormat="1" hidden="1" x14ac:dyDescent="0.35">
      <c r="B15" s="115"/>
      <c r="C15" s="115"/>
      <c r="D15" s="167" t="s">
        <v>193</v>
      </c>
      <c r="E15" s="119" t="s">
        <v>211</v>
      </c>
      <c r="F15" s="123" t="s">
        <v>204</v>
      </c>
      <c r="G15" s="143">
        <v>6.6000000000000003E-2</v>
      </c>
      <c r="H15" s="122">
        <v>165000</v>
      </c>
      <c r="I15" s="122">
        <f t="shared" si="0"/>
        <v>10890</v>
      </c>
      <c r="K15" s="107"/>
      <c r="L15" s="138"/>
      <c r="M15" s="119"/>
      <c r="N15" s="142"/>
      <c r="O15" s="139"/>
      <c r="P15" s="139"/>
      <c r="Q15" s="138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</row>
    <row r="16" spans="2:30" hidden="1" x14ac:dyDescent="0.35">
      <c r="B16" s="115"/>
      <c r="C16" s="115"/>
      <c r="D16" s="167" t="s">
        <v>193</v>
      </c>
      <c r="E16" s="119" t="s">
        <v>211</v>
      </c>
      <c r="F16" s="123" t="s">
        <v>204</v>
      </c>
      <c r="G16" s="143">
        <v>6.6000000000000003E-2</v>
      </c>
      <c r="H16" s="122">
        <v>165000</v>
      </c>
      <c r="I16" s="122">
        <f t="shared" si="0"/>
        <v>10890</v>
      </c>
      <c r="K16" s="107"/>
      <c r="L16" s="138"/>
      <c r="M16" s="119"/>
      <c r="N16" s="142"/>
      <c r="O16" s="139"/>
      <c r="P16" s="139"/>
      <c r="Q16" s="138"/>
    </row>
    <row r="17" spans="2:30" hidden="1" x14ac:dyDescent="0.35">
      <c r="B17" s="115"/>
      <c r="C17" s="115"/>
      <c r="D17" s="167" t="s">
        <v>193</v>
      </c>
      <c r="E17" s="119" t="s">
        <v>211</v>
      </c>
      <c r="F17" s="123" t="s">
        <v>204</v>
      </c>
      <c r="G17" s="143">
        <v>4.4000000000000003E-3</v>
      </c>
      <c r="H17" s="122">
        <v>165000</v>
      </c>
      <c r="I17" s="122">
        <f t="shared" si="0"/>
        <v>726</v>
      </c>
      <c r="K17" s="107"/>
      <c r="L17" s="138"/>
      <c r="M17" s="119"/>
      <c r="N17" s="142"/>
      <c r="O17" s="139"/>
      <c r="P17" s="139"/>
      <c r="Q17" s="138"/>
    </row>
    <row r="18" spans="2:30" hidden="1" x14ac:dyDescent="0.35">
      <c r="B18" s="115"/>
      <c r="C18" s="115"/>
      <c r="D18" s="167" t="s">
        <v>193</v>
      </c>
      <c r="E18" s="119" t="s">
        <v>211</v>
      </c>
      <c r="F18" s="123" t="s">
        <v>204</v>
      </c>
      <c r="G18" s="143">
        <f>0.006*2</f>
        <v>1.2E-2</v>
      </c>
      <c r="H18" s="122">
        <v>165000</v>
      </c>
      <c r="I18" s="122">
        <f t="shared" si="0"/>
        <v>1980</v>
      </c>
      <c r="M18" s="116"/>
    </row>
    <row r="19" spans="2:30" hidden="1" x14ac:dyDescent="0.35">
      <c r="B19" s="115"/>
      <c r="C19" s="115"/>
      <c r="D19" s="167" t="s">
        <v>193</v>
      </c>
      <c r="E19" s="119" t="s">
        <v>211</v>
      </c>
      <c r="F19" s="123" t="s">
        <v>204</v>
      </c>
      <c r="G19" s="143">
        <f>0.008+0.075</f>
        <v>8.299999999999999E-2</v>
      </c>
      <c r="H19" s="122">
        <v>165000</v>
      </c>
      <c r="I19" s="122">
        <f t="shared" si="0"/>
        <v>13694.999999999998</v>
      </c>
      <c r="M19" s="116"/>
    </row>
    <row r="20" spans="2:30" hidden="1" x14ac:dyDescent="0.35">
      <c r="B20" s="115"/>
      <c r="C20" s="115"/>
      <c r="D20" s="167" t="s">
        <v>193</v>
      </c>
      <c r="E20" s="119" t="s">
        <v>211</v>
      </c>
      <c r="F20" s="123" t="s">
        <v>204</v>
      </c>
      <c r="G20" s="143">
        <f>0.11</f>
        <v>0.11</v>
      </c>
      <c r="H20" s="122">
        <v>165000</v>
      </c>
      <c r="I20" s="122">
        <f t="shared" si="0"/>
        <v>18150</v>
      </c>
      <c r="M20" s="116"/>
    </row>
    <row r="21" spans="2:30" hidden="1" x14ac:dyDescent="0.35">
      <c r="B21" s="115"/>
      <c r="C21" s="115"/>
      <c r="D21" s="167" t="s">
        <v>193</v>
      </c>
      <c r="E21" s="119" t="s">
        <v>211</v>
      </c>
      <c r="F21" s="123" t="s">
        <v>204</v>
      </c>
      <c r="G21" s="143">
        <f>0.015+0.15</f>
        <v>0.16499999999999998</v>
      </c>
      <c r="H21" s="122">
        <v>165000</v>
      </c>
      <c r="I21" s="122">
        <f t="shared" si="0"/>
        <v>27224.999999999996</v>
      </c>
      <c r="M21" s="116"/>
    </row>
    <row r="22" spans="2:30" hidden="1" x14ac:dyDescent="0.35">
      <c r="B22" s="115"/>
      <c r="C22" s="115"/>
      <c r="D22" s="167" t="s">
        <v>193</v>
      </c>
      <c r="E22" s="119" t="s">
        <v>211</v>
      </c>
      <c r="F22" s="123" t="s">
        <v>204</v>
      </c>
      <c r="G22" s="143">
        <f>0.105+1.05</f>
        <v>1.155</v>
      </c>
      <c r="H22" s="122">
        <v>165000</v>
      </c>
      <c r="I22" s="122">
        <f t="shared" si="0"/>
        <v>190575</v>
      </c>
      <c r="M22" s="116"/>
    </row>
    <row r="23" spans="2:30" hidden="1" x14ac:dyDescent="0.35">
      <c r="B23" s="115"/>
      <c r="C23" s="115"/>
      <c r="D23" s="167" t="s">
        <v>193</v>
      </c>
      <c r="E23" s="119" t="s">
        <v>211</v>
      </c>
      <c r="F23" s="123" t="s">
        <v>204</v>
      </c>
      <c r="G23" s="143">
        <f>21+2.1</f>
        <v>23.1</v>
      </c>
      <c r="H23" s="122">
        <v>165000</v>
      </c>
      <c r="I23" s="122">
        <f t="shared" si="0"/>
        <v>3811500.0000000005</v>
      </c>
      <c r="M23" s="116"/>
    </row>
    <row r="24" spans="2:30" s="1" customFormat="1" hidden="1" x14ac:dyDescent="0.35">
      <c r="B24" s="115"/>
      <c r="C24" s="115"/>
      <c r="D24" s="167" t="s">
        <v>193</v>
      </c>
      <c r="E24" s="119" t="s">
        <v>211</v>
      </c>
      <c r="F24" s="123" t="s">
        <v>204</v>
      </c>
      <c r="G24" s="143">
        <f>0.009+0.32</f>
        <v>0.32900000000000001</v>
      </c>
      <c r="H24" s="122">
        <v>165000</v>
      </c>
      <c r="I24" s="122">
        <f t="shared" si="0"/>
        <v>54285</v>
      </c>
      <c r="L24" s="71"/>
      <c r="M24" s="125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</row>
    <row r="25" spans="2:30" hidden="1" x14ac:dyDescent="0.35">
      <c r="B25" s="115"/>
      <c r="C25" s="115"/>
      <c r="D25" s="167" t="s">
        <v>193</v>
      </c>
      <c r="E25" s="119" t="s">
        <v>211</v>
      </c>
      <c r="F25" s="123" t="s">
        <v>204</v>
      </c>
      <c r="G25" s="143">
        <f>0.0063+0.063</f>
        <v>6.93E-2</v>
      </c>
      <c r="H25" s="122">
        <v>165000</v>
      </c>
      <c r="I25" s="118">
        <f t="shared" si="0"/>
        <v>11434.5</v>
      </c>
      <c r="M25" s="116"/>
    </row>
    <row r="26" spans="2:30" hidden="1" x14ac:dyDescent="0.35">
      <c r="B26" s="115"/>
      <c r="C26" s="115"/>
      <c r="D26" s="167" t="s">
        <v>193</v>
      </c>
      <c r="E26" s="119" t="s">
        <v>211</v>
      </c>
      <c r="F26" s="123" t="s">
        <v>204</v>
      </c>
      <c r="G26" s="143">
        <f>0.035+0.35</f>
        <v>0.38500000000000001</v>
      </c>
      <c r="H26" s="122">
        <v>165000</v>
      </c>
      <c r="I26" s="118">
        <f t="shared" si="0"/>
        <v>63525</v>
      </c>
      <c r="M26" s="116"/>
    </row>
    <row r="27" spans="2:30" x14ac:dyDescent="0.35">
      <c r="B27" s="115"/>
      <c r="C27" s="115"/>
      <c r="D27" s="167" t="s">
        <v>194</v>
      </c>
      <c r="E27" s="119" t="s">
        <v>10</v>
      </c>
      <c r="F27" s="117" t="s">
        <v>204</v>
      </c>
      <c r="G27" s="143">
        <v>0.1</v>
      </c>
      <c r="H27" s="122">
        <v>155000</v>
      </c>
      <c r="I27" s="118">
        <f t="shared" si="0"/>
        <v>15500</v>
      </c>
      <c r="M27" s="116"/>
    </row>
    <row r="28" spans="2:30" hidden="1" x14ac:dyDescent="0.35">
      <c r="B28" s="115"/>
      <c r="C28" s="115"/>
      <c r="D28" s="167" t="s">
        <v>194</v>
      </c>
      <c r="E28" s="119" t="s">
        <v>10</v>
      </c>
      <c r="F28" s="117" t="s">
        <v>204</v>
      </c>
      <c r="G28" s="143">
        <v>0.05</v>
      </c>
      <c r="H28" s="122">
        <v>155000</v>
      </c>
      <c r="I28" s="118">
        <f t="shared" si="0"/>
        <v>7750</v>
      </c>
      <c r="M28" s="116"/>
    </row>
    <row r="29" spans="2:30" hidden="1" x14ac:dyDescent="0.35">
      <c r="B29" s="115"/>
      <c r="C29" s="115"/>
      <c r="D29" s="167" t="s">
        <v>194</v>
      </c>
      <c r="E29" s="116" t="s">
        <v>10</v>
      </c>
      <c r="F29" s="117" t="s">
        <v>204</v>
      </c>
      <c r="G29" s="143">
        <v>0.75</v>
      </c>
      <c r="H29" s="122">
        <v>155000</v>
      </c>
      <c r="I29" s="118">
        <f t="shared" si="0"/>
        <v>116250</v>
      </c>
      <c r="M29" s="116"/>
    </row>
    <row r="30" spans="2:30" hidden="1" x14ac:dyDescent="0.35">
      <c r="B30" s="115"/>
      <c r="C30" s="115"/>
      <c r="D30" s="167" t="s">
        <v>194</v>
      </c>
      <c r="E30" s="119" t="s">
        <v>10</v>
      </c>
      <c r="F30" s="117" t="s">
        <v>204</v>
      </c>
      <c r="G30" s="143">
        <v>7.0000000000000001E-3</v>
      </c>
      <c r="H30" s="122">
        <v>155000</v>
      </c>
      <c r="I30" s="118">
        <f t="shared" si="0"/>
        <v>1085</v>
      </c>
      <c r="M30" s="116"/>
    </row>
    <row r="31" spans="2:30" hidden="1" x14ac:dyDescent="0.35">
      <c r="B31" s="115"/>
      <c r="C31" s="115"/>
      <c r="D31" s="167" t="s">
        <v>194</v>
      </c>
      <c r="E31" s="119" t="s">
        <v>10</v>
      </c>
      <c r="F31" s="117" t="s">
        <v>204</v>
      </c>
      <c r="G31" s="147">
        <v>1.65</v>
      </c>
      <c r="H31" s="122">
        <v>155000</v>
      </c>
      <c r="I31" s="118">
        <f t="shared" si="0"/>
        <v>255750</v>
      </c>
      <c r="M31" s="116"/>
    </row>
    <row r="32" spans="2:30" s="107" customFormat="1" hidden="1" x14ac:dyDescent="0.35">
      <c r="B32" s="115"/>
      <c r="C32" s="115"/>
      <c r="D32" s="167" t="s">
        <v>194</v>
      </c>
      <c r="E32" s="116" t="s">
        <v>10</v>
      </c>
      <c r="F32" s="117" t="s">
        <v>204</v>
      </c>
      <c r="G32" s="143">
        <v>0.2</v>
      </c>
      <c r="H32" s="122">
        <v>155000</v>
      </c>
      <c r="I32" s="122">
        <f t="shared" si="0"/>
        <v>31000</v>
      </c>
      <c r="L32" s="138"/>
      <c r="M32" s="119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</row>
    <row r="33" spans="2:30" hidden="1" x14ac:dyDescent="0.35">
      <c r="B33" s="115"/>
      <c r="C33" s="115"/>
      <c r="D33" s="167" t="s">
        <v>194</v>
      </c>
      <c r="E33" s="116" t="s">
        <v>10</v>
      </c>
      <c r="F33" s="123" t="s">
        <v>204</v>
      </c>
      <c r="G33" s="143">
        <v>0.66</v>
      </c>
      <c r="H33" s="122">
        <v>155000</v>
      </c>
      <c r="I33" s="122">
        <f t="shared" si="0"/>
        <v>102300</v>
      </c>
      <c r="M33" s="116"/>
    </row>
    <row r="34" spans="2:30" hidden="1" x14ac:dyDescent="0.35">
      <c r="B34" s="115"/>
      <c r="C34" s="115"/>
      <c r="D34" s="167" t="s">
        <v>194</v>
      </c>
      <c r="E34" s="116" t="s">
        <v>10</v>
      </c>
      <c r="F34" s="123" t="s">
        <v>204</v>
      </c>
      <c r="G34" s="143">
        <v>1.5</v>
      </c>
      <c r="H34" s="122">
        <v>155000</v>
      </c>
      <c r="I34" s="122">
        <f t="shared" si="0"/>
        <v>232500</v>
      </c>
      <c r="M34" s="116"/>
    </row>
    <row r="35" spans="2:30" hidden="1" x14ac:dyDescent="0.35">
      <c r="B35" s="115"/>
      <c r="C35" s="115"/>
      <c r="D35" s="167" t="s">
        <v>194</v>
      </c>
      <c r="E35" s="116" t="s">
        <v>10</v>
      </c>
      <c r="F35" s="123" t="s">
        <v>204</v>
      </c>
      <c r="G35" s="143">
        <v>0.06</v>
      </c>
      <c r="H35" s="122">
        <v>155000</v>
      </c>
      <c r="I35" s="122">
        <f t="shared" si="0"/>
        <v>9300</v>
      </c>
      <c r="M35" s="116"/>
    </row>
    <row r="36" spans="2:30" hidden="1" x14ac:dyDescent="0.35">
      <c r="B36" s="115"/>
      <c r="C36" s="115"/>
      <c r="D36" s="167" t="s">
        <v>194</v>
      </c>
      <c r="E36" s="116" t="s">
        <v>10</v>
      </c>
      <c r="F36" s="123" t="s">
        <v>204</v>
      </c>
      <c r="G36" s="143">
        <v>0.06</v>
      </c>
      <c r="H36" s="122">
        <v>155000</v>
      </c>
      <c r="I36" s="122">
        <f t="shared" si="0"/>
        <v>9300</v>
      </c>
      <c r="M36" s="116"/>
    </row>
    <row r="37" spans="2:30" hidden="1" x14ac:dyDescent="0.35">
      <c r="B37" s="115"/>
      <c r="C37" s="115"/>
      <c r="D37" s="167" t="s">
        <v>194</v>
      </c>
      <c r="E37" s="116" t="s">
        <v>10</v>
      </c>
      <c r="F37" s="123" t="s">
        <v>204</v>
      </c>
      <c r="G37" s="143">
        <v>8.8999999999999999E-3</v>
      </c>
      <c r="H37" s="122">
        <v>155000</v>
      </c>
      <c r="I37" s="122">
        <f t="shared" si="0"/>
        <v>1379.5</v>
      </c>
      <c r="M37" s="116"/>
    </row>
    <row r="38" spans="2:30" s="107" customFormat="1" hidden="1" x14ac:dyDescent="0.35">
      <c r="B38" s="115"/>
      <c r="C38" s="115"/>
      <c r="D38" s="167" t="s">
        <v>194</v>
      </c>
      <c r="E38" s="116" t="s">
        <v>10</v>
      </c>
      <c r="F38" s="123" t="s">
        <v>204</v>
      </c>
      <c r="G38" s="143">
        <v>6.0000000000000001E-3</v>
      </c>
      <c r="H38" s="122">
        <v>155000</v>
      </c>
      <c r="I38" s="122">
        <f t="shared" si="0"/>
        <v>930</v>
      </c>
      <c r="L38" s="138"/>
      <c r="M38" s="119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</row>
    <row r="39" spans="2:30" hidden="1" x14ac:dyDescent="0.35">
      <c r="B39" s="115"/>
      <c r="C39" s="115"/>
      <c r="D39" s="167" t="s">
        <v>194</v>
      </c>
      <c r="E39" s="116" t="s">
        <v>10</v>
      </c>
      <c r="F39" s="123" t="s">
        <v>204</v>
      </c>
      <c r="G39" s="143">
        <v>0.15</v>
      </c>
      <c r="H39" s="122">
        <v>155000</v>
      </c>
      <c r="I39" s="122">
        <f t="shared" ref="I39:I70" si="1">G39*H39</f>
        <v>23250</v>
      </c>
      <c r="M39" s="116"/>
    </row>
    <row r="40" spans="2:30" hidden="1" x14ac:dyDescent="0.35">
      <c r="B40" s="115"/>
      <c r="C40" s="115"/>
      <c r="D40" s="167" t="s">
        <v>194</v>
      </c>
      <c r="E40" s="116" t="s">
        <v>10</v>
      </c>
      <c r="F40" s="123" t="s">
        <v>204</v>
      </c>
      <c r="G40" s="143">
        <v>0.3</v>
      </c>
      <c r="H40" s="122">
        <v>155000</v>
      </c>
      <c r="I40" s="122">
        <f t="shared" si="1"/>
        <v>46500</v>
      </c>
      <c r="M40" s="116"/>
    </row>
    <row r="41" spans="2:30" hidden="1" x14ac:dyDescent="0.35">
      <c r="B41" s="115"/>
      <c r="C41" s="115"/>
      <c r="D41" s="167" t="s">
        <v>194</v>
      </c>
      <c r="E41" s="116" t="s">
        <v>10</v>
      </c>
      <c r="F41" s="123" t="s">
        <v>204</v>
      </c>
      <c r="G41" s="143">
        <v>0.3</v>
      </c>
      <c r="H41" s="122">
        <v>155000</v>
      </c>
      <c r="I41" s="122">
        <f t="shared" si="1"/>
        <v>46500</v>
      </c>
      <c r="M41" s="116"/>
    </row>
    <row r="42" spans="2:30" hidden="1" x14ac:dyDescent="0.35">
      <c r="B42" s="115"/>
      <c r="C42" s="115"/>
      <c r="D42" s="167" t="s">
        <v>194</v>
      </c>
      <c r="E42" s="116" t="s">
        <v>10</v>
      </c>
      <c r="F42" s="123" t="s">
        <v>204</v>
      </c>
      <c r="G42" s="143">
        <v>0.35</v>
      </c>
      <c r="H42" s="122">
        <v>155000</v>
      </c>
      <c r="I42" s="122">
        <f t="shared" si="1"/>
        <v>54250</v>
      </c>
      <c r="M42" s="116"/>
    </row>
    <row r="43" spans="2:30" hidden="1" x14ac:dyDescent="0.35">
      <c r="B43" s="115"/>
      <c r="C43" s="115"/>
      <c r="D43" s="167" t="s">
        <v>194</v>
      </c>
      <c r="E43" s="116" t="s">
        <v>10</v>
      </c>
      <c r="F43" s="123" t="s">
        <v>204</v>
      </c>
      <c r="G43" s="143">
        <v>7</v>
      </c>
      <c r="H43" s="122">
        <v>155000</v>
      </c>
      <c r="I43" s="122">
        <f t="shared" si="1"/>
        <v>1085000</v>
      </c>
      <c r="M43" s="116"/>
    </row>
    <row r="44" spans="2:30" hidden="1" x14ac:dyDescent="0.35">
      <c r="B44" s="115"/>
      <c r="C44" s="115"/>
      <c r="D44" s="167" t="s">
        <v>194</v>
      </c>
      <c r="E44" s="116" t="s">
        <v>10</v>
      </c>
      <c r="F44" s="123" t="s">
        <v>204</v>
      </c>
      <c r="G44" s="143">
        <f>0.18</f>
        <v>0.18</v>
      </c>
      <c r="H44" s="122">
        <v>155000</v>
      </c>
      <c r="I44" s="122">
        <f t="shared" si="1"/>
        <v>27900</v>
      </c>
      <c r="M44" s="116"/>
    </row>
    <row r="45" spans="2:30" hidden="1" x14ac:dyDescent="0.35">
      <c r="B45" s="115"/>
      <c r="C45" s="115"/>
      <c r="D45" s="167" t="s">
        <v>194</v>
      </c>
      <c r="E45" s="116" t="s">
        <v>10</v>
      </c>
      <c r="F45" s="123" t="s">
        <v>204</v>
      </c>
      <c r="G45" s="143">
        <v>0.02</v>
      </c>
      <c r="H45" s="122">
        <v>155000</v>
      </c>
      <c r="I45" s="118">
        <f t="shared" si="1"/>
        <v>3100</v>
      </c>
      <c r="M45" s="116"/>
    </row>
    <row r="46" spans="2:30" hidden="1" x14ac:dyDescent="0.35">
      <c r="B46" s="115"/>
      <c r="C46" s="115"/>
      <c r="D46" s="167" t="s">
        <v>194</v>
      </c>
      <c r="E46" s="116" t="s">
        <v>10</v>
      </c>
      <c r="F46" s="123" t="s">
        <v>204</v>
      </c>
      <c r="G46" s="143">
        <v>0.7</v>
      </c>
      <c r="H46" s="122">
        <v>155000</v>
      </c>
      <c r="I46" s="118">
        <f t="shared" si="1"/>
        <v>108500</v>
      </c>
      <c r="M46" s="116"/>
    </row>
    <row r="47" spans="2:30" x14ac:dyDescent="0.35">
      <c r="B47" s="115"/>
      <c r="C47" s="115"/>
      <c r="D47" s="167" t="s">
        <v>310</v>
      </c>
      <c r="E47" s="116" t="s">
        <v>41</v>
      </c>
      <c r="F47" s="117" t="s">
        <v>82</v>
      </c>
      <c r="G47" s="143">
        <v>1</v>
      </c>
      <c r="H47" s="118">
        <v>2500000</v>
      </c>
      <c r="I47" s="118">
        <f t="shared" si="1"/>
        <v>2500000</v>
      </c>
      <c r="M47" s="116"/>
    </row>
    <row r="48" spans="2:30" x14ac:dyDescent="0.35">
      <c r="B48" s="115"/>
      <c r="C48" s="115"/>
      <c r="D48" s="167" t="s">
        <v>311</v>
      </c>
      <c r="E48" s="116" t="s">
        <v>157</v>
      </c>
      <c r="F48" s="117" t="s">
        <v>81</v>
      </c>
      <c r="G48" s="143">
        <v>1</v>
      </c>
      <c r="H48" s="118">
        <v>5000</v>
      </c>
      <c r="I48" s="118">
        <f t="shared" si="1"/>
        <v>5000</v>
      </c>
      <c r="M48" s="116"/>
    </row>
    <row r="49" spans="2:13" x14ac:dyDescent="0.35">
      <c r="B49" s="115"/>
      <c r="C49" s="115"/>
      <c r="D49" s="167" t="s">
        <v>312</v>
      </c>
      <c r="E49" s="116" t="s">
        <v>26</v>
      </c>
      <c r="F49" s="115" t="s">
        <v>82</v>
      </c>
      <c r="G49" s="143">
        <v>1</v>
      </c>
      <c r="H49" s="118">
        <v>25000000</v>
      </c>
      <c r="I49" s="118">
        <f t="shared" si="1"/>
        <v>25000000</v>
      </c>
      <c r="M49" s="116"/>
    </row>
    <row r="50" spans="2:13" x14ac:dyDescent="0.35">
      <c r="B50" s="115"/>
      <c r="C50" s="115"/>
      <c r="D50" s="167" t="s">
        <v>313</v>
      </c>
      <c r="E50" s="116" t="s">
        <v>64</v>
      </c>
      <c r="F50" s="115" t="s">
        <v>82</v>
      </c>
      <c r="G50" s="143">
        <v>1</v>
      </c>
      <c r="H50" s="118">
        <v>15000000</v>
      </c>
      <c r="I50" s="118">
        <f t="shared" si="1"/>
        <v>15000000</v>
      </c>
      <c r="M50" s="116"/>
    </row>
    <row r="51" spans="2:13" x14ac:dyDescent="0.35">
      <c r="B51" s="115"/>
      <c r="C51" s="115"/>
      <c r="D51" s="123" t="s">
        <v>314</v>
      </c>
      <c r="E51" s="116" t="s">
        <v>209</v>
      </c>
      <c r="F51" s="117" t="s">
        <v>2</v>
      </c>
      <c r="G51" s="143">
        <v>1.4999999999999999E-2</v>
      </c>
      <c r="H51" s="118">
        <v>25900</v>
      </c>
      <c r="I51" s="118">
        <f t="shared" si="1"/>
        <v>388.5</v>
      </c>
      <c r="M51" s="116"/>
    </row>
    <row r="52" spans="2:13" x14ac:dyDescent="0.35">
      <c r="B52" s="115"/>
      <c r="C52" s="115"/>
      <c r="D52" s="123" t="s">
        <v>315</v>
      </c>
      <c r="E52" s="116" t="s">
        <v>210</v>
      </c>
      <c r="F52" s="117" t="s">
        <v>2</v>
      </c>
      <c r="G52" s="143">
        <v>1.05</v>
      </c>
      <c r="H52" s="118">
        <v>13500</v>
      </c>
      <c r="I52" s="118">
        <f t="shared" si="1"/>
        <v>14175</v>
      </c>
      <c r="M52" s="116"/>
    </row>
    <row r="53" spans="2:13" x14ac:dyDescent="0.35">
      <c r="B53" s="115"/>
      <c r="C53" s="115"/>
      <c r="D53" s="123" t="s">
        <v>316</v>
      </c>
      <c r="E53" s="119" t="s">
        <v>158</v>
      </c>
      <c r="F53" s="117" t="s">
        <v>208</v>
      </c>
      <c r="G53" s="143">
        <v>7.6E-3</v>
      </c>
      <c r="H53" s="118">
        <v>149400</v>
      </c>
      <c r="I53" s="118">
        <f t="shared" si="1"/>
        <v>1135.44</v>
      </c>
      <c r="M53" s="116"/>
    </row>
    <row r="54" spans="2:13" x14ac:dyDescent="0.35">
      <c r="B54" s="115"/>
      <c r="C54" s="115"/>
      <c r="D54" s="123" t="s">
        <v>317</v>
      </c>
      <c r="E54" s="119" t="s">
        <v>160</v>
      </c>
      <c r="F54" s="117" t="s">
        <v>205</v>
      </c>
      <c r="G54" s="143">
        <v>0.65</v>
      </c>
      <c r="H54" s="118">
        <v>71900</v>
      </c>
      <c r="I54" s="118">
        <f t="shared" si="1"/>
        <v>46735</v>
      </c>
      <c r="M54" s="116"/>
    </row>
    <row r="55" spans="2:13" hidden="1" x14ac:dyDescent="0.35">
      <c r="B55" s="115"/>
      <c r="C55" s="115"/>
      <c r="D55" s="123" t="s">
        <v>317</v>
      </c>
      <c r="E55" s="116" t="s">
        <v>160</v>
      </c>
      <c r="F55" s="117" t="s">
        <v>205</v>
      </c>
      <c r="G55" s="143">
        <f>15/40</f>
        <v>0.375</v>
      </c>
      <c r="H55" s="118">
        <f>H47</f>
        <v>2500000</v>
      </c>
      <c r="I55" s="122">
        <f t="shared" si="1"/>
        <v>937500</v>
      </c>
      <c r="M55" s="116"/>
    </row>
    <row r="56" spans="2:13" hidden="1" x14ac:dyDescent="0.35">
      <c r="B56" s="115"/>
      <c r="C56" s="115"/>
      <c r="D56" s="123" t="s">
        <v>317</v>
      </c>
      <c r="E56" s="116" t="s">
        <v>160</v>
      </c>
      <c r="F56" s="115" t="s">
        <v>205</v>
      </c>
      <c r="G56" s="143">
        <v>2.72</v>
      </c>
      <c r="H56" s="118">
        <f>H36</f>
        <v>155000</v>
      </c>
      <c r="I56" s="122">
        <f t="shared" si="1"/>
        <v>421600.00000000006</v>
      </c>
      <c r="M56" s="116"/>
    </row>
    <row r="57" spans="2:13" hidden="1" x14ac:dyDescent="0.35">
      <c r="B57" s="115"/>
      <c r="C57" s="115"/>
      <c r="D57" s="123" t="s">
        <v>317</v>
      </c>
      <c r="E57" s="116" t="s">
        <v>160</v>
      </c>
      <c r="F57" s="115" t="s">
        <v>205</v>
      </c>
      <c r="G57" s="143">
        <v>0.23</v>
      </c>
      <c r="H57" s="118">
        <f>H30</f>
        <v>155000</v>
      </c>
      <c r="I57" s="122">
        <f t="shared" si="1"/>
        <v>35650</v>
      </c>
      <c r="M57" s="116"/>
    </row>
    <row r="58" spans="2:13" hidden="1" x14ac:dyDescent="0.35">
      <c r="B58" s="115"/>
      <c r="C58" s="115"/>
      <c r="D58" s="123" t="s">
        <v>317</v>
      </c>
      <c r="E58" s="116" t="s">
        <v>160</v>
      </c>
      <c r="F58" s="115" t="s">
        <v>205</v>
      </c>
      <c r="G58" s="143">
        <v>0.125</v>
      </c>
      <c r="H58" s="118">
        <v>71900</v>
      </c>
      <c r="I58" s="122">
        <f t="shared" si="1"/>
        <v>8987.5</v>
      </c>
      <c r="M58" s="116"/>
    </row>
    <row r="59" spans="2:13" hidden="1" x14ac:dyDescent="0.35">
      <c r="B59" s="115"/>
      <c r="C59" s="115"/>
      <c r="D59" s="123" t="s">
        <v>317</v>
      </c>
      <c r="E59" s="116" t="s">
        <v>160</v>
      </c>
      <c r="F59" s="117" t="s">
        <v>205</v>
      </c>
      <c r="G59" s="143">
        <v>0.19600000000000001</v>
      </c>
      <c r="H59" s="118">
        <f>H26</f>
        <v>165000</v>
      </c>
      <c r="I59" s="118">
        <f t="shared" si="1"/>
        <v>32340</v>
      </c>
      <c r="M59" s="116"/>
    </row>
    <row r="60" spans="2:13" x14ac:dyDescent="0.35">
      <c r="B60" s="115"/>
      <c r="C60" s="115"/>
      <c r="D60" s="123" t="s">
        <v>318</v>
      </c>
      <c r="E60" s="119" t="s">
        <v>161</v>
      </c>
      <c r="F60" s="117" t="s">
        <v>1</v>
      </c>
      <c r="G60" s="143">
        <v>0.42599999999999999</v>
      </c>
      <c r="H60" s="118">
        <v>265300</v>
      </c>
      <c r="I60" s="118">
        <f t="shared" si="1"/>
        <v>113017.8</v>
      </c>
      <c r="M60" s="116"/>
    </row>
    <row r="61" spans="2:13" hidden="1" x14ac:dyDescent="0.35">
      <c r="B61" s="115"/>
      <c r="C61" s="115"/>
      <c r="D61" s="123" t="s">
        <v>318</v>
      </c>
      <c r="E61" s="116" t="s">
        <v>161</v>
      </c>
      <c r="F61" s="117" t="s">
        <v>1</v>
      </c>
      <c r="G61" s="143">
        <v>0.15</v>
      </c>
      <c r="H61" s="118">
        <f>H53</f>
        <v>149400</v>
      </c>
      <c r="I61" s="122">
        <f t="shared" si="1"/>
        <v>22410</v>
      </c>
      <c r="M61" s="116"/>
    </row>
    <row r="62" spans="2:13" hidden="1" x14ac:dyDescent="0.35">
      <c r="B62" s="115"/>
      <c r="C62" s="115"/>
      <c r="D62" s="123" t="s">
        <v>318</v>
      </c>
      <c r="E62" s="116" t="s">
        <v>161</v>
      </c>
      <c r="F62" s="115" t="s">
        <v>1</v>
      </c>
      <c r="G62" s="143">
        <v>0.54400000000000004</v>
      </c>
      <c r="H62" s="118">
        <f>H50</f>
        <v>15000000</v>
      </c>
      <c r="I62" s="122">
        <f t="shared" si="1"/>
        <v>8160000.0000000009</v>
      </c>
      <c r="M62" s="116"/>
    </row>
    <row r="63" spans="2:13" hidden="1" x14ac:dyDescent="0.35">
      <c r="B63" s="115"/>
      <c r="C63" s="115"/>
      <c r="D63" s="123" t="s">
        <v>318</v>
      </c>
      <c r="E63" s="116" t="s">
        <v>161</v>
      </c>
      <c r="F63" s="115" t="s">
        <v>1</v>
      </c>
      <c r="G63" s="143">
        <v>4.2999999999999997E-2</v>
      </c>
      <c r="H63" s="118">
        <f>H36</f>
        <v>155000</v>
      </c>
      <c r="I63" s="122">
        <f t="shared" si="1"/>
        <v>6664.9999999999991</v>
      </c>
      <c r="M63" s="116"/>
    </row>
    <row r="64" spans="2:13" hidden="1" x14ac:dyDescent="0.35">
      <c r="B64" s="115"/>
      <c r="C64" s="115"/>
      <c r="D64" s="123" t="s">
        <v>318</v>
      </c>
      <c r="E64" s="116" t="s">
        <v>161</v>
      </c>
      <c r="F64" s="115" t="s">
        <v>1</v>
      </c>
      <c r="G64" s="143">
        <v>2.4E-2</v>
      </c>
      <c r="H64" s="118">
        <v>265300</v>
      </c>
      <c r="I64" s="122">
        <f t="shared" si="1"/>
        <v>6367.2</v>
      </c>
      <c r="M64" s="116"/>
    </row>
    <row r="65" spans="2:16" hidden="1" x14ac:dyDescent="0.35">
      <c r="B65" s="115"/>
      <c r="C65" s="115"/>
      <c r="D65" s="123" t="s">
        <v>318</v>
      </c>
      <c r="E65" s="116" t="s">
        <v>232</v>
      </c>
      <c r="F65" s="117" t="s">
        <v>1</v>
      </c>
      <c r="G65" s="143">
        <v>4.4999999999999998E-2</v>
      </c>
      <c r="H65" s="118">
        <f>H32</f>
        <v>155000</v>
      </c>
      <c r="I65" s="118">
        <f t="shared" si="1"/>
        <v>6975</v>
      </c>
      <c r="M65" s="116"/>
    </row>
    <row r="66" spans="2:16" x14ac:dyDescent="0.35">
      <c r="B66" s="115"/>
      <c r="C66" s="115"/>
      <c r="D66" s="123" t="s">
        <v>319</v>
      </c>
      <c r="E66" s="119" t="s">
        <v>164</v>
      </c>
      <c r="F66" s="117" t="s">
        <v>1</v>
      </c>
      <c r="G66" s="143">
        <v>0.54</v>
      </c>
      <c r="H66" s="118">
        <v>243300</v>
      </c>
      <c r="I66" s="118">
        <f t="shared" si="1"/>
        <v>131382</v>
      </c>
      <c r="M66" s="116"/>
    </row>
    <row r="67" spans="2:16" x14ac:dyDescent="0.35">
      <c r="B67" s="115"/>
      <c r="C67" s="115"/>
      <c r="D67" s="123" t="s">
        <v>320</v>
      </c>
      <c r="E67" s="119" t="s">
        <v>206</v>
      </c>
      <c r="F67" s="117" t="s">
        <v>207</v>
      </c>
      <c r="G67" s="143">
        <v>215</v>
      </c>
      <c r="H67" s="118">
        <v>6</v>
      </c>
      <c r="I67" s="118">
        <f t="shared" si="1"/>
        <v>1290</v>
      </c>
      <c r="M67" s="116"/>
    </row>
    <row r="68" spans="2:16" x14ac:dyDescent="0.35">
      <c r="B68" s="115"/>
      <c r="C68" s="115"/>
      <c r="D68" s="123" t="s">
        <v>321</v>
      </c>
      <c r="E68" s="116" t="s">
        <v>356</v>
      </c>
      <c r="F68" s="117" t="s">
        <v>85</v>
      </c>
      <c r="G68" s="143">
        <v>12.5</v>
      </c>
      <c r="H68" s="118">
        <v>3220</v>
      </c>
      <c r="I68" s="122">
        <f t="shared" si="1"/>
        <v>40250</v>
      </c>
      <c r="M68" s="116"/>
    </row>
    <row r="69" spans="2:16" x14ac:dyDescent="0.35">
      <c r="B69" s="115"/>
      <c r="C69" s="115"/>
      <c r="D69" s="123" t="s">
        <v>322</v>
      </c>
      <c r="E69" s="116" t="s">
        <v>200</v>
      </c>
      <c r="F69" s="117" t="s">
        <v>212</v>
      </c>
      <c r="G69" s="143">
        <v>0.35</v>
      </c>
      <c r="H69" s="118">
        <v>105000</v>
      </c>
      <c r="I69" s="122">
        <f t="shared" si="1"/>
        <v>36750</v>
      </c>
      <c r="M69" s="116"/>
    </row>
    <row r="70" spans="2:16" x14ac:dyDescent="0.35">
      <c r="B70" s="115"/>
      <c r="C70" s="115"/>
      <c r="D70" s="123" t="s">
        <v>323</v>
      </c>
      <c r="E70" s="116" t="s">
        <v>213</v>
      </c>
      <c r="F70" s="117" t="s">
        <v>2</v>
      </c>
      <c r="G70" s="143">
        <v>0.4</v>
      </c>
      <c r="H70" s="118">
        <v>14800</v>
      </c>
      <c r="I70" s="122">
        <f t="shared" si="1"/>
        <v>5920</v>
      </c>
      <c r="M70" s="116"/>
    </row>
    <row r="71" spans="2:16" hidden="1" x14ac:dyDescent="0.35">
      <c r="B71" s="115"/>
      <c r="C71" s="115"/>
      <c r="D71" s="123" t="s">
        <v>323</v>
      </c>
      <c r="E71" s="116" t="s">
        <v>213</v>
      </c>
      <c r="F71" s="115" t="s">
        <v>2</v>
      </c>
      <c r="G71" s="143">
        <v>0.05</v>
      </c>
      <c r="H71" s="118">
        <v>14800</v>
      </c>
      <c r="I71" s="122">
        <f t="shared" ref="I71:I92" si="2">G71*H71</f>
        <v>740</v>
      </c>
      <c r="M71" s="116"/>
      <c r="N71" s="12"/>
      <c r="O71" s="141"/>
      <c r="P71" s="140"/>
    </row>
    <row r="72" spans="2:16" x14ac:dyDescent="0.35">
      <c r="B72" s="115"/>
      <c r="C72" s="115"/>
      <c r="D72" s="123" t="s">
        <v>324</v>
      </c>
      <c r="E72" s="116" t="s">
        <v>214</v>
      </c>
      <c r="F72" s="117" t="s">
        <v>1</v>
      </c>
      <c r="G72" s="143">
        <v>0.04</v>
      </c>
      <c r="H72" s="118">
        <v>3622500</v>
      </c>
      <c r="I72" s="122">
        <f t="shared" si="2"/>
        <v>144900</v>
      </c>
      <c r="M72" s="116"/>
      <c r="N72" s="12"/>
      <c r="O72" s="141"/>
      <c r="P72" s="140"/>
    </row>
    <row r="73" spans="2:16" x14ac:dyDescent="0.35">
      <c r="B73" s="115"/>
      <c r="C73" s="115"/>
      <c r="D73" s="123" t="s">
        <v>325</v>
      </c>
      <c r="E73" s="116" t="s">
        <v>215</v>
      </c>
      <c r="F73" s="115" t="s">
        <v>1</v>
      </c>
      <c r="G73" s="143">
        <v>1.2</v>
      </c>
      <c r="H73" s="118">
        <v>451000</v>
      </c>
      <c r="I73" s="122">
        <f t="shared" si="2"/>
        <v>541200</v>
      </c>
      <c r="M73" s="116"/>
      <c r="N73" s="12"/>
      <c r="O73" s="141"/>
      <c r="P73" s="140"/>
    </row>
    <row r="74" spans="2:16" x14ac:dyDescent="0.35">
      <c r="B74" s="115"/>
      <c r="C74" s="115"/>
      <c r="D74" s="123" t="s">
        <v>326</v>
      </c>
      <c r="E74" s="116" t="s">
        <v>201</v>
      </c>
      <c r="F74" s="115" t="s">
        <v>2</v>
      </c>
      <c r="G74" s="143">
        <v>1.1499999999999999</v>
      </c>
      <c r="H74" s="118">
        <v>12500</v>
      </c>
      <c r="I74" s="122">
        <f t="shared" si="2"/>
        <v>14374.999999999998</v>
      </c>
      <c r="M74" s="116"/>
      <c r="N74" s="12"/>
      <c r="O74" s="141"/>
      <c r="P74" s="140"/>
    </row>
    <row r="75" spans="2:16" x14ac:dyDescent="0.35">
      <c r="B75" s="115"/>
      <c r="C75" s="115"/>
      <c r="D75" s="123" t="s">
        <v>327</v>
      </c>
      <c r="E75" s="116" t="s">
        <v>216</v>
      </c>
      <c r="F75" s="115" t="s">
        <v>2</v>
      </c>
      <c r="G75" s="143">
        <v>1.1499999999999999</v>
      </c>
      <c r="H75" s="118">
        <v>14070</v>
      </c>
      <c r="I75" s="122">
        <f t="shared" si="2"/>
        <v>16180.499999999998</v>
      </c>
      <c r="M75" s="116"/>
      <c r="N75" s="12"/>
      <c r="O75" s="141"/>
      <c r="P75" s="140"/>
    </row>
    <row r="76" spans="2:16" x14ac:dyDescent="0.35">
      <c r="B76" s="115"/>
      <c r="C76" s="115"/>
      <c r="D76" s="123" t="s">
        <v>328</v>
      </c>
      <c r="E76" s="116" t="s">
        <v>217</v>
      </c>
      <c r="F76" s="115" t="s">
        <v>2</v>
      </c>
      <c r="G76" s="143">
        <v>1.1000000000000001</v>
      </c>
      <c r="H76" s="118">
        <v>13837</v>
      </c>
      <c r="I76" s="122">
        <f t="shared" si="2"/>
        <v>15220.7</v>
      </c>
      <c r="M76" s="116"/>
      <c r="N76" s="12"/>
      <c r="O76" s="141"/>
      <c r="P76" s="140"/>
    </row>
    <row r="77" spans="2:16" x14ac:dyDescent="0.35">
      <c r="B77" s="115"/>
      <c r="C77" s="115"/>
      <c r="D77" s="123" t="s">
        <v>329</v>
      </c>
      <c r="E77" s="116" t="s">
        <v>218</v>
      </c>
      <c r="F77" s="115" t="s">
        <v>2</v>
      </c>
      <c r="G77" s="143">
        <v>0.85</v>
      </c>
      <c r="H77" s="118">
        <v>70000</v>
      </c>
      <c r="I77" s="122">
        <f t="shared" si="2"/>
        <v>59500</v>
      </c>
      <c r="M77" s="116"/>
      <c r="N77" s="12"/>
      <c r="O77" s="141"/>
      <c r="P77" s="140"/>
    </row>
    <row r="78" spans="2:16" x14ac:dyDescent="0.35">
      <c r="B78" s="115"/>
      <c r="C78" s="115"/>
      <c r="D78" s="123" t="s">
        <v>330</v>
      </c>
      <c r="E78" s="116" t="s">
        <v>219</v>
      </c>
      <c r="F78" s="115" t="s">
        <v>2</v>
      </c>
      <c r="G78" s="143">
        <v>0.08</v>
      </c>
      <c r="H78" s="118">
        <v>7000</v>
      </c>
      <c r="I78" s="122">
        <f t="shared" si="2"/>
        <v>560</v>
      </c>
      <c r="M78" s="116"/>
      <c r="N78" s="12"/>
      <c r="O78" s="141"/>
      <c r="P78" s="140"/>
    </row>
    <row r="79" spans="2:16" x14ac:dyDescent="0.35">
      <c r="B79" s="115"/>
      <c r="C79" s="115"/>
      <c r="D79" s="123" t="s">
        <v>331</v>
      </c>
      <c r="E79" s="116" t="s">
        <v>220</v>
      </c>
      <c r="F79" s="115" t="s">
        <v>85</v>
      </c>
      <c r="G79" s="143">
        <v>25</v>
      </c>
      <c r="H79" s="118">
        <v>5200</v>
      </c>
      <c r="I79" s="122">
        <f t="shared" si="2"/>
        <v>130000</v>
      </c>
      <c r="M79" s="116"/>
      <c r="N79" s="12"/>
      <c r="O79" s="141"/>
      <c r="P79" s="140"/>
    </row>
    <row r="80" spans="2:16" x14ac:dyDescent="0.35">
      <c r="B80" s="115"/>
      <c r="C80" s="115"/>
      <c r="D80" s="123" t="s">
        <v>332</v>
      </c>
      <c r="E80" s="116" t="s">
        <v>363</v>
      </c>
      <c r="F80" s="115" t="s">
        <v>85</v>
      </c>
      <c r="G80" s="143">
        <v>70</v>
      </c>
      <c r="H80" s="118">
        <v>800</v>
      </c>
      <c r="I80" s="122">
        <f t="shared" si="2"/>
        <v>56000</v>
      </c>
      <c r="M80" s="116"/>
      <c r="N80" s="12"/>
      <c r="O80" s="141"/>
      <c r="P80" s="140"/>
    </row>
    <row r="81" spans="2:16" x14ac:dyDescent="0.35">
      <c r="B81" s="115"/>
      <c r="C81" s="115"/>
      <c r="D81" s="123" t="s">
        <v>333</v>
      </c>
      <c r="E81" s="116" t="s">
        <v>221</v>
      </c>
      <c r="F81" s="115" t="s">
        <v>1</v>
      </c>
      <c r="G81" s="143">
        <v>0.04</v>
      </c>
      <c r="H81" s="118">
        <v>19430900</v>
      </c>
      <c r="I81" s="122">
        <f t="shared" si="2"/>
        <v>777236</v>
      </c>
      <c r="M81" s="116"/>
      <c r="N81" s="12"/>
      <c r="O81" s="141"/>
      <c r="P81" s="140"/>
    </row>
    <row r="82" spans="2:16" x14ac:dyDescent="0.35">
      <c r="B82" s="115"/>
      <c r="C82" s="115"/>
      <c r="D82" s="123" t="s">
        <v>334</v>
      </c>
      <c r="E82" s="116" t="s">
        <v>222</v>
      </c>
      <c r="F82" s="115" t="s">
        <v>2</v>
      </c>
      <c r="G82" s="143">
        <v>1</v>
      </c>
      <c r="H82" s="118">
        <v>13000</v>
      </c>
      <c r="I82" s="122">
        <f t="shared" si="2"/>
        <v>13000</v>
      </c>
      <c r="M82" s="116"/>
      <c r="N82" s="12"/>
      <c r="O82" s="141"/>
      <c r="P82" s="140"/>
    </row>
    <row r="83" spans="2:16" x14ac:dyDescent="0.35">
      <c r="B83" s="115"/>
      <c r="C83" s="115"/>
      <c r="D83" s="123" t="s">
        <v>335</v>
      </c>
      <c r="E83" s="116" t="s">
        <v>357</v>
      </c>
      <c r="F83" s="115" t="s">
        <v>224</v>
      </c>
      <c r="G83" s="143">
        <v>1.25</v>
      </c>
      <c r="H83" s="118">
        <v>10400</v>
      </c>
      <c r="I83" s="122">
        <f t="shared" si="2"/>
        <v>13000</v>
      </c>
      <c r="M83" s="116"/>
    </row>
    <row r="84" spans="2:16" hidden="1" x14ac:dyDescent="0.35">
      <c r="B84" s="115"/>
      <c r="C84" s="115"/>
      <c r="D84" s="123" t="s">
        <v>335</v>
      </c>
      <c r="E84" s="116" t="s">
        <v>357</v>
      </c>
      <c r="F84" s="115" t="s">
        <v>2</v>
      </c>
      <c r="G84" s="143">
        <v>0.06</v>
      </c>
      <c r="H84" s="118">
        <f>H77</f>
        <v>70000</v>
      </c>
      <c r="I84" s="122">
        <f t="shared" si="2"/>
        <v>4200</v>
      </c>
      <c r="M84" s="116"/>
    </row>
    <row r="85" spans="2:16" x14ac:dyDescent="0.35">
      <c r="B85" s="115"/>
      <c r="C85" s="115"/>
      <c r="D85" s="123" t="s">
        <v>336</v>
      </c>
      <c r="E85" s="116" t="s">
        <v>223</v>
      </c>
      <c r="F85" s="115" t="s">
        <v>1</v>
      </c>
      <c r="G85" s="143">
        <v>1.1000000000000001</v>
      </c>
      <c r="H85" s="118">
        <v>20325200</v>
      </c>
      <c r="I85" s="122">
        <f t="shared" si="2"/>
        <v>22357720</v>
      </c>
      <c r="M85" s="116"/>
    </row>
    <row r="86" spans="2:16" x14ac:dyDescent="0.35">
      <c r="B86" s="115"/>
      <c r="C86" s="115"/>
      <c r="D86" s="123" t="s">
        <v>337</v>
      </c>
      <c r="E86" s="116" t="s">
        <v>228</v>
      </c>
      <c r="F86" s="115" t="s">
        <v>1</v>
      </c>
      <c r="G86" s="143">
        <v>1.2E-2</v>
      </c>
      <c r="H86" s="118">
        <v>7245000</v>
      </c>
      <c r="I86" s="122">
        <f t="shared" si="2"/>
        <v>86940</v>
      </c>
      <c r="M86" s="116"/>
    </row>
    <row r="87" spans="2:16" x14ac:dyDescent="0.35">
      <c r="B87" s="115"/>
      <c r="C87" s="115"/>
      <c r="D87" s="123" t="s">
        <v>338</v>
      </c>
      <c r="E87" s="116" t="s">
        <v>227</v>
      </c>
      <c r="F87" s="115" t="s">
        <v>3</v>
      </c>
      <c r="G87" s="143">
        <v>1.1000000000000001</v>
      </c>
      <c r="H87" s="118">
        <v>63000</v>
      </c>
      <c r="I87" s="122">
        <f t="shared" si="2"/>
        <v>69300</v>
      </c>
      <c r="M87" s="116"/>
    </row>
    <row r="88" spans="2:16" x14ac:dyDescent="0.35">
      <c r="B88" s="115"/>
      <c r="C88" s="115"/>
      <c r="D88" s="123" t="s">
        <v>339</v>
      </c>
      <c r="E88" s="116" t="s">
        <v>229</v>
      </c>
      <c r="F88" s="115" t="s">
        <v>234</v>
      </c>
      <c r="G88" s="143">
        <v>0.104</v>
      </c>
      <c r="H88" s="118">
        <v>218000</v>
      </c>
      <c r="I88" s="118">
        <f t="shared" si="2"/>
        <v>22672</v>
      </c>
      <c r="M88" s="116"/>
    </row>
    <row r="89" spans="2:16" x14ac:dyDescent="0.35">
      <c r="B89" s="115"/>
      <c r="C89" s="115"/>
      <c r="D89" s="123" t="s">
        <v>340</v>
      </c>
      <c r="E89" s="116" t="s">
        <v>230</v>
      </c>
      <c r="F89" s="115" t="s">
        <v>2</v>
      </c>
      <c r="G89" s="143">
        <v>0.1</v>
      </c>
      <c r="H89" s="118">
        <v>36500</v>
      </c>
      <c r="I89" s="118">
        <f t="shared" si="2"/>
        <v>3650</v>
      </c>
      <c r="M89" s="116"/>
    </row>
    <row r="90" spans="2:16" x14ac:dyDescent="0.35">
      <c r="B90" s="115"/>
      <c r="C90" s="115"/>
      <c r="D90" s="123" t="s">
        <v>341</v>
      </c>
      <c r="E90" s="116" t="s">
        <v>231</v>
      </c>
      <c r="F90" s="115" t="s">
        <v>235</v>
      </c>
      <c r="G90" s="143">
        <v>0.1</v>
      </c>
      <c r="H90" s="118">
        <v>20400</v>
      </c>
      <c r="I90" s="118">
        <f t="shared" si="2"/>
        <v>2040</v>
      </c>
      <c r="M90" s="116"/>
    </row>
    <row r="91" spans="2:16" x14ac:dyDescent="0.35">
      <c r="B91" s="115"/>
      <c r="C91" s="115"/>
      <c r="D91" s="123" t="s">
        <v>342</v>
      </c>
      <c r="E91" s="116" t="s">
        <v>202</v>
      </c>
      <c r="F91" s="117" t="s">
        <v>3</v>
      </c>
      <c r="G91" s="143">
        <v>1.0608</v>
      </c>
      <c r="H91" s="118">
        <v>59000</v>
      </c>
      <c r="I91" s="118">
        <f t="shared" si="2"/>
        <v>62587.199999999997</v>
      </c>
      <c r="M91" s="116"/>
    </row>
    <row r="92" spans="2:16" x14ac:dyDescent="0.35">
      <c r="B92" s="115"/>
      <c r="C92" s="115"/>
      <c r="D92" s="123" t="s">
        <v>343</v>
      </c>
      <c r="E92" s="116" t="s">
        <v>233</v>
      </c>
      <c r="F92" s="117" t="s">
        <v>2</v>
      </c>
      <c r="G92" s="143">
        <v>1.3</v>
      </c>
      <c r="H92" s="118">
        <v>16000</v>
      </c>
      <c r="I92" s="118">
        <f t="shared" si="2"/>
        <v>20800</v>
      </c>
      <c r="M92" s="116"/>
    </row>
    <row r="93" spans="2:16" hidden="1" x14ac:dyDescent="0.35">
      <c r="B93" s="115"/>
      <c r="C93" s="115"/>
      <c r="D93" s="145" t="s">
        <v>287</v>
      </c>
      <c r="E93" s="116" t="s">
        <v>199</v>
      </c>
      <c r="F93" s="117">
        <v>0</v>
      </c>
      <c r="G93" s="143">
        <v>0</v>
      </c>
      <c r="H93" s="124">
        <f t="shared" ref="H93:H115" si="3">$K$6</f>
        <v>0.1</v>
      </c>
      <c r="I93" s="146">
        <f>H93*SUM(I91:I92)</f>
        <v>8338.7199999999993</v>
      </c>
    </row>
    <row r="94" spans="2:16" hidden="1" x14ac:dyDescent="0.35">
      <c r="B94" s="115"/>
      <c r="C94" s="115"/>
      <c r="D94" s="145" t="s">
        <v>287</v>
      </c>
      <c r="E94" s="116" t="s">
        <v>199</v>
      </c>
      <c r="F94" s="117">
        <v>0</v>
      </c>
      <c r="G94" s="143">
        <v>0</v>
      </c>
      <c r="H94" s="124">
        <f t="shared" si="3"/>
        <v>0.1</v>
      </c>
      <c r="I94" s="118">
        <f>H94*SUM(I92:I93)</f>
        <v>2913.8720000000003</v>
      </c>
    </row>
    <row r="95" spans="2:16" hidden="1" x14ac:dyDescent="0.35">
      <c r="B95" s="115"/>
      <c r="C95" s="115"/>
      <c r="D95" s="145" t="s">
        <v>287</v>
      </c>
      <c r="E95" s="116" t="s">
        <v>199</v>
      </c>
      <c r="F95" s="117">
        <v>0</v>
      </c>
      <c r="G95" s="143">
        <v>0</v>
      </c>
      <c r="H95" s="124">
        <f t="shared" si="3"/>
        <v>0.1</v>
      </c>
      <c r="I95" s="118">
        <f>H95*SUM(I94)</f>
        <v>291.38720000000006</v>
      </c>
    </row>
    <row r="96" spans="2:16" hidden="1" x14ac:dyDescent="0.35">
      <c r="B96" s="115"/>
      <c r="C96" s="115"/>
      <c r="D96" s="145" t="s">
        <v>287</v>
      </c>
      <c r="E96" s="116" t="s">
        <v>199</v>
      </c>
      <c r="F96" s="117">
        <v>0</v>
      </c>
      <c r="G96" s="143">
        <v>0</v>
      </c>
      <c r="H96" s="124">
        <f t="shared" si="3"/>
        <v>0.1</v>
      </c>
      <c r="I96" s="118">
        <f>H96*SUM(I94:I95)</f>
        <v>320.52592000000004</v>
      </c>
    </row>
    <row r="97" spans="2:30" hidden="1" x14ac:dyDescent="0.35">
      <c r="B97" s="115"/>
      <c r="C97" s="115"/>
      <c r="D97" s="145" t="s">
        <v>287</v>
      </c>
      <c r="E97" s="116" t="s">
        <v>199</v>
      </c>
      <c r="F97" s="117">
        <v>0</v>
      </c>
      <c r="G97" s="143">
        <v>0</v>
      </c>
      <c r="H97" s="124">
        <f t="shared" si="3"/>
        <v>0.1</v>
      </c>
      <c r="I97" s="118">
        <f>H97*SUM(I92:I96)</f>
        <v>3266.4505120000003</v>
      </c>
    </row>
    <row r="98" spans="2:30" hidden="1" x14ac:dyDescent="0.35">
      <c r="B98" s="115"/>
      <c r="C98" s="115"/>
      <c r="D98" s="145" t="s">
        <v>287</v>
      </c>
      <c r="E98" s="116" t="s">
        <v>199</v>
      </c>
      <c r="F98" s="117">
        <v>0</v>
      </c>
      <c r="G98" s="143">
        <v>0</v>
      </c>
      <c r="H98" s="124">
        <f t="shared" si="3"/>
        <v>0.1</v>
      </c>
      <c r="I98" s="118">
        <f>H98*SUM(I91:I97)</f>
        <v>9851.8155631999998</v>
      </c>
    </row>
    <row r="99" spans="2:30" hidden="1" x14ac:dyDescent="0.35">
      <c r="B99" s="115"/>
      <c r="C99" s="115"/>
      <c r="D99" s="145" t="s">
        <v>287</v>
      </c>
      <c r="E99" s="116" t="s">
        <v>199</v>
      </c>
      <c r="F99" s="117">
        <v>0</v>
      </c>
      <c r="G99" s="143">
        <v>0</v>
      </c>
      <c r="H99" s="124">
        <f t="shared" si="3"/>
        <v>0.1</v>
      </c>
      <c r="I99" s="118">
        <f>H99*SUM(I94:I98)</f>
        <v>1664.4051195200002</v>
      </c>
    </row>
    <row r="100" spans="2:30" hidden="1" x14ac:dyDescent="0.35">
      <c r="B100" s="115"/>
      <c r="C100" s="115"/>
      <c r="D100" s="145" t="s">
        <v>287</v>
      </c>
      <c r="E100" s="116" t="s">
        <v>199</v>
      </c>
      <c r="F100" s="117">
        <v>0</v>
      </c>
      <c r="G100" s="143">
        <v>0</v>
      </c>
      <c r="H100" s="124">
        <f t="shared" si="3"/>
        <v>0.1</v>
      </c>
      <c r="I100" s="118">
        <f>H100*SUM(I95:I99)</f>
        <v>1539.4584314720003</v>
      </c>
    </row>
    <row r="101" spans="2:30" s="4" customFormat="1" hidden="1" x14ac:dyDescent="0.35">
      <c r="B101" s="115"/>
      <c r="C101" s="115"/>
      <c r="D101" s="145" t="s">
        <v>287</v>
      </c>
      <c r="E101" s="116" t="s">
        <v>199</v>
      </c>
      <c r="F101" s="117">
        <v>0</v>
      </c>
      <c r="G101" s="143">
        <v>0</v>
      </c>
      <c r="H101" s="124">
        <f t="shared" si="3"/>
        <v>0.1</v>
      </c>
      <c r="I101" s="118">
        <f>H101*SUM(I96:I100)</f>
        <v>1664.2655546192004</v>
      </c>
    </row>
    <row r="102" spans="2:30" s="4" customFormat="1" hidden="1" x14ac:dyDescent="0.35">
      <c r="B102" s="115"/>
      <c r="C102" s="115"/>
      <c r="D102" s="145" t="s">
        <v>287</v>
      </c>
      <c r="E102" s="116" t="s">
        <v>199</v>
      </c>
      <c r="F102" s="117">
        <v>0</v>
      </c>
      <c r="G102" s="143">
        <v>0</v>
      </c>
      <c r="H102" s="124">
        <f t="shared" si="3"/>
        <v>0.1</v>
      </c>
      <c r="I102" s="118">
        <f>H102*SUM(I99:I101)</f>
        <v>486.81291056112008</v>
      </c>
    </row>
    <row r="103" spans="2:30" s="4" customFormat="1" hidden="1" x14ac:dyDescent="0.35">
      <c r="B103" s="115"/>
      <c r="C103" s="115"/>
      <c r="D103" s="145" t="s">
        <v>287</v>
      </c>
      <c r="E103" s="116" t="s">
        <v>199</v>
      </c>
      <c r="F103" s="117">
        <v>0</v>
      </c>
      <c r="G103" s="143">
        <v>0</v>
      </c>
      <c r="H103" s="124">
        <f t="shared" si="3"/>
        <v>0.1</v>
      </c>
      <c r="I103" s="118">
        <f>H103*SUM(I100:I102)</f>
        <v>369.05368966523207</v>
      </c>
    </row>
    <row r="104" spans="2:30" s="4" customFormat="1" hidden="1" x14ac:dyDescent="0.35">
      <c r="B104" s="115"/>
      <c r="C104" s="115"/>
      <c r="D104" s="145" t="s">
        <v>287</v>
      </c>
      <c r="E104" s="116" t="s">
        <v>199</v>
      </c>
      <c r="F104" s="117">
        <v>0</v>
      </c>
      <c r="G104" s="143">
        <v>0</v>
      </c>
      <c r="H104" s="124">
        <f t="shared" si="3"/>
        <v>0.1</v>
      </c>
      <c r="I104" s="118">
        <f>H104*SUM(I101:I103)</f>
        <v>252.01321548455527</v>
      </c>
    </row>
    <row r="105" spans="2:30" s="4" customFormat="1" hidden="1" x14ac:dyDescent="0.35">
      <c r="B105" s="115"/>
      <c r="C105" s="115"/>
      <c r="D105" s="145" t="s">
        <v>287</v>
      </c>
      <c r="E105" s="116" t="s">
        <v>199</v>
      </c>
      <c r="F105" s="117">
        <v>0</v>
      </c>
      <c r="G105" s="143">
        <v>0</v>
      </c>
      <c r="H105" s="124">
        <f t="shared" si="3"/>
        <v>0.1</v>
      </c>
      <c r="I105" s="118">
        <f>H105*SUM(I101:I104)</f>
        <v>277.2145370330108</v>
      </c>
    </row>
    <row r="106" spans="2:30" s="6" customFormat="1" hidden="1" x14ac:dyDescent="0.35">
      <c r="B106" s="115"/>
      <c r="C106" s="115"/>
      <c r="D106" s="145" t="s">
        <v>287</v>
      </c>
      <c r="E106" s="116" t="s">
        <v>199</v>
      </c>
      <c r="F106" s="117">
        <v>0</v>
      </c>
      <c r="G106" s="143">
        <v>0</v>
      </c>
      <c r="H106" s="124">
        <f t="shared" si="3"/>
        <v>0.1</v>
      </c>
      <c r="I106" s="118">
        <f>H106*SUM(I103:I105)</f>
        <v>89.828144218279817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idden="1" x14ac:dyDescent="0.35">
      <c r="B107" s="115"/>
      <c r="C107" s="115"/>
      <c r="D107" s="145" t="s">
        <v>287</v>
      </c>
      <c r="E107" s="116" t="s">
        <v>199</v>
      </c>
      <c r="F107" s="117">
        <v>0</v>
      </c>
      <c r="G107" s="143">
        <v>0</v>
      </c>
      <c r="H107" s="124">
        <f t="shared" si="3"/>
        <v>0.1</v>
      </c>
      <c r="I107" s="118">
        <f>H107*SUM(I102:I106)</f>
        <v>147.49224969621983</v>
      </c>
    </row>
    <row r="108" spans="2:30" hidden="1" x14ac:dyDescent="0.35">
      <c r="B108" s="115"/>
      <c r="C108" s="115"/>
      <c r="D108" s="145" t="s">
        <v>287</v>
      </c>
      <c r="E108" s="116" t="s">
        <v>199</v>
      </c>
      <c r="F108" s="117">
        <v>0</v>
      </c>
      <c r="G108" s="143">
        <v>0</v>
      </c>
      <c r="H108" s="124">
        <f t="shared" si="3"/>
        <v>0.1</v>
      </c>
      <c r="I108" s="118">
        <f>H108*SUM(I104:I107)</f>
        <v>76.654814643206564</v>
      </c>
    </row>
    <row r="109" spans="2:30" hidden="1" x14ac:dyDescent="0.35">
      <c r="B109" s="115"/>
      <c r="C109" s="115"/>
      <c r="D109" s="145" t="s">
        <v>287</v>
      </c>
      <c r="E109" s="116" t="s">
        <v>199</v>
      </c>
      <c r="F109" s="117">
        <v>0</v>
      </c>
      <c r="G109" s="143">
        <v>0</v>
      </c>
      <c r="H109" s="124">
        <f t="shared" si="3"/>
        <v>0.1</v>
      </c>
      <c r="I109" s="118">
        <f>H109*SUM(I105:I108)</f>
        <v>59.11897455907171</v>
      </c>
    </row>
    <row r="110" spans="2:30" hidden="1" x14ac:dyDescent="0.35">
      <c r="B110" s="115"/>
      <c r="C110" s="115"/>
      <c r="D110" s="145" t="s">
        <v>287</v>
      </c>
      <c r="E110" s="116" t="s">
        <v>199</v>
      </c>
      <c r="F110" s="117">
        <v>0</v>
      </c>
      <c r="G110" s="143">
        <v>0</v>
      </c>
      <c r="H110" s="124">
        <f t="shared" si="3"/>
        <v>0.1</v>
      </c>
      <c r="I110" s="118">
        <f>H110*SUM(I105:I109)</f>
        <v>65.030872014978883</v>
      </c>
    </row>
    <row r="111" spans="2:30" hidden="1" x14ac:dyDescent="0.35">
      <c r="B111" s="115"/>
      <c r="C111" s="115"/>
      <c r="D111" s="145" t="s">
        <v>287</v>
      </c>
      <c r="E111" s="116" t="s">
        <v>199</v>
      </c>
      <c r="F111" s="117">
        <v>0</v>
      </c>
      <c r="G111" s="143">
        <v>0</v>
      </c>
      <c r="H111" s="124">
        <f t="shared" si="3"/>
        <v>0.1</v>
      </c>
      <c r="I111" s="118">
        <f>H111*SUM(I106:I110)</f>
        <v>43.81250551317568</v>
      </c>
    </row>
    <row r="112" spans="2:30" hidden="1" x14ac:dyDescent="0.35">
      <c r="B112" s="115"/>
      <c r="C112" s="115"/>
      <c r="D112" s="145" t="s">
        <v>287</v>
      </c>
      <c r="E112" s="116" t="s">
        <v>199</v>
      </c>
      <c r="F112" s="117">
        <v>0</v>
      </c>
      <c r="G112" s="143">
        <v>0</v>
      </c>
      <c r="H112" s="124">
        <f t="shared" si="3"/>
        <v>0.1</v>
      </c>
      <c r="I112" s="118">
        <f>H112*SUM(I111)</f>
        <v>4.3812505513175681</v>
      </c>
    </row>
    <row r="113" spans="2:9" hidden="1" x14ac:dyDescent="0.35">
      <c r="B113" s="115"/>
      <c r="C113" s="115"/>
      <c r="D113" s="145" t="s">
        <v>287</v>
      </c>
      <c r="E113" s="116" t="s">
        <v>199</v>
      </c>
      <c r="F113" s="117">
        <v>0</v>
      </c>
      <c r="G113" s="143">
        <v>0</v>
      </c>
      <c r="H113" s="124">
        <f t="shared" si="3"/>
        <v>0.1</v>
      </c>
      <c r="I113" s="118">
        <f>H113*SUM(I108:I112)</f>
        <v>24.899841728175041</v>
      </c>
    </row>
    <row r="114" spans="2:9" hidden="1" x14ac:dyDescent="0.35">
      <c r="B114" s="115"/>
      <c r="C114" s="115"/>
      <c r="D114" s="145" t="s">
        <v>287</v>
      </c>
      <c r="E114" s="116" t="s">
        <v>199</v>
      </c>
      <c r="F114" s="117">
        <v>0</v>
      </c>
      <c r="G114" s="143">
        <v>0</v>
      </c>
      <c r="H114" s="124">
        <f t="shared" si="3"/>
        <v>0.1</v>
      </c>
      <c r="I114" s="118">
        <f>H114*SUM(I113)</f>
        <v>2.4899841728175041</v>
      </c>
    </row>
    <row r="115" spans="2:9" hidden="1" x14ac:dyDescent="0.35">
      <c r="B115" s="115"/>
      <c r="C115" s="115"/>
      <c r="D115" s="145" t="s">
        <v>287</v>
      </c>
      <c r="E115" s="116" t="s">
        <v>199</v>
      </c>
      <c r="F115" s="117">
        <v>0</v>
      </c>
      <c r="G115" s="143">
        <v>0</v>
      </c>
      <c r="H115" s="124">
        <f t="shared" si="3"/>
        <v>0.1</v>
      </c>
      <c r="I115" s="118">
        <f>H115*SUM(I109:I114)</f>
        <v>19.973342853953643</v>
      </c>
    </row>
  </sheetData>
  <sortState ref="B3:I134">
    <sortCondition ref="D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D39"/>
  <sheetViews>
    <sheetView zoomScale="40" zoomScaleNormal="40" workbookViewId="0">
      <selection activeCell="O23" sqref="O23"/>
    </sheetView>
  </sheetViews>
  <sheetFormatPr defaultRowHeight="14.5" x14ac:dyDescent="0.35"/>
  <cols>
    <col min="2" max="2" width="32.7265625" customWidth="1"/>
    <col min="7" max="7" width="13.81640625" customWidth="1"/>
    <col min="9" max="9" width="15.6328125" customWidth="1"/>
    <col min="12" max="12" width="12" customWidth="1"/>
    <col min="13" max="13" width="18.453125" customWidth="1"/>
    <col min="14" max="14" width="9.7265625" customWidth="1"/>
    <col min="15" max="15" width="15.08984375" customWidth="1"/>
    <col min="16" max="17" width="17.1796875" customWidth="1"/>
    <col min="18" max="18" width="17.1796875" style="10" customWidth="1"/>
    <col min="19" max="21" width="11.453125" customWidth="1"/>
    <col min="22" max="22" width="17.54296875" customWidth="1"/>
    <col min="26" max="26" width="23.7265625" customWidth="1"/>
    <col min="29" max="29" width="13.81640625" customWidth="1"/>
    <col min="30" max="30" width="21.7265625" customWidth="1"/>
  </cols>
  <sheetData>
    <row r="2" spans="2:30" ht="26" x14ac:dyDescent="0.6">
      <c r="B2" s="39" t="s">
        <v>369</v>
      </c>
      <c r="C2" s="1"/>
      <c r="D2" s="53"/>
      <c r="E2" s="1"/>
      <c r="F2" s="1"/>
      <c r="G2" s="1"/>
      <c r="H2" s="1"/>
      <c r="I2" s="1"/>
      <c r="L2" s="155" t="s">
        <v>370</v>
      </c>
      <c r="Y2" s="39" t="s">
        <v>367</v>
      </c>
    </row>
    <row r="3" spans="2:30" ht="37" x14ac:dyDescent="0.35">
      <c r="B3" s="48" t="s">
        <v>186</v>
      </c>
      <c r="C3" s="49" t="s">
        <v>5</v>
      </c>
      <c r="D3" s="50" t="s">
        <v>4</v>
      </c>
      <c r="E3" s="49" t="s">
        <v>182</v>
      </c>
      <c r="F3" s="49" t="s">
        <v>184</v>
      </c>
      <c r="G3" s="49" t="s">
        <v>8</v>
      </c>
      <c r="H3" s="49" t="s">
        <v>9</v>
      </c>
      <c r="I3" s="51" t="s">
        <v>183</v>
      </c>
      <c r="L3" s="46" t="s">
        <v>7</v>
      </c>
      <c r="M3" s="46" t="s">
        <v>364</v>
      </c>
      <c r="N3" s="46" t="s">
        <v>5</v>
      </c>
      <c r="O3" s="46" t="s">
        <v>4</v>
      </c>
      <c r="P3" s="153" t="s">
        <v>9</v>
      </c>
      <c r="Q3" s="153" t="s">
        <v>69</v>
      </c>
      <c r="R3" s="153" t="s">
        <v>365</v>
      </c>
      <c r="S3" s="43" t="s">
        <v>66</v>
      </c>
      <c r="T3" s="43" t="s">
        <v>67</v>
      </c>
      <c r="U3" s="43" t="s">
        <v>37</v>
      </c>
      <c r="V3" s="153" t="s">
        <v>366</v>
      </c>
      <c r="Y3" s="46" t="s">
        <v>7</v>
      </c>
      <c r="Z3" s="46" t="s">
        <v>364</v>
      </c>
      <c r="AA3" s="46" t="s">
        <v>5</v>
      </c>
      <c r="AB3" s="46" t="s">
        <v>4</v>
      </c>
      <c r="AC3" s="41" t="s">
        <v>35</v>
      </c>
      <c r="AD3" s="41" t="s">
        <v>36</v>
      </c>
    </row>
    <row r="4" spans="2:30" x14ac:dyDescent="0.35">
      <c r="B4" s="158" t="s">
        <v>177</v>
      </c>
      <c r="C4" s="159"/>
      <c r="D4" s="160"/>
      <c r="E4" s="159"/>
      <c r="F4" s="159"/>
      <c r="G4" s="159"/>
      <c r="H4" s="159"/>
      <c r="I4" s="159"/>
      <c r="L4" s="116"/>
      <c r="M4" s="116"/>
      <c r="N4" s="116"/>
      <c r="O4" s="116"/>
      <c r="P4" s="116"/>
      <c r="Q4" s="116"/>
      <c r="R4" s="115"/>
      <c r="S4" s="116"/>
      <c r="T4" s="116"/>
      <c r="U4" s="116"/>
      <c r="V4" s="116"/>
      <c r="Y4" s="116"/>
      <c r="Z4" s="116"/>
      <c r="AA4" s="116"/>
      <c r="AB4" s="116"/>
      <c r="AC4" s="116"/>
      <c r="AD4" s="116"/>
    </row>
    <row r="5" spans="2:30" x14ac:dyDescent="0.35">
      <c r="B5" s="157" t="s">
        <v>154</v>
      </c>
      <c r="C5" s="159"/>
      <c r="D5" s="159"/>
      <c r="E5" s="159"/>
      <c r="F5" s="159"/>
      <c r="G5" s="159"/>
      <c r="H5" s="159"/>
      <c r="I5" s="159"/>
      <c r="L5" s="116"/>
      <c r="M5" s="116"/>
      <c r="N5" s="116"/>
      <c r="O5" s="116"/>
      <c r="P5" s="116"/>
      <c r="Q5" s="116">
        <v>100000000</v>
      </c>
      <c r="R5" s="154">
        <v>0.1</v>
      </c>
      <c r="S5" s="116"/>
      <c r="T5" s="116"/>
      <c r="U5" s="116">
        <v>14</v>
      </c>
      <c r="V5" s="116"/>
      <c r="Y5" s="116"/>
      <c r="Z5" s="116"/>
      <c r="AA5" s="116"/>
      <c r="AB5" s="116"/>
      <c r="AC5" s="116"/>
      <c r="AD5" s="116"/>
    </row>
    <row r="6" spans="2:30" x14ac:dyDescent="0.35">
      <c r="B6" s="157" t="s">
        <v>10</v>
      </c>
      <c r="C6" s="159"/>
      <c r="D6" s="159"/>
      <c r="E6" s="159"/>
      <c r="F6" s="159"/>
      <c r="G6" s="159"/>
      <c r="H6" s="159"/>
      <c r="I6" s="159"/>
      <c r="L6" s="116"/>
      <c r="M6" s="116"/>
      <c r="N6" s="116"/>
      <c r="O6" s="116"/>
      <c r="P6" s="116"/>
      <c r="Q6" s="116"/>
      <c r="R6" s="115"/>
      <c r="S6" s="116"/>
      <c r="T6" s="116"/>
      <c r="U6" s="116"/>
      <c r="V6" s="116"/>
      <c r="Y6" s="116"/>
      <c r="Z6" s="116"/>
      <c r="AA6" s="116"/>
      <c r="AB6" s="116"/>
      <c r="AC6" s="116"/>
      <c r="AD6" s="116"/>
    </row>
    <row r="7" spans="2:30" x14ac:dyDescent="0.35">
      <c r="B7" s="158" t="s">
        <v>178</v>
      </c>
      <c r="C7" s="159"/>
      <c r="D7" s="160"/>
      <c r="E7" s="159"/>
      <c r="F7" s="159"/>
      <c r="G7" s="159"/>
      <c r="H7" s="159"/>
      <c r="I7" s="159"/>
      <c r="L7" s="116"/>
      <c r="M7" s="116"/>
      <c r="N7" s="116"/>
      <c r="O7" s="116"/>
      <c r="P7" s="116"/>
      <c r="Q7" s="116"/>
      <c r="R7" s="115"/>
      <c r="S7" s="116"/>
      <c r="T7" s="116"/>
      <c r="U7" s="116"/>
      <c r="V7" s="116"/>
      <c r="Y7" s="116"/>
      <c r="Z7" s="116"/>
      <c r="AA7" s="116"/>
      <c r="AB7" s="116"/>
      <c r="AC7" s="116"/>
      <c r="AD7" s="116"/>
    </row>
    <row r="8" spans="2:30" x14ac:dyDescent="0.35">
      <c r="B8" s="157" t="s">
        <v>156</v>
      </c>
      <c r="C8" s="159"/>
      <c r="D8" s="159"/>
      <c r="E8" s="159"/>
      <c r="F8" s="159"/>
      <c r="G8" s="159"/>
      <c r="H8" s="159"/>
      <c r="I8" s="159"/>
      <c r="L8" s="116"/>
      <c r="M8" s="116"/>
      <c r="N8" s="116"/>
      <c r="O8" s="116"/>
      <c r="P8" s="116"/>
      <c r="Q8" s="116"/>
      <c r="R8" s="115"/>
      <c r="S8" s="116"/>
      <c r="T8" s="116"/>
      <c r="U8" s="116"/>
      <c r="V8" s="116"/>
      <c r="Y8" s="116"/>
      <c r="Z8" s="116"/>
      <c r="AA8" s="116"/>
      <c r="AB8" s="116"/>
      <c r="AC8" s="116"/>
      <c r="AD8" s="116"/>
    </row>
    <row r="9" spans="2:30" x14ac:dyDescent="0.35">
      <c r="B9" s="157" t="s">
        <v>157</v>
      </c>
      <c r="C9" s="159"/>
      <c r="D9" s="159"/>
      <c r="E9" s="159"/>
      <c r="F9" s="159"/>
      <c r="G9" s="159"/>
      <c r="H9" s="159"/>
      <c r="I9" s="159"/>
      <c r="L9" s="116"/>
      <c r="M9" s="116"/>
      <c r="N9" s="116"/>
      <c r="O9" s="116"/>
      <c r="P9" s="116"/>
      <c r="Q9" s="116"/>
      <c r="R9" s="115"/>
      <c r="S9" s="116"/>
      <c r="T9" s="116"/>
      <c r="U9" s="116"/>
      <c r="V9" s="116"/>
      <c r="Y9" s="116"/>
      <c r="Z9" s="116"/>
      <c r="AA9" s="116"/>
      <c r="AB9" s="116"/>
      <c r="AC9" s="116"/>
      <c r="AD9" s="116"/>
    </row>
    <row r="10" spans="2:30" x14ac:dyDescent="0.35">
      <c r="B10" s="157" t="s">
        <v>158</v>
      </c>
      <c r="C10" s="159"/>
      <c r="D10" s="159"/>
      <c r="E10" s="159"/>
      <c r="F10" s="159"/>
      <c r="G10" s="159"/>
      <c r="H10" s="159"/>
      <c r="I10" s="159"/>
      <c r="L10" s="116"/>
      <c r="M10" s="116"/>
      <c r="N10" s="116"/>
      <c r="O10" s="116"/>
      <c r="P10" s="116"/>
      <c r="Q10" s="116"/>
      <c r="R10" s="115"/>
      <c r="S10" s="116"/>
      <c r="T10" s="116"/>
      <c r="U10" s="116"/>
      <c r="V10" s="116"/>
      <c r="Y10" s="116"/>
      <c r="Z10" s="116"/>
      <c r="AA10" s="116"/>
      <c r="AB10" s="116"/>
      <c r="AC10" s="116"/>
      <c r="AD10" s="116"/>
    </row>
    <row r="11" spans="2:30" x14ac:dyDescent="0.35">
      <c r="B11" s="156" t="s">
        <v>179</v>
      </c>
      <c r="C11" s="159"/>
      <c r="D11" s="160"/>
      <c r="E11" s="159"/>
      <c r="F11" s="159"/>
      <c r="G11" s="159"/>
      <c r="H11" s="159"/>
      <c r="I11" s="159"/>
      <c r="L11" s="116"/>
      <c r="M11" s="116"/>
      <c r="N11" s="116"/>
      <c r="O11" s="116"/>
      <c r="P11" s="116"/>
      <c r="Q11" s="116"/>
      <c r="R11" s="115"/>
      <c r="S11" s="116"/>
      <c r="T11" s="116"/>
      <c r="U11" s="116"/>
      <c r="V11" s="116"/>
      <c r="Y11" s="116"/>
      <c r="Z11" s="116"/>
      <c r="AA11" s="116"/>
      <c r="AB11" s="116"/>
      <c r="AC11" s="116"/>
      <c r="AD11" s="116"/>
    </row>
    <row r="12" spans="2:30" x14ac:dyDescent="0.35">
      <c r="B12" s="157" t="s">
        <v>160</v>
      </c>
      <c r="C12" s="159"/>
      <c r="D12" s="159"/>
      <c r="E12" s="159"/>
      <c r="F12" s="159"/>
      <c r="G12" s="159"/>
      <c r="H12" s="159"/>
      <c r="I12" s="159"/>
      <c r="L12" s="116"/>
      <c r="M12" s="116"/>
      <c r="N12" s="116"/>
      <c r="O12" s="116"/>
      <c r="P12" s="116"/>
      <c r="Q12" s="116"/>
      <c r="R12" s="115"/>
      <c r="S12" s="116"/>
      <c r="T12" s="116"/>
      <c r="U12" s="116"/>
      <c r="V12" s="116"/>
      <c r="Y12" s="116"/>
      <c r="Z12" s="116"/>
      <c r="AA12" s="116"/>
      <c r="AB12" s="116"/>
      <c r="AC12" s="116"/>
      <c r="AD12" s="116"/>
    </row>
    <row r="13" spans="2:30" x14ac:dyDescent="0.35">
      <c r="B13" s="157" t="s">
        <v>161</v>
      </c>
      <c r="C13" s="159"/>
      <c r="D13" s="159"/>
      <c r="E13" s="159"/>
      <c r="F13" s="159"/>
      <c r="G13" s="159"/>
      <c r="H13" s="159"/>
      <c r="I13" s="159"/>
      <c r="L13" s="116"/>
      <c r="M13" s="116"/>
      <c r="N13" s="116"/>
      <c r="O13" s="116"/>
      <c r="P13" s="116"/>
      <c r="Q13" s="116"/>
      <c r="R13" s="115"/>
      <c r="S13" s="116"/>
      <c r="T13" s="116"/>
      <c r="U13" s="116"/>
      <c r="V13" s="116"/>
      <c r="Y13" s="116"/>
      <c r="Z13" s="116"/>
      <c r="AA13" s="116"/>
      <c r="AB13" s="116"/>
      <c r="AC13" s="116"/>
      <c r="AD13" s="116"/>
    </row>
    <row r="14" spans="2:30" x14ac:dyDescent="0.35">
      <c r="B14" s="157" t="s">
        <v>164</v>
      </c>
      <c r="C14" s="159"/>
      <c r="D14" s="159"/>
      <c r="E14" s="159"/>
      <c r="F14" s="159"/>
      <c r="G14" s="159"/>
      <c r="H14" s="159"/>
      <c r="I14" s="159"/>
      <c r="L14" s="116"/>
      <c r="M14" s="116"/>
      <c r="N14" s="116"/>
      <c r="O14" s="116"/>
      <c r="P14" s="116"/>
      <c r="Q14" s="116"/>
      <c r="R14" s="115"/>
      <c r="S14" s="116"/>
      <c r="T14" s="116"/>
      <c r="U14" s="116"/>
      <c r="V14" s="116"/>
      <c r="Y14" s="116"/>
      <c r="Z14" s="116"/>
      <c r="AA14" s="116"/>
      <c r="AB14" s="116"/>
      <c r="AC14" s="116"/>
      <c r="AD14" s="116"/>
    </row>
    <row r="15" spans="2:30" x14ac:dyDescent="0.35">
      <c r="B15" s="157" t="s">
        <v>163</v>
      </c>
      <c r="C15" s="159"/>
      <c r="D15" s="159"/>
      <c r="E15" s="159"/>
      <c r="F15" s="159"/>
      <c r="G15" s="159"/>
      <c r="H15" s="159"/>
      <c r="I15" s="159"/>
      <c r="L15" s="116"/>
      <c r="M15" s="116"/>
      <c r="N15" s="116"/>
      <c r="O15" s="116"/>
      <c r="P15" s="116"/>
      <c r="Q15" s="116"/>
      <c r="R15" s="115"/>
      <c r="S15" s="116"/>
      <c r="T15" s="116"/>
      <c r="U15" s="116"/>
      <c r="V15" s="116"/>
      <c r="Y15" s="116"/>
      <c r="Z15" s="116"/>
      <c r="AA15" s="116"/>
      <c r="AB15" s="116"/>
      <c r="AC15" s="116"/>
      <c r="AD15" s="116"/>
    </row>
    <row r="16" spans="2:30" x14ac:dyDescent="0.35">
      <c r="B16" s="157" t="s">
        <v>165</v>
      </c>
      <c r="C16" s="159"/>
      <c r="D16" s="159"/>
      <c r="E16" s="159"/>
      <c r="F16" s="159"/>
      <c r="G16" s="159"/>
      <c r="H16" s="159"/>
      <c r="I16" s="159"/>
      <c r="L16" s="116"/>
      <c r="M16" s="116"/>
      <c r="N16" s="116"/>
      <c r="O16" s="116"/>
      <c r="P16" s="116"/>
      <c r="Q16" s="116"/>
      <c r="R16" s="115"/>
      <c r="S16" s="116"/>
      <c r="T16" s="116"/>
      <c r="U16" s="116"/>
      <c r="V16" s="116"/>
      <c r="Y16" s="116"/>
      <c r="Z16" s="116"/>
      <c r="AA16" s="116"/>
      <c r="AB16" s="116"/>
      <c r="AC16" s="116"/>
      <c r="AD16" s="116"/>
    </row>
    <row r="17" spans="2:18" x14ac:dyDescent="0.35">
      <c r="B17" s="157" t="s">
        <v>166</v>
      </c>
      <c r="C17" s="159"/>
      <c r="D17" s="159"/>
      <c r="E17" s="159"/>
      <c r="F17" s="159"/>
      <c r="G17" s="159"/>
      <c r="H17" s="159"/>
      <c r="I17" s="159"/>
      <c r="Q17" s="120">
        <v>16544000</v>
      </c>
      <c r="R17" s="154">
        <v>1</v>
      </c>
    </row>
    <row r="18" spans="2:18" x14ac:dyDescent="0.35">
      <c r="B18" s="157" t="s">
        <v>71</v>
      </c>
      <c r="C18" s="159"/>
      <c r="D18" s="159"/>
      <c r="E18" s="159"/>
      <c r="F18" s="159"/>
      <c r="G18" s="159"/>
      <c r="H18" s="159"/>
      <c r="I18" s="159"/>
    </row>
    <row r="19" spans="2:18" x14ac:dyDescent="0.35">
      <c r="B19" s="157" t="s">
        <v>167</v>
      </c>
      <c r="C19" s="159"/>
      <c r="D19" s="159"/>
      <c r="E19" s="159"/>
      <c r="F19" s="159"/>
      <c r="G19" s="159"/>
      <c r="H19" s="159"/>
      <c r="I19" s="159"/>
    </row>
    <row r="20" spans="2:18" x14ac:dyDescent="0.35">
      <c r="B20" s="157" t="s">
        <v>168</v>
      </c>
      <c r="C20" s="159"/>
      <c r="D20" s="159"/>
      <c r="E20" s="159"/>
      <c r="F20" s="159"/>
      <c r="G20" s="159"/>
      <c r="H20" s="159"/>
      <c r="I20" s="159"/>
    </row>
    <row r="21" spans="2:18" x14ac:dyDescent="0.35">
      <c r="B21" s="157" t="s">
        <v>25</v>
      </c>
      <c r="C21" s="159"/>
      <c r="D21" s="159"/>
      <c r="E21" s="159"/>
      <c r="F21" s="159"/>
      <c r="G21" s="159"/>
      <c r="H21" s="159"/>
      <c r="I21" s="159"/>
    </row>
    <row r="22" spans="2:18" x14ac:dyDescent="0.35">
      <c r="B22" s="157" t="s">
        <v>169</v>
      </c>
      <c r="C22" s="159"/>
      <c r="D22" s="159"/>
      <c r="E22" s="159"/>
      <c r="F22" s="159"/>
      <c r="G22" s="159"/>
      <c r="H22" s="159"/>
      <c r="I22" s="159"/>
    </row>
    <row r="23" spans="2:18" x14ac:dyDescent="0.35">
      <c r="B23" s="157" t="s">
        <v>170</v>
      </c>
      <c r="C23" s="159"/>
      <c r="D23" s="159"/>
      <c r="E23" s="159"/>
      <c r="F23" s="159"/>
      <c r="G23" s="159"/>
      <c r="H23" s="159"/>
      <c r="I23" s="159"/>
    </row>
    <row r="24" spans="2:18" x14ac:dyDescent="0.35">
      <c r="B24" s="157" t="s">
        <v>171</v>
      </c>
      <c r="C24" s="159"/>
      <c r="D24" s="159"/>
      <c r="E24" s="159"/>
      <c r="F24" s="159"/>
      <c r="G24" s="159"/>
      <c r="H24" s="159"/>
      <c r="I24" s="159"/>
    </row>
    <row r="25" spans="2:18" x14ac:dyDescent="0.35">
      <c r="B25" s="157" t="s">
        <v>172</v>
      </c>
      <c r="C25" s="159"/>
      <c r="D25" s="159"/>
      <c r="E25" s="159"/>
      <c r="F25" s="159"/>
      <c r="G25" s="159"/>
      <c r="H25" s="159"/>
      <c r="I25" s="159"/>
    </row>
    <row r="26" spans="2:18" x14ac:dyDescent="0.35">
      <c r="B26" s="157" t="s">
        <v>173</v>
      </c>
      <c r="C26" s="159"/>
      <c r="D26" s="159"/>
      <c r="E26" s="159"/>
      <c r="F26" s="159"/>
      <c r="G26" s="159"/>
      <c r="H26" s="159"/>
      <c r="I26" s="159"/>
    </row>
    <row r="27" spans="2:18" x14ac:dyDescent="0.35">
      <c r="B27" s="157" t="s">
        <v>79</v>
      </c>
      <c r="C27" s="159"/>
      <c r="D27" s="159"/>
      <c r="E27" s="159"/>
      <c r="F27" s="159"/>
      <c r="G27" s="159"/>
      <c r="H27" s="159"/>
      <c r="I27" s="159"/>
    </row>
    <row r="28" spans="2:18" x14ac:dyDescent="0.35">
      <c r="B28" s="157" t="s">
        <v>80</v>
      </c>
      <c r="C28" s="159"/>
      <c r="D28" s="159"/>
      <c r="E28" s="159"/>
      <c r="F28" s="159"/>
      <c r="G28" s="159"/>
      <c r="H28" s="159"/>
      <c r="I28" s="159"/>
    </row>
    <row r="29" spans="2:18" x14ac:dyDescent="0.35">
      <c r="B29" s="157" t="s">
        <v>174</v>
      </c>
      <c r="C29" s="159"/>
      <c r="D29" s="159"/>
      <c r="E29" s="159"/>
      <c r="F29" s="159"/>
      <c r="G29" s="159"/>
      <c r="H29" s="159"/>
      <c r="I29" s="159"/>
    </row>
    <row r="30" spans="2:18" x14ac:dyDescent="0.35">
      <c r="B30" s="157" t="s">
        <v>78</v>
      </c>
      <c r="C30" s="159"/>
      <c r="D30" s="159"/>
      <c r="E30" s="159"/>
      <c r="F30" s="159"/>
      <c r="G30" s="159"/>
      <c r="H30" s="159"/>
      <c r="I30" s="159"/>
    </row>
    <row r="31" spans="2:18" x14ac:dyDescent="0.35">
      <c r="B31" s="157" t="s">
        <v>175</v>
      </c>
      <c r="C31" s="159"/>
      <c r="D31" s="159"/>
      <c r="E31" s="159"/>
      <c r="F31" s="159"/>
      <c r="G31" s="159"/>
      <c r="H31" s="159"/>
      <c r="I31" s="159"/>
    </row>
    <row r="32" spans="2:18" x14ac:dyDescent="0.35">
      <c r="B32" s="157" t="s">
        <v>46</v>
      </c>
      <c r="C32" s="159"/>
      <c r="D32" s="159"/>
      <c r="E32" s="159"/>
      <c r="F32" s="159"/>
      <c r="G32" s="159"/>
      <c r="H32" s="159"/>
      <c r="I32" s="159"/>
    </row>
    <row r="33" spans="2:9" x14ac:dyDescent="0.35">
      <c r="B33" s="157" t="s">
        <v>74</v>
      </c>
      <c r="C33" s="159"/>
      <c r="D33" s="159"/>
      <c r="E33" s="159"/>
      <c r="F33" s="159"/>
      <c r="G33" s="159"/>
      <c r="H33" s="159"/>
      <c r="I33" s="159"/>
    </row>
    <row r="34" spans="2:9" x14ac:dyDescent="0.35">
      <c r="B34" s="157" t="s">
        <v>75</v>
      </c>
      <c r="C34" s="159"/>
      <c r="D34" s="159"/>
      <c r="E34" s="159"/>
      <c r="F34" s="159"/>
      <c r="G34" s="159"/>
      <c r="H34" s="159"/>
      <c r="I34" s="159"/>
    </row>
    <row r="35" spans="2:9" x14ac:dyDescent="0.35">
      <c r="B35" s="157" t="s">
        <v>76</v>
      </c>
      <c r="C35" s="159"/>
      <c r="D35" s="159"/>
      <c r="E35" s="159"/>
      <c r="F35" s="159"/>
      <c r="G35" s="159"/>
      <c r="H35" s="159"/>
      <c r="I35" s="159"/>
    </row>
    <row r="36" spans="2:9" x14ac:dyDescent="0.35">
      <c r="B36" s="157" t="s">
        <v>77</v>
      </c>
      <c r="C36" s="159"/>
      <c r="D36" s="159"/>
      <c r="E36" s="159"/>
      <c r="F36" s="159"/>
      <c r="G36" s="159"/>
      <c r="H36" s="159"/>
      <c r="I36" s="159"/>
    </row>
    <row r="37" spans="2:9" x14ac:dyDescent="0.35">
      <c r="B37" s="156" t="s">
        <v>185</v>
      </c>
      <c r="C37" s="159"/>
      <c r="D37" s="160"/>
      <c r="E37" s="159"/>
      <c r="F37" s="159"/>
      <c r="G37" s="159"/>
      <c r="H37" s="159"/>
      <c r="I37" s="161"/>
    </row>
    <row r="38" spans="2:9" x14ac:dyDescent="0.35">
      <c r="B38" s="157" t="s">
        <v>70</v>
      </c>
      <c r="C38" s="159"/>
      <c r="D38" s="159"/>
      <c r="E38" s="159"/>
      <c r="F38" s="159"/>
      <c r="G38" s="159"/>
      <c r="H38" s="161"/>
      <c r="I38" s="159"/>
    </row>
    <row r="39" spans="2:9" x14ac:dyDescent="0.35">
      <c r="D39" s="18"/>
      <c r="I39" s="120">
        <v>16544000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11"/>
  <sheetViews>
    <sheetView showGridLines="0"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5" sqref="A5:XFD5"/>
    </sheetView>
  </sheetViews>
  <sheetFormatPr defaultRowHeight="14.5" x14ac:dyDescent="0.35"/>
  <cols>
    <col min="1" max="1" width="2.26953125" customWidth="1"/>
    <col min="2" max="2" width="12" style="131" customWidth="1"/>
    <col min="3" max="3" width="36" customWidth="1"/>
    <col min="4" max="4" width="8.7265625" style="82"/>
    <col min="5" max="5" width="0" style="18" hidden="1" customWidth="1"/>
    <col min="6" max="6" width="13.453125" style="2" customWidth="1"/>
    <col min="7" max="7" width="14.6328125" style="2" hidden="1" customWidth="1"/>
    <col min="8" max="8" width="2.08984375" customWidth="1"/>
    <col min="10" max="10" width="11.90625" style="4" bestFit="1" customWidth="1"/>
    <col min="11" max="11" width="17.453125" style="4" bestFit="1" customWidth="1"/>
    <col min="12" max="12" width="8.7265625" style="4"/>
    <col min="13" max="13" width="10" style="4" bestFit="1" customWidth="1"/>
    <col min="14" max="28" width="8.7265625" style="4"/>
  </cols>
  <sheetData>
    <row r="1" spans="2:28" ht="7.5" customHeight="1" x14ac:dyDescent="0.35"/>
    <row r="2" spans="2:28" s="83" customFormat="1" ht="31.5" customHeight="1" x14ac:dyDescent="0.35">
      <c r="B2" s="99" t="s">
        <v>238</v>
      </c>
      <c r="C2" s="100" t="s">
        <v>239</v>
      </c>
      <c r="D2" s="101" t="s">
        <v>5</v>
      </c>
      <c r="E2" s="101" t="s">
        <v>191</v>
      </c>
      <c r="F2" s="102" t="s">
        <v>9</v>
      </c>
      <c r="G2" s="103" t="s">
        <v>6</v>
      </c>
      <c r="I2" s="130">
        <v>0.1</v>
      </c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2:28" x14ac:dyDescent="0.35">
      <c r="B3" s="144" t="s">
        <v>193</v>
      </c>
      <c r="C3" s="119" t="s">
        <v>211</v>
      </c>
      <c r="D3" s="121" t="s">
        <v>204</v>
      </c>
      <c r="E3" s="143">
        <f>0.0145</f>
        <v>1.4500000000000001E-2</v>
      </c>
      <c r="F3" s="122">
        <v>165000</v>
      </c>
      <c r="G3" s="118">
        <f t="shared" ref="G3:G34" si="0">E3*F3</f>
        <v>2392.5</v>
      </c>
      <c r="I3" s="1"/>
      <c r="J3" s="138"/>
      <c r="K3" s="138"/>
      <c r="L3" s="138"/>
      <c r="M3" s="139"/>
      <c r="N3" s="138"/>
      <c r="O3" s="138"/>
    </row>
    <row r="4" spans="2:28" x14ac:dyDescent="0.35">
      <c r="B4" s="144" t="s">
        <v>194</v>
      </c>
      <c r="C4" s="119" t="s">
        <v>10</v>
      </c>
      <c r="D4" s="117" t="s">
        <v>204</v>
      </c>
      <c r="E4" s="143">
        <v>0.1</v>
      </c>
      <c r="F4" s="122">
        <v>155000</v>
      </c>
      <c r="G4" s="118">
        <f t="shared" si="0"/>
        <v>15500</v>
      </c>
      <c r="I4" s="107"/>
      <c r="J4" s="138"/>
      <c r="K4" s="138"/>
      <c r="L4" s="142"/>
      <c r="M4" s="139"/>
      <c r="N4" s="139"/>
      <c r="O4" s="138"/>
    </row>
    <row r="5" spans="2:28" x14ac:dyDescent="0.35">
      <c r="B5" s="144" t="s">
        <v>250</v>
      </c>
      <c r="C5" s="119" t="s">
        <v>211</v>
      </c>
      <c r="D5" s="121" t="s">
        <v>204</v>
      </c>
      <c r="E5" s="147">
        <v>2.5000000000000001E-2</v>
      </c>
      <c r="F5" s="122">
        <v>165000</v>
      </c>
      <c r="G5" s="118">
        <f t="shared" si="0"/>
        <v>4125</v>
      </c>
      <c r="I5" s="107"/>
      <c r="J5" s="138"/>
      <c r="K5" s="138"/>
      <c r="L5" s="142"/>
      <c r="M5" s="139"/>
      <c r="N5" s="139"/>
      <c r="O5" s="138"/>
    </row>
    <row r="6" spans="2:28" s="107" customFormat="1" x14ac:dyDescent="0.35">
      <c r="B6" s="144" t="s">
        <v>255</v>
      </c>
      <c r="C6" s="119" t="s">
        <v>10</v>
      </c>
      <c r="D6" s="117" t="s">
        <v>204</v>
      </c>
      <c r="E6" s="143">
        <v>0.05</v>
      </c>
      <c r="F6" s="122">
        <v>155000</v>
      </c>
      <c r="G6" s="118">
        <f t="shared" si="0"/>
        <v>7750</v>
      </c>
      <c r="J6" s="138"/>
      <c r="K6" s="138"/>
      <c r="L6" s="142"/>
      <c r="M6" s="139"/>
      <c r="N6" s="139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</row>
    <row r="7" spans="2:28" x14ac:dyDescent="0.35">
      <c r="B7" s="144" t="s">
        <v>251</v>
      </c>
      <c r="C7" s="119" t="s">
        <v>211</v>
      </c>
      <c r="D7" s="121" t="s">
        <v>204</v>
      </c>
      <c r="E7" s="147">
        <v>2.5000000000000001E-2</v>
      </c>
      <c r="F7" s="122">
        <v>165000</v>
      </c>
      <c r="G7" s="118">
        <f t="shared" si="0"/>
        <v>4125</v>
      </c>
      <c r="I7" s="107"/>
      <c r="J7" s="138"/>
      <c r="K7" s="138"/>
      <c r="L7" s="142"/>
      <c r="M7" s="139"/>
      <c r="N7" s="138"/>
      <c r="O7" s="138"/>
    </row>
    <row r="8" spans="2:28" x14ac:dyDescent="0.35">
      <c r="B8" s="144" t="s">
        <v>256</v>
      </c>
      <c r="C8" s="116" t="s">
        <v>10</v>
      </c>
      <c r="D8" s="117" t="s">
        <v>204</v>
      </c>
      <c r="E8" s="143">
        <v>0.75</v>
      </c>
      <c r="F8" s="122">
        <v>155000</v>
      </c>
      <c r="G8" s="118">
        <f t="shared" si="0"/>
        <v>116250</v>
      </c>
      <c r="I8" s="107"/>
      <c r="J8" s="138"/>
      <c r="K8" s="138"/>
      <c r="L8" s="142"/>
      <c r="M8" s="139"/>
      <c r="N8" s="138"/>
      <c r="O8" s="138"/>
    </row>
    <row r="9" spans="2:28" x14ac:dyDescent="0.35">
      <c r="B9" s="144" t="s">
        <v>257</v>
      </c>
      <c r="C9" s="119" t="s">
        <v>211</v>
      </c>
      <c r="D9" s="123" t="s">
        <v>204</v>
      </c>
      <c r="E9" s="143">
        <f>0.0077</f>
        <v>7.7000000000000002E-3</v>
      </c>
      <c r="F9" s="122">
        <v>165000</v>
      </c>
      <c r="G9" s="118">
        <f t="shared" si="0"/>
        <v>1270.5</v>
      </c>
      <c r="I9" s="107"/>
      <c r="J9" s="138"/>
      <c r="K9" s="138"/>
      <c r="L9" s="142"/>
      <c r="M9" s="139"/>
      <c r="N9" s="138"/>
      <c r="O9" s="138"/>
    </row>
    <row r="10" spans="2:28" x14ac:dyDescent="0.35">
      <c r="B10" s="144" t="s">
        <v>258</v>
      </c>
      <c r="C10" s="119" t="s">
        <v>10</v>
      </c>
      <c r="D10" s="117" t="s">
        <v>204</v>
      </c>
      <c r="E10" s="143">
        <v>7.0000000000000001E-3</v>
      </c>
      <c r="F10" s="122">
        <v>155000</v>
      </c>
      <c r="G10" s="118">
        <f t="shared" si="0"/>
        <v>1085</v>
      </c>
      <c r="I10" s="107"/>
      <c r="J10" s="138"/>
      <c r="K10" s="138"/>
      <c r="L10" s="142"/>
      <c r="M10" s="139"/>
      <c r="N10" s="138"/>
      <c r="O10" s="138"/>
    </row>
    <row r="11" spans="2:28" s="1" customFormat="1" x14ac:dyDescent="0.35">
      <c r="B11" s="144" t="s">
        <v>259</v>
      </c>
      <c r="C11" s="119" t="s">
        <v>211</v>
      </c>
      <c r="D11" s="123" t="s">
        <v>204</v>
      </c>
      <c r="E11" s="147">
        <f>0.028+0.275</f>
        <v>0.30300000000000005</v>
      </c>
      <c r="F11" s="122">
        <v>165000</v>
      </c>
      <c r="G11" s="118">
        <f t="shared" si="0"/>
        <v>49995.000000000007</v>
      </c>
      <c r="I11" s="107"/>
      <c r="J11" s="138"/>
      <c r="K11" s="138"/>
      <c r="L11" s="142"/>
      <c r="M11" s="139"/>
      <c r="N11" s="139"/>
      <c r="O11" s="138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spans="2:28" x14ac:dyDescent="0.35">
      <c r="B12" s="144" t="s">
        <v>249</v>
      </c>
      <c r="C12" s="119" t="s">
        <v>10</v>
      </c>
      <c r="D12" s="117" t="s">
        <v>204</v>
      </c>
      <c r="E12" s="147">
        <v>1.65</v>
      </c>
      <c r="F12" s="122">
        <v>155000</v>
      </c>
      <c r="G12" s="118">
        <f t="shared" si="0"/>
        <v>255750</v>
      </c>
      <c r="I12" s="107"/>
      <c r="J12" s="138"/>
      <c r="K12" s="138"/>
      <c r="L12" s="142"/>
      <c r="M12" s="139"/>
      <c r="N12" s="139"/>
      <c r="O12" s="138"/>
    </row>
    <row r="13" spans="2:28" x14ac:dyDescent="0.35">
      <c r="B13" s="144" t="s">
        <v>253</v>
      </c>
      <c r="C13" s="119" t="s">
        <v>211</v>
      </c>
      <c r="D13" s="123" t="s">
        <v>204</v>
      </c>
      <c r="E13" s="147">
        <v>0.11</v>
      </c>
      <c r="F13" s="122">
        <v>165000</v>
      </c>
      <c r="G13" s="122">
        <f t="shared" si="0"/>
        <v>18150</v>
      </c>
      <c r="I13" s="107"/>
      <c r="J13" s="138"/>
      <c r="K13" s="138"/>
      <c r="L13" s="142"/>
      <c r="M13" s="139"/>
      <c r="N13" s="139"/>
      <c r="O13" s="138"/>
    </row>
    <row r="14" spans="2:28" x14ac:dyDescent="0.35">
      <c r="B14" s="144" t="s">
        <v>260</v>
      </c>
      <c r="C14" s="116" t="s">
        <v>10</v>
      </c>
      <c r="D14" s="117" t="s">
        <v>204</v>
      </c>
      <c r="E14" s="143">
        <v>0.2</v>
      </c>
      <c r="F14" s="122">
        <v>155000</v>
      </c>
      <c r="G14" s="122">
        <f t="shared" si="0"/>
        <v>31000</v>
      </c>
    </row>
    <row r="15" spans="2:28" x14ac:dyDescent="0.35">
      <c r="B15" s="144" t="s">
        <v>262</v>
      </c>
      <c r="C15" s="119" t="s">
        <v>211</v>
      </c>
      <c r="D15" s="123" t="s">
        <v>204</v>
      </c>
      <c r="E15" s="147">
        <f>0.033+0.33</f>
        <v>0.36299999999999999</v>
      </c>
      <c r="F15" s="122">
        <v>165000</v>
      </c>
      <c r="G15" s="122">
        <f t="shared" si="0"/>
        <v>59895</v>
      </c>
    </row>
    <row r="16" spans="2:28" x14ac:dyDescent="0.35">
      <c r="B16" s="144" t="s">
        <v>263</v>
      </c>
      <c r="C16" s="116" t="s">
        <v>10</v>
      </c>
      <c r="D16" s="123" t="s">
        <v>204</v>
      </c>
      <c r="E16" s="143">
        <v>0.66</v>
      </c>
      <c r="F16" s="122">
        <v>155000</v>
      </c>
      <c r="G16" s="122">
        <f t="shared" si="0"/>
        <v>102300</v>
      </c>
    </row>
    <row r="17" spans="2:28" x14ac:dyDescent="0.35">
      <c r="B17" s="144" t="s">
        <v>261</v>
      </c>
      <c r="C17" s="119" t="s">
        <v>211</v>
      </c>
      <c r="D17" s="123" t="s">
        <v>204</v>
      </c>
      <c r="E17" s="143">
        <f>0.75+0.075</f>
        <v>0.82499999999999996</v>
      </c>
      <c r="F17" s="122">
        <v>165000</v>
      </c>
      <c r="G17" s="122">
        <f t="shared" si="0"/>
        <v>136125</v>
      </c>
    </row>
    <row r="18" spans="2:28" x14ac:dyDescent="0.35">
      <c r="B18" s="144" t="s">
        <v>264</v>
      </c>
      <c r="C18" s="116" t="s">
        <v>10</v>
      </c>
      <c r="D18" s="123" t="s">
        <v>204</v>
      </c>
      <c r="E18" s="143">
        <v>1.5</v>
      </c>
      <c r="F18" s="122">
        <v>155000</v>
      </c>
      <c r="G18" s="122">
        <f t="shared" si="0"/>
        <v>232500</v>
      </c>
    </row>
    <row r="19" spans="2:28" x14ac:dyDescent="0.35">
      <c r="B19" s="144" t="s">
        <v>265</v>
      </c>
      <c r="C19" s="119" t="s">
        <v>211</v>
      </c>
      <c r="D19" s="123" t="s">
        <v>204</v>
      </c>
      <c r="E19" s="143">
        <v>6.6000000000000003E-2</v>
      </c>
      <c r="F19" s="122">
        <v>165000</v>
      </c>
      <c r="G19" s="122">
        <f t="shared" si="0"/>
        <v>10890</v>
      </c>
    </row>
    <row r="20" spans="2:28" s="1" customFormat="1" x14ac:dyDescent="0.35">
      <c r="B20" s="144" t="s">
        <v>266</v>
      </c>
      <c r="C20" s="116" t="s">
        <v>10</v>
      </c>
      <c r="D20" s="123" t="s">
        <v>204</v>
      </c>
      <c r="E20" s="143">
        <v>0.06</v>
      </c>
      <c r="F20" s="122">
        <v>155000</v>
      </c>
      <c r="G20" s="122">
        <f t="shared" si="0"/>
        <v>9300</v>
      </c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 spans="2:28" x14ac:dyDescent="0.35">
      <c r="B21" s="144" t="s">
        <v>267</v>
      </c>
      <c r="C21" s="119" t="s">
        <v>211</v>
      </c>
      <c r="D21" s="123" t="s">
        <v>204</v>
      </c>
      <c r="E21" s="143">
        <v>6.6000000000000003E-2</v>
      </c>
      <c r="F21" s="122">
        <v>165000</v>
      </c>
      <c r="G21" s="122">
        <f t="shared" si="0"/>
        <v>10890</v>
      </c>
    </row>
    <row r="22" spans="2:28" x14ac:dyDescent="0.35">
      <c r="B22" s="144" t="s">
        <v>254</v>
      </c>
      <c r="C22" s="116" t="s">
        <v>10</v>
      </c>
      <c r="D22" s="123" t="s">
        <v>204</v>
      </c>
      <c r="E22" s="143">
        <v>0.06</v>
      </c>
      <c r="F22" s="122">
        <v>155000</v>
      </c>
      <c r="G22" s="122">
        <f t="shared" si="0"/>
        <v>9300</v>
      </c>
    </row>
    <row r="23" spans="2:28" x14ac:dyDescent="0.35">
      <c r="B23" s="144" t="s">
        <v>268</v>
      </c>
      <c r="C23" s="119" t="s">
        <v>211</v>
      </c>
      <c r="D23" s="123" t="s">
        <v>204</v>
      </c>
      <c r="E23" s="143">
        <v>4.4000000000000003E-3</v>
      </c>
      <c r="F23" s="122">
        <v>165000</v>
      </c>
      <c r="G23" s="122">
        <f t="shared" si="0"/>
        <v>726</v>
      </c>
    </row>
    <row r="24" spans="2:28" x14ac:dyDescent="0.35">
      <c r="B24" s="144" t="s">
        <v>269</v>
      </c>
      <c r="C24" s="116" t="s">
        <v>10</v>
      </c>
      <c r="D24" s="123" t="s">
        <v>204</v>
      </c>
      <c r="E24" s="143">
        <v>8.8999999999999999E-3</v>
      </c>
      <c r="F24" s="122">
        <v>155000</v>
      </c>
      <c r="G24" s="122">
        <f t="shared" si="0"/>
        <v>1379.5</v>
      </c>
    </row>
    <row r="25" spans="2:28" x14ac:dyDescent="0.35">
      <c r="B25" s="144" t="s">
        <v>270</v>
      </c>
      <c r="C25" s="119" t="s">
        <v>211</v>
      </c>
      <c r="D25" s="123" t="s">
        <v>204</v>
      </c>
      <c r="E25" s="143">
        <f>0.006*2</f>
        <v>1.2E-2</v>
      </c>
      <c r="F25" s="122">
        <v>165000</v>
      </c>
      <c r="G25" s="122">
        <f t="shared" si="0"/>
        <v>1980</v>
      </c>
    </row>
    <row r="26" spans="2:28" x14ac:dyDescent="0.35">
      <c r="B26" s="144" t="s">
        <v>271</v>
      </c>
      <c r="C26" s="116" t="s">
        <v>10</v>
      </c>
      <c r="D26" s="123" t="s">
        <v>204</v>
      </c>
      <c r="E26" s="143">
        <v>6.0000000000000001E-3</v>
      </c>
      <c r="F26" s="122">
        <v>155000</v>
      </c>
      <c r="G26" s="122">
        <f t="shared" si="0"/>
        <v>930</v>
      </c>
    </row>
    <row r="27" spans="2:28" x14ac:dyDescent="0.35">
      <c r="B27" s="144" t="s">
        <v>272</v>
      </c>
      <c r="C27" s="119" t="s">
        <v>211</v>
      </c>
      <c r="D27" s="123" t="s">
        <v>204</v>
      </c>
      <c r="E27" s="143">
        <f>0.008+0.075</f>
        <v>8.299999999999999E-2</v>
      </c>
      <c r="F27" s="122">
        <v>165000</v>
      </c>
      <c r="G27" s="122">
        <f t="shared" si="0"/>
        <v>13694.999999999998</v>
      </c>
    </row>
    <row r="28" spans="2:28" s="107" customFormat="1" x14ac:dyDescent="0.35">
      <c r="B28" s="144" t="s">
        <v>273</v>
      </c>
      <c r="C28" s="116" t="s">
        <v>10</v>
      </c>
      <c r="D28" s="123" t="s">
        <v>204</v>
      </c>
      <c r="E28" s="143">
        <v>0.15</v>
      </c>
      <c r="F28" s="122">
        <v>155000</v>
      </c>
      <c r="G28" s="122">
        <f t="shared" si="0"/>
        <v>23250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</row>
    <row r="29" spans="2:28" x14ac:dyDescent="0.35">
      <c r="B29" s="144" t="s">
        <v>274</v>
      </c>
      <c r="C29" s="119" t="s">
        <v>211</v>
      </c>
      <c r="D29" s="123" t="s">
        <v>204</v>
      </c>
      <c r="E29" s="143">
        <f>0.11</f>
        <v>0.11</v>
      </c>
      <c r="F29" s="122">
        <v>165000</v>
      </c>
      <c r="G29" s="122">
        <f t="shared" si="0"/>
        <v>18150</v>
      </c>
    </row>
    <row r="30" spans="2:28" x14ac:dyDescent="0.35">
      <c r="B30" s="144" t="s">
        <v>275</v>
      </c>
      <c r="C30" s="116" t="s">
        <v>10</v>
      </c>
      <c r="D30" s="123" t="s">
        <v>204</v>
      </c>
      <c r="E30" s="143">
        <v>0.3</v>
      </c>
      <c r="F30" s="122">
        <v>155000</v>
      </c>
      <c r="G30" s="122">
        <f t="shared" si="0"/>
        <v>46500</v>
      </c>
    </row>
    <row r="31" spans="2:28" x14ac:dyDescent="0.35">
      <c r="B31" s="144" t="s">
        <v>276</v>
      </c>
      <c r="C31" s="119" t="s">
        <v>211</v>
      </c>
      <c r="D31" s="123" t="s">
        <v>204</v>
      </c>
      <c r="E31" s="143">
        <f>0.015+0.15</f>
        <v>0.16499999999999998</v>
      </c>
      <c r="F31" s="122">
        <v>165000</v>
      </c>
      <c r="G31" s="122">
        <f t="shared" si="0"/>
        <v>27224.999999999996</v>
      </c>
    </row>
    <row r="32" spans="2:28" x14ac:dyDescent="0.35">
      <c r="B32" s="144" t="s">
        <v>252</v>
      </c>
      <c r="C32" s="116" t="s">
        <v>10</v>
      </c>
      <c r="D32" s="123" t="s">
        <v>204</v>
      </c>
      <c r="E32" s="143">
        <v>0.3</v>
      </c>
      <c r="F32" s="122">
        <v>155000</v>
      </c>
      <c r="G32" s="122">
        <f t="shared" si="0"/>
        <v>46500</v>
      </c>
    </row>
    <row r="33" spans="2:28" x14ac:dyDescent="0.35">
      <c r="B33" s="144" t="s">
        <v>277</v>
      </c>
      <c r="C33" s="119" t="s">
        <v>211</v>
      </c>
      <c r="D33" s="123" t="s">
        <v>204</v>
      </c>
      <c r="E33" s="143">
        <f>0.105+1.05</f>
        <v>1.155</v>
      </c>
      <c r="F33" s="122">
        <v>165000</v>
      </c>
      <c r="G33" s="122">
        <f t="shared" si="0"/>
        <v>190575</v>
      </c>
    </row>
    <row r="34" spans="2:28" s="107" customFormat="1" x14ac:dyDescent="0.35">
      <c r="B34" s="144" t="s">
        <v>278</v>
      </c>
      <c r="C34" s="116" t="s">
        <v>10</v>
      </c>
      <c r="D34" s="123" t="s">
        <v>204</v>
      </c>
      <c r="E34" s="143">
        <v>0.35</v>
      </c>
      <c r="F34" s="122">
        <v>155000</v>
      </c>
      <c r="G34" s="122">
        <f t="shared" si="0"/>
        <v>54250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</row>
    <row r="35" spans="2:28" x14ac:dyDescent="0.35">
      <c r="B35" s="144" t="s">
        <v>279</v>
      </c>
      <c r="C35" s="119" t="s">
        <v>211</v>
      </c>
      <c r="D35" s="123" t="s">
        <v>204</v>
      </c>
      <c r="E35" s="143">
        <f>21+2.1</f>
        <v>23.1</v>
      </c>
      <c r="F35" s="122">
        <v>165000</v>
      </c>
      <c r="G35" s="122">
        <f t="shared" ref="G35:G66" si="1">E35*F35</f>
        <v>3811500.0000000005</v>
      </c>
    </row>
    <row r="36" spans="2:28" x14ac:dyDescent="0.35">
      <c r="B36" s="144" t="s">
        <v>280</v>
      </c>
      <c r="C36" s="116" t="s">
        <v>10</v>
      </c>
      <c r="D36" s="123" t="s">
        <v>204</v>
      </c>
      <c r="E36" s="143">
        <v>7</v>
      </c>
      <c r="F36" s="122">
        <v>155000</v>
      </c>
      <c r="G36" s="122">
        <f t="shared" si="1"/>
        <v>1085000</v>
      </c>
    </row>
    <row r="37" spans="2:28" x14ac:dyDescent="0.35">
      <c r="B37" s="144" t="s">
        <v>281</v>
      </c>
      <c r="C37" s="119" t="s">
        <v>211</v>
      </c>
      <c r="D37" s="123" t="s">
        <v>204</v>
      </c>
      <c r="E37" s="143">
        <f>0.009+0.32</f>
        <v>0.32900000000000001</v>
      </c>
      <c r="F37" s="122">
        <v>165000</v>
      </c>
      <c r="G37" s="122">
        <f t="shared" si="1"/>
        <v>54285</v>
      </c>
    </row>
    <row r="38" spans="2:28" x14ac:dyDescent="0.35">
      <c r="B38" s="144" t="s">
        <v>282</v>
      </c>
      <c r="C38" s="116" t="s">
        <v>10</v>
      </c>
      <c r="D38" s="123" t="s">
        <v>204</v>
      </c>
      <c r="E38" s="143">
        <f>0.18</f>
        <v>0.18</v>
      </c>
      <c r="F38" s="122">
        <v>155000</v>
      </c>
      <c r="G38" s="122">
        <f t="shared" si="1"/>
        <v>27900</v>
      </c>
    </row>
    <row r="39" spans="2:28" x14ac:dyDescent="0.35">
      <c r="B39" s="144" t="s">
        <v>283</v>
      </c>
      <c r="C39" s="119" t="s">
        <v>211</v>
      </c>
      <c r="D39" s="123" t="s">
        <v>204</v>
      </c>
      <c r="E39" s="143">
        <f>0.0063+0.063</f>
        <v>6.93E-2</v>
      </c>
      <c r="F39" s="122">
        <v>165000</v>
      </c>
      <c r="G39" s="118">
        <f t="shared" si="1"/>
        <v>11434.5</v>
      </c>
    </row>
    <row r="40" spans="2:28" x14ac:dyDescent="0.35">
      <c r="B40" s="144" t="s">
        <v>284</v>
      </c>
      <c r="C40" s="116" t="s">
        <v>10</v>
      </c>
      <c r="D40" s="123" t="s">
        <v>204</v>
      </c>
      <c r="E40" s="143">
        <v>0.02</v>
      </c>
      <c r="F40" s="122">
        <v>155000</v>
      </c>
      <c r="G40" s="118">
        <f t="shared" si="1"/>
        <v>3100</v>
      </c>
    </row>
    <row r="41" spans="2:28" x14ac:dyDescent="0.35">
      <c r="B41" s="144" t="s">
        <v>285</v>
      </c>
      <c r="C41" s="119" t="s">
        <v>211</v>
      </c>
      <c r="D41" s="123" t="s">
        <v>204</v>
      </c>
      <c r="E41" s="143">
        <f>0.035+0.35</f>
        <v>0.38500000000000001</v>
      </c>
      <c r="F41" s="122">
        <v>165000</v>
      </c>
      <c r="G41" s="118">
        <f t="shared" si="1"/>
        <v>63525</v>
      </c>
    </row>
    <row r="42" spans="2:28" x14ac:dyDescent="0.35">
      <c r="B42" s="144" t="s">
        <v>286</v>
      </c>
      <c r="C42" s="116" t="s">
        <v>10</v>
      </c>
      <c r="D42" s="123" t="s">
        <v>204</v>
      </c>
      <c r="E42" s="143">
        <v>0.7</v>
      </c>
      <c r="F42" s="122">
        <v>155000</v>
      </c>
      <c r="G42" s="118">
        <f t="shared" si="1"/>
        <v>108500</v>
      </c>
    </row>
    <row r="43" spans="2:28" x14ac:dyDescent="0.35">
      <c r="B43" s="148" t="s">
        <v>310</v>
      </c>
      <c r="C43" s="116" t="s">
        <v>41</v>
      </c>
      <c r="D43" s="117" t="s">
        <v>82</v>
      </c>
      <c r="E43" s="143">
        <v>1</v>
      </c>
      <c r="F43" s="118">
        <v>2500000</v>
      </c>
      <c r="G43" s="118">
        <f t="shared" si="1"/>
        <v>2500000</v>
      </c>
    </row>
    <row r="44" spans="2:28" x14ac:dyDescent="0.35">
      <c r="B44" s="148" t="s">
        <v>311</v>
      </c>
      <c r="C44" s="116" t="s">
        <v>157</v>
      </c>
      <c r="D44" s="117" t="s">
        <v>81</v>
      </c>
      <c r="E44" s="143">
        <v>1</v>
      </c>
      <c r="F44" s="118">
        <v>5000</v>
      </c>
      <c r="G44" s="118">
        <f t="shared" si="1"/>
        <v>5000</v>
      </c>
    </row>
    <row r="45" spans="2:28" x14ac:dyDescent="0.35">
      <c r="B45" s="148" t="s">
        <v>312</v>
      </c>
      <c r="C45" s="116" t="s">
        <v>26</v>
      </c>
      <c r="D45" s="115" t="s">
        <v>82</v>
      </c>
      <c r="E45" s="143">
        <v>1</v>
      </c>
      <c r="F45" s="118">
        <v>25000000</v>
      </c>
      <c r="G45" s="118">
        <f t="shared" si="1"/>
        <v>25000000</v>
      </c>
    </row>
    <row r="46" spans="2:28" x14ac:dyDescent="0.35">
      <c r="B46" s="148" t="s">
        <v>313</v>
      </c>
      <c r="C46" s="116" t="s">
        <v>64</v>
      </c>
      <c r="D46" s="115" t="s">
        <v>82</v>
      </c>
      <c r="E46" s="143">
        <v>1</v>
      </c>
      <c r="F46" s="118">
        <v>15000000</v>
      </c>
      <c r="G46" s="118">
        <f t="shared" si="1"/>
        <v>15000000</v>
      </c>
    </row>
    <row r="47" spans="2:28" x14ac:dyDescent="0.35">
      <c r="B47" s="123" t="s">
        <v>314</v>
      </c>
      <c r="C47" s="116" t="s">
        <v>209</v>
      </c>
      <c r="D47" s="117" t="s">
        <v>2</v>
      </c>
      <c r="E47" s="143">
        <v>1.4999999999999999E-2</v>
      </c>
      <c r="F47" s="118">
        <v>25900</v>
      </c>
      <c r="G47" s="118">
        <f t="shared" si="1"/>
        <v>388.5</v>
      </c>
    </row>
    <row r="48" spans="2:28" x14ac:dyDescent="0.35">
      <c r="B48" s="123" t="s">
        <v>315</v>
      </c>
      <c r="C48" s="116" t="s">
        <v>210</v>
      </c>
      <c r="D48" s="117" t="s">
        <v>2</v>
      </c>
      <c r="E48" s="143">
        <v>1.05</v>
      </c>
      <c r="F48" s="118">
        <v>13500</v>
      </c>
      <c r="G48" s="118">
        <f t="shared" si="1"/>
        <v>14175</v>
      </c>
    </row>
    <row r="49" spans="2:7" x14ac:dyDescent="0.35">
      <c r="B49" s="123" t="s">
        <v>316</v>
      </c>
      <c r="C49" s="119" t="s">
        <v>158</v>
      </c>
      <c r="D49" s="117" t="s">
        <v>208</v>
      </c>
      <c r="E49" s="143">
        <v>7.6E-3</v>
      </c>
      <c r="F49" s="118">
        <v>149400</v>
      </c>
      <c r="G49" s="118">
        <f t="shared" si="1"/>
        <v>1135.44</v>
      </c>
    </row>
    <row r="50" spans="2:7" x14ac:dyDescent="0.35">
      <c r="B50" s="123" t="s">
        <v>317</v>
      </c>
      <c r="C50" s="119" t="s">
        <v>160</v>
      </c>
      <c r="D50" s="117" t="s">
        <v>205</v>
      </c>
      <c r="E50" s="143">
        <v>0.65</v>
      </c>
      <c r="F50" s="118">
        <v>71900</v>
      </c>
      <c r="G50" s="118">
        <f t="shared" si="1"/>
        <v>46735</v>
      </c>
    </row>
    <row r="51" spans="2:7" x14ac:dyDescent="0.35">
      <c r="B51" s="123" t="s">
        <v>318</v>
      </c>
      <c r="C51" s="119" t="s">
        <v>161</v>
      </c>
      <c r="D51" s="117" t="s">
        <v>1</v>
      </c>
      <c r="E51" s="143">
        <v>0.42599999999999999</v>
      </c>
      <c r="F51" s="118">
        <v>265300</v>
      </c>
      <c r="G51" s="118">
        <f t="shared" si="1"/>
        <v>113017.8</v>
      </c>
    </row>
    <row r="52" spans="2:7" x14ac:dyDescent="0.35">
      <c r="B52" s="123" t="s">
        <v>319</v>
      </c>
      <c r="C52" s="119" t="s">
        <v>164</v>
      </c>
      <c r="D52" s="117" t="s">
        <v>1</v>
      </c>
      <c r="E52" s="143">
        <v>0.54</v>
      </c>
      <c r="F52" s="118">
        <v>243300</v>
      </c>
      <c r="G52" s="118">
        <f t="shared" si="1"/>
        <v>131382</v>
      </c>
    </row>
    <row r="53" spans="2:7" x14ac:dyDescent="0.35">
      <c r="B53" s="123" t="s">
        <v>320</v>
      </c>
      <c r="C53" s="119" t="s">
        <v>206</v>
      </c>
      <c r="D53" s="117" t="s">
        <v>207</v>
      </c>
      <c r="E53" s="143">
        <v>215</v>
      </c>
      <c r="F53" s="118">
        <v>6</v>
      </c>
      <c r="G53" s="118">
        <f t="shared" si="1"/>
        <v>1290</v>
      </c>
    </row>
    <row r="54" spans="2:7" x14ac:dyDescent="0.35">
      <c r="B54" s="123" t="s">
        <v>321</v>
      </c>
      <c r="C54" s="116" t="s">
        <v>356</v>
      </c>
      <c r="D54" s="117" t="s">
        <v>85</v>
      </c>
      <c r="E54" s="143">
        <v>12.5</v>
      </c>
      <c r="F54" s="118">
        <v>3220</v>
      </c>
      <c r="G54" s="122">
        <f t="shared" si="1"/>
        <v>40250</v>
      </c>
    </row>
    <row r="55" spans="2:7" x14ac:dyDescent="0.35">
      <c r="B55" s="123" t="s">
        <v>322</v>
      </c>
      <c r="C55" s="116" t="s">
        <v>160</v>
      </c>
      <c r="D55" s="117" t="s">
        <v>205</v>
      </c>
      <c r="E55" s="143">
        <f>15/40</f>
        <v>0.375</v>
      </c>
      <c r="F55" s="118">
        <f>F47</f>
        <v>25900</v>
      </c>
      <c r="G55" s="122">
        <f t="shared" si="1"/>
        <v>9712.5</v>
      </c>
    </row>
    <row r="56" spans="2:7" x14ac:dyDescent="0.35">
      <c r="B56" s="123" t="s">
        <v>323</v>
      </c>
      <c r="C56" s="116" t="s">
        <v>161</v>
      </c>
      <c r="D56" s="117" t="s">
        <v>1</v>
      </c>
      <c r="E56" s="143">
        <v>0.15</v>
      </c>
      <c r="F56" s="118">
        <f>F48</f>
        <v>13500</v>
      </c>
      <c r="G56" s="122">
        <f t="shared" si="1"/>
        <v>2025</v>
      </c>
    </row>
    <row r="57" spans="2:7" x14ac:dyDescent="0.35">
      <c r="B57" s="123" t="s">
        <v>324</v>
      </c>
      <c r="C57" s="116" t="s">
        <v>200</v>
      </c>
      <c r="D57" s="117" t="s">
        <v>212</v>
      </c>
      <c r="E57" s="143">
        <v>0.35</v>
      </c>
      <c r="F57" s="118">
        <v>105000</v>
      </c>
      <c r="G57" s="122">
        <f t="shared" si="1"/>
        <v>36750</v>
      </c>
    </row>
    <row r="58" spans="2:7" x14ac:dyDescent="0.35">
      <c r="B58" s="123" t="s">
        <v>325</v>
      </c>
      <c r="C58" s="116" t="s">
        <v>213</v>
      </c>
      <c r="D58" s="117" t="s">
        <v>2</v>
      </c>
      <c r="E58" s="143">
        <v>0.4</v>
      </c>
      <c r="F58" s="118">
        <v>14800</v>
      </c>
      <c r="G58" s="122">
        <f t="shared" si="1"/>
        <v>5920</v>
      </c>
    </row>
    <row r="59" spans="2:7" x14ac:dyDescent="0.35">
      <c r="B59" s="123" t="s">
        <v>326</v>
      </c>
      <c r="C59" s="116" t="s">
        <v>214</v>
      </c>
      <c r="D59" s="117" t="s">
        <v>1</v>
      </c>
      <c r="E59" s="143">
        <v>0.04</v>
      </c>
      <c r="F59" s="118">
        <v>3622500</v>
      </c>
      <c r="G59" s="122">
        <f t="shared" si="1"/>
        <v>144900</v>
      </c>
    </row>
    <row r="60" spans="2:7" x14ac:dyDescent="0.35">
      <c r="B60" s="123" t="s">
        <v>327</v>
      </c>
      <c r="C60" s="116" t="s">
        <v>215</v>
      </c>
      <c r="D60" s="115" t="s">
        <v>1</v>
      </c>
      <c r="E60" s="143">
        <v>1.2</v>
      </c>
      <c r="F60" s="118">
        <v>451000</v>
      </c>
      <c r="G60" s="122">
        <f t="shared" si="1"/>
        <v>541200</v>
      </c>
    </row>
    <row r="61" spans="2:7" x14ac:dyDescent="0.35">
      <c r="B61" s="123" t="s">
        <v>328</v>
      </c>
      <c r="C61" s="116" t="s">
        <v>160</v>
      </c>
      <c r="D61" s="115" t="s">
        <v>205</v>
      </c>
      <c r="E61" s="143">
        <v>2.72</v>
      </c>
      <c r="F61" s="118">
        <f>F41</f>
        <v>165000</v>
      </c>
      <c r="G61" s="122">
        <f t="shared" si="1"/>
        <v>448800.00000000006</v>
      </c>
    </row>
    <row r="62" spans="2:7" x14ac:dyDescent="0.35">
      <c r="B62" s="123" t="s">
        <v>329</v>
      </c>
      <c r="C62" s="116" t="s">
        <v>161</v>
      </c>
      <c r="D62" s="115" t="s">
        <v>1</v>
      </c>
      <c r="E62" s="143">
        <v>0.54400000000000004</v>
      </c>
      <c r="F62" s="118">
        <f>F50</f>
        <v>71900</v>
      </c>
      <c r="G62" s="122">
        <f t="shared" si="1"/>
        <v>39113.600000000006</v>
      </c>
    </row>
    <row r="63" spans="2:7" x14ac:dyDescent="0.35">
      <c r="B63" s="123" t="s">
        <v>330</v>
      </c>
      <c r="C63" s="116" t="s">
        <v>201</v>
      </c>
      <c r="D63" s="115" t="s">
        <v>2</v>
      </c>
      <c r="E63" s="143">
        <v>1.1499999999999999</v>
      </c>
      <c r="F63" s="118">
        <v>12500</v>
      </c>
      <c r="G63" s="122">
        <f t="shared" si="1"/>
        <v>14374.999999999998</v>
      </c>
    </row>
    <row r="64" spans="2:7" x14ac:dyDescent="0.35">
      <c r="B64" s="123" t="s">
        <v>331</v>
      </c>
      <c r="C64" s="116" t="s">
        <v>216</v>
      </c>
      <c r="D64" s="115" t="s">
        <v>2</v>
      </c>
      <c r="E64" s="143">
        <v>1.1499999999999999</v>
      </c>
      <c r="F64" s="118">
        <v>14070</v>
      </c>
      <c r="G64" s="122">
        <f t="shared" si="1"/>
        <v>16180.499999999998</v>
      </c>
    </row>
    <row r="65" spans="2:14" x14ac:dyDescent="0.35">
      <c r="B65" s="123" t="s">
        <v>332</v>
      </c>
      <c r="C65" s="116" t="s">
        <v>217</v>
      </c>
      <c r="D65" s="115" t="s">
        <v>2</v>
      </c>
      <c r="E65" s="143">
        <v>1.1000000000000001</v>
      </c>
      <c r="F65" s="118">
        <v>13837</v>
      </c>
      <c r="G65" s="122">
        <f t="shared" si="1"/>
        <v>15220.7</v>
      </c>
    </row>
    <row r="66" spans="2:14" x14ac:dyDescent="0.35">
      <c r="B66" s="123" t="s">
        <v>333</v>
      </c>
      <c r="C66" s="116" t="s">
        <v>218</v>
      </c>
      <c r="D66" s="115" t="s">
        <v>2</v>
      </c>
      <c r="E66" s="143">
        <v>0.85</v>
      </c>
      <c r="F66" s="118">
        <v>70000</v>
      </c>
      <c r="G66" s="122">
        <f t="shared" si="1"/>
        <v>59500</v>
      </c>
    </row>
    <row r="67" spans="2:14" x14ac:dyDescent="0.35">
      <c r="B67" s="123" t="s">
        <v>334</v>
      </c>
      <c r="C67" s="116" t="s">
        <v>219</v>
      </c>
      <c r="D67" s="115" t="s">
        <v>2</v>
      </c>
      <c r="E67" s="143">
        <v>0.08</v>
      </c>
      <c r="F67" s="118">
        <v>7000</v>
      </c>
      <c r="G67" s="122">
        <f t="shared" ref="G67:G88" si="2">E67*F67</f>
        <v>560</v>
      </c>
      <c r="L67" s="12"/>
      <c r="M67" s="141"/>
      <c r="N67" s="140"/>
    </row>
    <row r="68" spans="2:14" x14ac:dyDescent="0.35">
      <c r="B68" s="123" t="s">
        <v>335</v>
      </c>
      <c r="C68" s="116" t="s">
        <v>220</v>
      </c>
      <c r="D68" s="115" t="s">
        <v>85</v>
      </c>
      <c r="E68" s="143">
        <v>25</v>
      </c>
      <c r="F68" s="118">
        <v>5200</v>
      </c>
      <c r="G68" s="122">
        <f t="shared" si="2"/>
        <v>130000</v>
      </c>
      <c r="L68" s="12"/>
      <c r="M68" s="141"/>
      <c r="N68" s="140"/>
    </row>
    <row r="69" spans="2:14" x14ac:dyDescent="0.35">
      <c r="B69" s="123" t="s">
        <v>336</v>
      </c>
      <c r="C69" s="116" t="s">
        <v>166</v>
      </c>
      <c r="D69" s="115" t="s">
        <v>85</v>
      </c>
      <c r="E69" s="143">
        <v>70</v>
      </c>
      <c r="F69" s="118">
        <v>800</v>
      </c>
      <c r="G69" s="122">
        <f t="shared" si="2"/>
        <v>56000</v>
      </c>
      <c r="L69" s="12"/>
      <c r="M69" s="141"/>
      <c r="N69" s="140"/>
    </row>
    <row r="70" spans="2:14" x14ac:dyDescent="0.35">
      <c r="B70" s="123" t="s">
        <v>337</v>
      </c>
      <c r="C70" s="116" t="s">
        <v>160</v>
      </c>
      <c r="D70" s="115" t="s">
        <v>205</v>
      </c>
      <c r="E70" s="143">
        <v>0.23</v>
      </c>
      <c r="F70" s="118">
        <f>F43</f>
        <v>2500000</v>
      </c>
      <c r="G70" s="122">
        <f t="shared" si="2"/>
        <v>575000</v>
      </c>
      <c r="L70" s="12"/>
      <c r="M70" s="141"/>
      <c r="N70" s="140"/>
    </row>
    <row r="71" spans="2:14" x14ac:dyDescent="0.35">
      <c r="B71" s="123" t="s">
        <v>338</v>
      </c>
      <c r="C71" s="116" t="s">
        <v>161</v>
      </c>
      <c r="D71" s="115" t="s">
        <v>1</v>
      </c>
      <c r="E71" s="143">
        <v>4.2999999999999997E-2</v>
      </c>
      <c r="F71" s="118">
        <f>F44</f>
        <v>5000</v>
      </c>
      <c r="G71" s="122">
        <f t="shared" si="2"/>
        <v>214.99999999999997</v>
      </c>
      <c r="L71" s="12"/>
      <c r="M71" s="141"/>
      <c r="N71" s="140"/>
    </row>
    <row r="72" spans="2:14" x14ac:dyDescent="0.35">
      <c r="B72" s="123" t="s">
        <v>339</v>
      </c>
      <c r="C72" s="116" t="s">
        <v>160</v>
      </c>
      <c r="D72" s="115" t="s">
        <v>205</v>
      </c>
      <c r="E72" s="143">
        <v>0.125</v>
      </c>
      <c r="F72" s="118">
        <v>71900</v>
      </c>
      <c r="G72" s="122">
        <f t="shared" si="2"/>
        <v>8987.5</v>
      </c>
      <c r="L72" s="12"/>
      <c r="M72" s="141"/>
      <c r="N72" s="140"/>
    </row>
    <row r="73" spans="2:14" x14ac:dyDescent="0.35">
      <c r="B73" s="123" t="s">
        <v>340</v>
      </c>
      <c r="C73" s="116" t="s">
        <v>161</v>
      </c>
      <c r="D73" s="115" t="s">
        <v>1</v>
      </c>
      <c r="E73" s="143">
        <v>2.4E-2</v>
      </c>
      <c r="F73" s="118">
        <v>265300</v>
      </c>
      <c r="G73" s="122">
        <f t="shared" si="2"/>
        <v>6367.2</v>
      </c>
      <c r="L73" s="12"/>
      <c r="M73" s="141"/>
      <c r="N73" s="140"/>
    </row>
    <row r="74" spans="2:14" x14ac:dyDescent="0.35">
      <c r="B74" s="123" t="s">
        <v>341</v>
      </c>
      <c r="C74" s="116" t="s">
        <v>221</v>
      </c>
      <c r="D74" s="115" t="s">
        <v>1</v>
      </c>
      <c r="E74" s="143">
        <v>0.04</v>
      </c>
      <c r="F74" s="118">
        <v>19430900</v>
      </c>
      <c r="G74" s="122">
        <f t="shared" si="2"/>
        <v>777236</v>
      </c>
      <c r="L74" s="12"/>
      <c r="M74" s="141"/>
      <c r="N74" s="140"/>
    </row>
    <row r="75" spans="2:14" x14ac:dyDescent="0.35">
      <c r="B75" s="123" t="s">
        <v>342</v>
      </c>
      <c r="C75" s="116" t="s">
        <v>213</v>
      </c>
      <c r="D75" s="115" t="s">
        <v>2</v>
      </c>
      <c r="E75" s="143">
        <v>0.05</v>
      </c>
      <c r="F75" s="118">
        <v>14800</v>
      </c>
      <c r="G75" s="122">
        <f t="shared" si="2"/>
        <v>740</v>
      </c>
      <c r="L75" s="12"/>
      <c r="M75" s="141"/>
      <c r="N75" s="140"/>
    </row>
    <row r="76" spans="2:14" x14ac:dyDescent="0.35">
      <c r="B76" s="123" t="s">
        <v>343</v>
      </c>
      <c r="C76" s="116" t="s">
        <v>222</v>
      </c>
      <c r="D76" s="115" t="s">
        <v>2</v>
      </c>
      <c r="E76" s="143">
        <v>1</v>
      </c>
      <c r="F76" s="118">
        <v>13000</v>
      </c>
      <c r="G76" s="122">
        <f t="shared" si="2"/>
        <v>13000</v>
      </c>
      <c r="L76" s="12"/>
      <c r="M76" s="141"/>
      <c r="N76" s="140"/>
    </row>
    <row r="77" spans="2:14" x14ac:dyDescent="0.35">
      <c r="B77" s="123" t="s">
        <v>344</v>
      </c>
      <c r="C77" s="116" t="s">
        <v>357</v>
      </c>
      <c r="D77" s="115" t="s">
        <v>224</v>
      </c>
      <c r="E77" s="143">
        <v>1.25</v>
      </c>
      <c r="F77" s="118">
        <v>10400</v>
      </c>
      <c r="G77" s="122">
        <f t="shared" si="2"/>
        <v>13000</v>
      </c>
      <c r="L77" s="12"/>
      <c r="M77" s="141"/>
      <c r="N77" s="140"/>
    </row>
    <row r="78" spans="2:14" x14ac:dyDescent="0.35">
      <c r="B78" s="123" t="s">
        <v>345</v>
      </c>
      <c r="C78" s="116" t="s">
        <v>223</v>
      </c>
      <c r="D78" s="115" t="s">
        <v>1</v>
      </c>
      <c r="E78" s="143">
        <v>1.1000000000000001</v>
      </c>
      <c r="F78" s="118">
        <v>20325200</v>
      </c>
      <c r="G78" s="122">
        <f t="shared" si="2"/>
        <v>22357720</v>
      </c>
      <c r="L78" s="12"/>
      <c r="M78" s="141"/>
      <c r="N78" s="140"/>
    </row>
    <row r="79" spans="2:14" x14ac:dyDescent="0.35">
      <c r="B79" s="123" t="s">
        <v>346</v>
      </c>
      <c r="C79" s="116" t="s">
        <v>228</v>
      </c>
      <c r="D79" s="115" t="s">
        <v>1</v>
      </c>
      <c r="E79" s="143">
        <v>1.2E-2</v>
      </c>
      <c r="F79" s="118">
        <v>7245000</v>
      </c>
      <c r="G79" s="122">
        <f t="shared" si="2"/>
        <v>86940</v>
      </c>
    </row>
    <row r="80" spans="2:14" x14ac:dyDescent="0.35">
      <c r="B80" s="123" t="s">
        <v>347</v>
      </c>
      <c r="C80" s="116" t="s">
        <v>227</v>
      </c>
      <c r="D80" s="115" t="s">
        <v>3</v>
      </c>
      <c r="E80" s="143">
        <v>1.1000000000000001</v>
      </c>
      <c r="F80" s="118">
        <v>63000</v>
      </c>
      <c r="G80" s="122">
        <f t="shared" si="2"/>
        <v>69300</v>
      </c>
    </row>
    <row r="81" spans="2:7" x14ac:dyDescent="0.35">
      <c r="B81" s="123" t="s">
        <v>348</v>
      </c>
      <c r="C81" s="116" t="s">
        <v>213</v>
      </c>
      <c r="D81" s="115" t="s">
        <v>2</v>
      </c>
      <c r="E81" s="143">
        <v>0.06</v>
      </c>
      <c r="F81" s="118">
        <f>F74</f>
        <v>19430900</v>
      </c>
      <c r="G81" s="122">
        <f t="shared" si="2"/>
        <v>1165854</v>
      </c>
    </row>
    <row r="82" spans="2:7" x14ac:dyDescent="0.35">
      <c r="B82" s="123" t="s">
        <v>349</v>
      </c>
      <c r="C82" s="116" t="s">
        <v>229</v>
      </c>
      <c r="D82" s="115" t="s">
        <v>234</v>
      </c>
      <c r="E82" s="143">
        <v>0.104</v>
      </c>
      <c r="F82" s="118">
        <v>218000</v>
      </c>
      <c r="G82" s="118">
        <f t="shared" si="2"/>
        <v>22672</v>
      </c>
    </row>
    <row r="83" spans="2:7" x14ac:dyDescent="0.35">
      <c r="B83" s="123" t="s">
        <v>350</v>
      </c>
      <c r="C83" s="116" t="s">
        <v>230</v>
      </c>
      <c r="D83" s="115" t="s">
        <v>2</v>
      </c>
      <c r="E83" s="143">
        <v>0.1</v>
      </c>
      <c r="F83" s="118">
        <v>36500</v>
      </c>
      <c r="G83" s="118">
        <f t="shared" si="2"/>
        <v>3650</v>
      </c>
    </row>
    <row r="84" spans="2:7" x14ac:dyDescent="0.35">
      <c r="B84" s="123" t="s">
        <v>351</v>
      </c>
      <c r="C84" s="116" t="s">
        <v>231</v>
      </c>
      <c r="D84" s="115" t="s">
        <v>235</v>
      </c>
      <c r="E84" s="143">
        <v>0.1</v>
      </c>
      <c r="F84" s="118">
        <v>20400</v>
      </c>
      <c r="G84" s="118">
        <f t="shared" si="2"/>
        <v>2040</v>
      </c>
    </row>
    <row r="85" spans="2:7" x14ac:dyDescent="0.35">
      <c r="B85" s="123" t="s">
        <v>352</v>
      </c>
      <c r="C85" s="116" t="s">
        <v>202</v>
      </c>
      <c r="D85" s="117" t="s">
        <v>3</v>
      </c>
      <c r="E85" s="143">
        <v>1.0608</v>
      </c>
      <c r="F85" s="118">
        <v>59000</v>
      </c>
      <c r="G85" s="118">
        <f t="shared" si="2"/>
        <v>62587.199999999997</v>
      </c>
    </row>
    <row r="86" spans="2:7" x14ac:dyDescent="0.35">
      <c r="B86" s="123" t="s">
        <v>353</v>
      </c>
      <c r="C86" s="116" t="s">
        <v>160</v>
      </c>
      <c r="D86" s="117" t="s">
        <v>205</v>
      </c>
      <c r="E86" s="143">
        <v>0.19600000000000001</v>
      </c>
      <c r="F86" s="118">
        <f>F53</f>
        <v>6</v>
      </c>
      <c r="G86" s="118">
        <f t="shared" si="2"/>
        <v>1.1760000000000002</v>
      </c>
    </row>
    <row r="87" spans="2:7" x14ac:dyDescent="0.35">
      <c r="B87" s="123" t="s">
        <v>354</v>
      </c>
      <c r="C87" s="116" t="s">
        <v>232</v>
      </c>
      <c r="D87" s="117" t="s">
        <v>1</v>
      </c>
      <c r="E87" s="143">
        <v>4.4999999999999998E-2</v>
      </c>
      <c r="F87" s="118">
        <f>F54</f>
        <v>3220</v>
      </c>
      <c r="G87" s="118">
        <f t="shared" si="2"/>
        <v>144.9</v>
      </c>
    </row>
    <row r="88" spans="2:7" x14ac:dyDescent="0.35">
      <c r="B88" s="123" t="s">
        <v>355</v>
      </c>
      <c r="C88" s="116" t="s">
        <v>233</v>
      </c>
      <c r="D88" s="117" t="s">
        <v>2</v>
      </c>
      <c r="E88" s="143">
        <v>1.3</v>
      </c>
      <c r="F88" s="118">
        <v>16000</v>
      </c>
      <c r="G88" s="118">
        <f t="shared" si="2"/>
        <v>20800</v>
      </c>
    </row>
    <row r="89" spans="2:7" x14ac:dyDescent="0.35">
      <c r="B89" s="145" t="s">
        <v>287</v>
      </c>
      <c r="C89" s="116" t="s">
        <v>199</v>
      </c>
      <c r="D89" s="117">
        <v>0</v>
      </c>
      <c r="E89" s="143">
        <v>0</v>
      </c>
      <c r="F89" s="124">
        <f t="shared" ref="F89:F111" si="3">$I$2</f>
        <v>0.1</v>
      </c>
      <c r="G89" s="146">
        <f>F89*SUM(G87:G88)</f>
        <v>2094.4900000000002</v>
      </c>
    </row>
    <row r="90" spans="2:7" x14ac:dyDescent="0.35">
      <c r="B90" s="145" t="s">
        <v>296</v>
      </c>
      <c r="C90" s="116" t="s">
        <v>199</v>
      </c>
      <c r="D90" s="117">
        <v>0</v>
      </c>
      <c r="E90" s="143">
        <v>0</v>
      </c>
      <c r="F90" s="124">
        <f t="shared" si="3"/>
        <v>0.1</v>
      </c>
      <c r="G90" s="118">
        <f>F90*SUM(G87:G89)</f>
        <v>2303.9390000000003</v>
      </c>
    </row>
    <row r="91" spans="2:7" x14ac:dyDescent="0.35">
      <c r="B91" s="145" t="s">
        <v>288</v>
      </c>
      <c r="C91" s="116" t="s">
        <v>199</v>
      </c>
      <c r="D91" s="117">
        <v>0</v>
      </c>
      <c r="E91" s="143">
        <v>0</v>
      </c>
      <c r="F91" s="124">
        <f t="shared" si="3"/>
        <v>0.1</v>
      </c>
      <c r="G91" s="118">
        <f>F91*SUM(G89:G90)</f>
        <v>439.84290000000004</v>
      </c>
    </row>
    <row r="92" spans="2:7" x14ac:dyDescent="0.35">
      <c r="B92" s="145" t="s">
        <v>289</v>
      </c>
      <c r="C92" s="116" t="s">
        <v>199</v>
      </c>
      <c r="D92" s="117">
        <v>0</v>
      </c>
      <c r="E92" s="143">
        <v>0</v>
      </c>
      <c r="F92" s="124">
        <f t="shared" si="3"/>
        <v>0.1</v>
      </c>
      <c r="G92" s="118">
        <f>F92*SUM(G91)</f>
        <v>43.984290000000009</v>
      </c>
    </row>
    <row r="93" spans="2:7" x14ac:dyDescent="0.35">
      <c r="B93" s="145" t="s">
        <v>290</v>
      </c>
      <c r="C93" s="116" t="s">
        <v>199</v>
      </c>
      <c r="D93" s="117">
        <v>0</v>
      </c>
      <c r="E93" s="143">
        <v>0</v>
      </c>
      <c r="F93" s="124">
        <f t="shared" si="3"/>
        <v>0.1</v>
      </c>
      <c r="G93" s="118">
        <f>F93*SUM(G91:G92)</f>
        <v>48.382719000000009</v>
      </c>
    </row>
    <row r="94" spans="2:7" x14ac:dyDescent="0.35">
      <c r="B94" s="145" t="s">
        <v>291</v>
      </c>
      <c r="C94" s="116" t="s">
        <v>199</v>
      </c>
      <c r="D94" s="117">
        <v>0</v>
      </c>
      <c r="E94" s="143">
        <v>0</v>
      </c>
      <c r="F94" s="124">
        <f t="shared" si="3"/>
        <v>0.1</v>
      </c>
      <c r="G94" s="118">
        <f>F94*SUM(G89:G93)</f>
        <v>493.06389090000005</v>
      </c>
    </row>
    <row r="95" spans="2:7" x14ac:dyDescent="0.35">
      <c r="B95" s="145" t="s">
        <v>292</v>
      </c>
      <c r="C95" s="116" t="s">
        <v>199</v>
      </c>
      <c r="D95" s="117">
        <v>0</v>
      </c>
      <c r="E95" s="143">
        <v>0</v>
      </c>
      <c r="F95" s="124">
        <f t="shared" si="3"/>
        <v>0.1</v>
      </c>
      <c r="G95" s="118">
        <f>F95*SUM(G88:G94)</f>
        <v>2622.3702799900007</v>
      </c>
    </row>
    <row r="96" spans="2:7" x14ac:dyDescent="0.35">
      <c r="B96" s="145" t="s">
        <v>293</v>
      </c>
      <c r="C96" s="116" t="s">
        <v>199</v>
      </c>
      <c r="D96" s="117">
        <v>0</v>
      </c>
      <c r="E96" s="143">
        <v>0</v>
      </c>
      <c r="F96" s="124">
        <f t="shared" si="3"/>
        <v>0.1</v>
      </c>
      <c r="G96" s="118">
        <f>F96*SUM(G91:G95)</f>
        <v>364.76440798900012</v>
      </c>
    </row>
    <row r="97" spans="2:28" s="4" customFormat="1" x14ac:dyDescent="0.35">
      <c r="B97" s="145" t="s">
        <v>294</v>
      </c>
      <c r="C97" s="116" t="s">
        <v>199</v>
      </c>
      <c r="D97" s="117">
        <v>0</v>
      </c>
      <c r="E97" s="143">
        <v>0</v>
      </c>
      <c r="F97" s="124">
        <f t="shared" si="3"/>
        <v>0.1</v>
      </c>
      <c r="G97" s="118">
        <f>F97*SUM(G92:G96)</f>
        <v>357.25655878790008</v>
      </c>
    </row>
    <row r="98" spans="2:28" s="4" customFormat="1" x14ac:dyDescent="0.35">
      <c r="B98" s="145" t="s">
        <v>295</v>
      </c>
      <c r="C98" s="116" t="s">
        <v>199</v>
      </c>
      <c r="D98" s="117">
        <v>0</v>
      </c>
      <c r="E98" s="143">
        <v>0</v>
      </c>
      <c r="F98" s="124">
        <f t="shared" si="3"/>
        <v>0.1</v>
      </c>
      <c r="G98" s="118">
        <f>F98*SUM(G93:G97)</f>
        <v>388.58378566669012</v>
      </c>
    </row>
    <row r="99" spans="2:28" s="4" customFormat="1" x14ac:dyDescent="0.35">
      <c r="B99" s="145" t="s">
        <v>297</v>
      </c>
      <c r="C99" s="116" t="s">
        <v>199</v>
      </c>
      <c r="D99" s="117">
        <v>0</v>
      </c>
      <c r="E99" s="143">
        <v>0</v>
      </c>
      <c r="F99" s="124">
        <f t="shared" si="3"/>
        <v>0.1</v>
      </c>
      <c r="G99" s="118">
        <f>F99*SUM(G96:G98)</f>
        <v>111.06047524435904</v>
      </c>
    </row>
    <row r="100" spans="2:28" s="4" customFormat="1" x14ac:dyDescent="0.35">
      <c r="B100" s="145" t="s">
        <v>298</v>
      </c>
      <c r="C100" s="116" t="s">
        <v>199</v>
      </c>
      <c r="D100" s="117">
        <v>0</v>
      </c>
      <c r="E100" s="143">
        <v>0</v>
      </c>
      <c r="F100" s="124">
        <f t="shared" si="3"/>
        <v>0.1</v>
      </c>
      <c r="G100" s="118">
        <f>F100*SUM(G97:G99)</f>
        <v>85.690081969894933</v>
      </c>
    </row>
    <row r="101" spans="2:28" s="4" customFormat="1" x14ac:dyDescent="0.35">
      <c r="B101" s="145" t="s">
        <v>299</v>
      </c>
      <c r="C101" s="116" t="s">
        <v>199</v>
      </c>
      <c r="D101" s="117">
        <v>0</v>
      </c>
      <c r="E101" s="143">
        <v>0</v>
      </c>
      <c r="F101" s="124">
        <f t="shared" si="3"/>
        <v>0.1</v>
      </c>
      <c r="G101" s="118">
        <f>F101*SUM(G97:G100)</f>
        <v>94.25909016688442</v>
      </c>
    </row>
    <row r="102" spans="2:28" s="6" customFormat="1" x14ac:dyDescent="0.35">
      <c r="B102" s="145" t="s">
        <v>300</v>
      </c>
      <c r="C102" s="116" t="s">
        <v>199</v>
      </c>
      <c r="D102" s="117">
        <v>0</v>
      </c>
      <c r="E102" s="143">
        <v>0</v>
      </c>
      <c r="F102" s="124">
        <f t="shared" si="3"/>
        <v>0.1</v>
      </c>
      <c r="G102" s="118">
        <f>F102*SUM(G99:G101)</f>
        <v>29.100964738113841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35">
      <c r="B103" s="145" t="s">
        <v>301</v>
      </c>
      <c r="C103" s="116" t="s">
        <v>199</v>
      </c>
      <c r="D103" s="117">
        <v>0</v>
      </c>
      <c r="E103" s="143">
        <v>0</v>
      </c>
      <c r="F103" s="124">
        <f t="shared" si="3"/>
        <v>0.1</v>
      </c>
      <c r="G103" s="118">
        <f>F103*SUM(G98:G102)</f>
        <v>70.869439778594241</v>
      </c>
    </row>
    <row r="104" spans="2:28" x14ac:dyDescent="0.35">
      <c r="B104" s="145" t="s">
        <v>302</v>
      </c>
      <c r="C104" s="116" t="s">
        <v>199</v>
      </c>
      <c r="D104" s="117">
        <v>0</v>
      </c>
      <c r="E104" s="143">
        <v>0</v>
      </c>
      <c r="F104" s="124">
        <f t="shared" si="3"/>
        <v>0.1</v>
      </c>
      <c r="G104" s="118">
        <f>F104*SUM(G100:G103)</f>
        <v>27.991957665348743</v>
      </c>
    </row>
    <row r="105" spans="2:28" x14ac:dyDescent="0.35">
      <c r="B105" s="145" t="s">
        <v>303</v>
      </c>
      <c r="C105" s="116" t="s">
        <v>199</v>
      </c>
      <c r="D105" s="117">
        <v>0</v>
      </c>
      <c r="E105" s="143">
        <v>0</v>
      </c>
      <c r="F105" s="124">
        <f t="shared" si="3"/>
        <v>0.1</v>
      </c>
      <c r="G105" s="118">
        <f>F105*SUM(G101:G104)</f>
        <v>22.222145234894128</v>
      </c>
    </row>
    <row r="106" spans="2:28" x14ac:dyDescent="0.35">
      <c r="B106" s="145" t="s">
        <v>304</v>
      </c>
      <c r="C106" s="116" t="s">
        <v>199</v>
      </c>
      <c r="D106" s="117">
        <v>0</v>
      </c>
      <c r="E106" s="143">
        <v>0</v>
      </c>
      <c r="F106" s="124">
        <f t="shared" si="3"/>
        <v>0.1</v>
      </c>
      <c r="G106" s="118">
        <f>F106*SUM(G101:G105)</f>
        <v>24.444359758383541</v>
      </c>
    </row>
    <row r="107" spans="2:28" x14ac:dyDescent="0.35">
      <c r="B107" s="145" t="s">
        <v>305</v>
      </c>
      <c r="C107" s="116" t="s">
        <v>199</v>
      </c>
      <c r="D107" s="117">
        <v>0</v>
      </c>
      <c r="E107" s="143">
        <v>0</v>
      </c>
      <c r="F107" s="124">
        <f t="shared" si="3"/>
        <v>0.1</v>
      </c>
      <c r="G107" s="118">
        <f>F107*SUM(G102:G106)</f>
        <v>17.462886717533451</v>
      </c>
    </row>
    <row r="108" spans="2:28" x14ac:dyDescent="0.35">
      <c r="B108" s="145" t="s">
        <v>306</v>
      </c>
      <c r="C108" s="116" t="s">
        <v>199</v>
      </c>
      <c r="D108" s="117">
        <v>0</v>
      </c>
      <c r="E108" s="143">
        <v>0</v>
      </c>
      <c r="F108" s="124">
        <f t="shared" si="3"/>
        <v>0.1</v>
      </c>
      <c r="G108" s="118">
        <f>F108*SUM(G107)</f>
        <v>1.7462886717533452</v>
      </c>
    </row>
    <row r="109" spans="2:28" x14ac:dyDescent="0.35">
      <c r="B109" s="145" t="s">
        <v>307</v>
      </c>
      <c r="C109" s="116" t="s">
        <v>199</v>
      </c>
      <c r="D109" s="117">
        <v>0</v>
      </c>
      <c r="E109" s="143">
        <v>0</v>
      </c>
      <c r="F109" s="124">
        <f t="shared" si="3"/>
        <v>0.1</v>
      </c>
      <c r="G109" s="118">
        <f>F109*SUM(G104:G108)</f>
        <v>9.38676380479132</v>
      </c>
    </row>
    <row r="110" spans="2:28" x14ac:dyDescent="0.35">
      <c r="B110" s="145" t="s">
        <v>308</v>
      </c>
      <c r="C110" s="116" t="s">
        <v>199</v>
      </c>
      <c r="D110" s="117">
        <v>0</v>
      </c>
      <c r="E110" s="143">
        <v>0</v>
      </c>
      <c r="F110" s="124">
        <f t="shared" si="3"/>
        <v>0.1</v>
      </c>
      <c r="G110" s="118">
        <f>F110*SUM(G109)</f>
        <v>0.93867638047913204</v>
      </c>
    </row>
    <row r="111" spans="2:28" x14ac:dyDescent="0.35">
      <c r="B111" s="145" t="s">
        <v>309</v>
      </c>
      <c r="C111" s="116" t="s">
        <v>199</v>
      </c>
      <c r="D111" s="117">
        <v>0</v>
      </c>
      <c r="E111" s="143">
        <v>0</v>
      </c>
      <c r="F111" s="124">
        <f t="shared" si="3"/>
        <v>0.1</v>
      </c>
      <c r="G111" s="118">
        <f>F111*SUM(G105:G110)</f>
        <v>7.6201120567834923</v>
      </c>
    </row>
  </sheetData>
  <sortState ref="B3:G111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ahs (cost_id vs resource_id)</vt:lpstr>
      <vt:lpstr>Resource (old)</vt:lpstr>
      <vt:lpstr>Resource (new2)</vt:lpstr>
      <vt:lpstr>Proposed table</vt:lpstr>
      <vt:lpstr>Resource 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2021-01-20T01:31:57Z</dcterms:created>
  <dcterms:modified xsi:type="dcterms:W3CDTF">2021-06-24T18:06:03Z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f868b3ea-e442-491d-a145-428ce068f28d</vt:lpwstr>
  </property>
</Properties>
</file>