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\Videos\Case Comp\"/>
    </mc:Choice>
  </mc:AlternateContent>
  <xr:revisionPtr revIDLastSave="0" documentId="13_ncr:1_{D07A3451-535A-42B3-8E81-AB9EF0F65E18}" xr6:coauthVersionLast="47" xr6:coauthVersionMax="47" xr10:uidLastSave="{00000000-0000-0000-0000-000000000000}"/>
  <bookViews>
    <workbookView xWindow="-108" yWindow="-108" windowWidth="23256" windowHeight="13176" xr2:uid="{8260A29E-C2E2-44E4-97AF-D279DCF27712}"/>
  </bookViews>
  <sheets>
    <sheet name="Football field" sheetId="13" r:id="rId1"/>
    <sheet name="Trading comps" sheetId="2" r:id="rId2"/>
    <sheet name="Transaction comp" sheetId="4" r:id="rId3"/>
    <sheet name="DCF" sheetId="7" r:id="rId4"/>
    <sheet name="NWC" sheetId="10" r:id="rId5"/>
    <sheet name="Discount rate" sheetId="12" r:id="rId6"/>
    <sheet name="Net debt" sheetId="5" r:id="rId7"/>
    <sheet name="Sources&amp;Uses" sheetId="15" r:id="rId8"/>
    <sheet name="Capital structure change" sheetId="18" r:id="rId9"/>
    <sheet name="Ref. sheet" sheetId="8" r:id="rId10"/>
  </sheets>
  <externalReferences>
    <externalReference r:id="rId11"/>
    <externalReference r:id="rId12"/>
    <externalReference r:id="rId13"/>
  </externalReferences>
  <definedNames>
    <definedName name="\D" localSheetId="8">#REF!</definedName>
    <definedName name="\D">#REF!</definedName>
    <definedName name="Asset_Sales" localSheetId="8">[1]Model!#REF!</definedName>
    <definedName name="Asset_Sales">[1]Model!#REF!</definedName>
    <definedName name="Asset_Sales_Long" localSheetId="8">[1]Model!#REF!</definedName>
    <definedName name="Asset_Sales_Long">[1]Model!#REF!</definedName>
    <definedName name="BottomRow" localSheetId="8">#REF!</definedName>
    <definedName name="BottomRow">#REF!</definedName>
    <definedName name="BottomRow2" localSheetId="8">#REF!</definedName>
    <definedName name="BottomRow2">#REF!</definedName>
    <definedName name="BottomRow3" localSheetId="8">#REF!</definedName>
    <definedName name="BottomRow3">#REF!</definedName>
    <definedName name="BottomRow4" localSheetId="8">#REF!</definedName>
    <definedName name="BottomRow4">#REF!</definedName>
    <definedName name="BV" localSheetId="8">'[2]DATA INPUT PAGE'!$W:$W</definedName>
    <definedName name="BV">#REF!</definedName>
    <definedName name="Cash" localSheetId="8">#REF!</definedName>
    <definedName name="Cash">#REF!</definedName>
    <definedName name="CIQWBGuid" hidden="1">"571ab0c3-d74c-43bc-a7ba-442a57d4d174"</definedName>
    <definedName name="Circ_Busters" localSheetId="8">[1]Model!#REF!</definedName>
    <definedName name="Circ_Busters">[1]Model!#REF!</definedName>
    <definedName name="Company_Name" localSheetId="8">'[2]DATA INPUT PAGE'!$E:$E</definedName>
    <definedName name="Company_Name">#REF!</definedName>
    <definedName name="Date" localSheetId="8">'[2]DATA INPUT PAGE'!$I$3</definedName>
    <definedName name="date">#REF!</definedName>
    <definedName name="Debt" localSheetId="8">#REF!</definedName>
    <definedName name="Debt">#REF!</definedName>
    <definedName name="Document_Date" localSheetId="8">#REF!</definedName>
    <definedName name="Document_Date">#REF!</definedName>
    <definedName name="EBITDA" localSheetId="8">'[2]DATA INPUT PAGE'!$BG:$BG</definedName>
    <definedName name="EBITDA">#REF!</definedName>
    <definedName name="EE" localSheetId="8">'[2]DATA INPUT PAGE'!$BU:$BU</definedName>
    <definedName name="EE">#REF!</definedName>
    <definedName name="EE_2" localSheetId="8">#REF!</definedName>
    <definedName name="EE_2">#REF!</definedName>
    <definedName name="EEyear" localSheetId="8">'[2]DATA INPUT PAGE'!$BU$2</definedName>
    <definedName name="EEyear">#REF!</definedName>
    <definedName name="EEyear2" localSheetId="8">#REF!</definedName>
    <definedName name="EEyear2">#REF!</definedName>
    <definedName name="Extraordinary_Charges" localSheetId="8">#REF!</definedName>
    <definedName name="Extraordinary_Charges">#REF!</definedName>
    <definedName name="Financial_Assumptions" localSheetId="8">[1]Model!#REF!</definedName>
    <definedName name="Financial_Assumptions">[1]Model!#REF!</definedName>
    <definedName name="Financial_Assumptions_Long" localSheetId="8">[1]Model!#REF!</definedName>
    <definedName name="Financial_Assumptions_Long">[1]Model!#REF!</definedName>
    <definedName name="Footnote" localSheetId="8">#REF!</definedName>
    <definedName name="Footnote">#REF!</definedName>
    <definedName name="Footnote_pg1" localSheetId="8">'[2]DATA INPUT PAGE'!$CE:$CE</definedName>
    <definedName name="Footnote_pg1">#REF!</definedName>
    <definedName name="Footnote_pg2" localSheetId="8">#REF!</definedName>
    <definedName name="Footnote_pg2">#REF!</definedName>
    <definedName name="Footnote_pg3" localSheetId="8">#REF!</definedName>
    <definedName name="Footnote_pg3">#REF!</definedName>
    <definedName name="FXadj" localSheetId="8">#REF!</definedName>
    <definedName name="FXadj">#REF!</definedName>
    <definedName name="FYE" localSheetId="8">#REF!</definedName>
    <definedName name="FYE">#REF!</definedName>
    <definedName name="g" localSheetId="8">#REF!</definedName>
    <definedName name="g" localSheetId="0">#REF!</definedName>
    <definedName name="g">#REF!</definedName>
    <definedName name="Gross" localSheetId="8">#REF!</definedName>
    <definedName name="Gross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BWSM104" localSheetId="8" hidden="1">#REF!</definedName>
    <definedName name="IQRBWSM104" localSheetId="0" hidden="1">#REF!</definedName>
    <definedName name="IQRBWSM104" hidden="1">#REF!</definedName>
    <definedName name="IQRDECKM104" localSheetId="8" hidden="1">#REF!</definedName>
    <definedName name="IQRDECKM104" localSheetId="0" hidden="1">#REF!</definedName>
    <definedName name="IQRDECKM104" hidden="1">#REF!</definedName>
    <definedName name="IQRDSWM104" localSheetId="8" hidden="1">#REF!</definedName>
    <definedName name="IQRDSWM104" localSheetId="0" hidden="1">#REF!</definedName>
    <definedName name="IQRDSWM104" hidden="1">#REF!</definedName>
    <definedName name="IQRFINLM104" localSheetId="8" hidden="1">#REF!</definedName>
    <definedName name="IQRFINLM104" localSheetId="0" hidden="1">#REF!</definedName>
    <definedName name="IQRFINLM104" hidden="1">#REF!</definedName>
    <definedName name="IQRGCOM104" localSheetId="8" hidden="1">#REF!</definedName>
    <definedName name="IQRGCOM104" localSheetId="0" hidden="1">#REF!</definedName>
    <definedName name="IQRGCOM104" hidden="1">#REF!</definedName>
    <definedName name="IQRSHOOM104" localSheetId="8" hidden="1">#REF!</definedName>
    <definedName name="IQRSHOOM104" localSheetId="0" hidden="1">#REF!</definedName>
    <definedName name="IQRSHOOM104" hidden="1">#REF!</definedName>
    <definedName name="IQRSKXM104" localSheetId="8" hidden="1">#REF!</definedName>
    <definedName name="IQRSKXM104" localSheetId="0" hidden="1">#REF!</definedName>
    <definedName name="IQRSKXM104" hidden="1">#REF!</definedName>
    <definedName name="IQRTargetM104" localSheetId="8" hidden="1">#REF!</definedName>
    <definedName name="IQRTargetM104" localSheetId="0" hidden="1">#REF!</definedName>
    <definedName name="IQRTargetM104" hidden="1">#REF!</definedName>
    <definedName name="IQRTODM104" localSheetId="8" hidden="1">#REF!</definedName>
    <definedName name="IQRTODM104" localSheetId="0" hidden="1">#REF!</definedName>
    <definedName name="IQRTODM104" hidden="1">#REF!</definedName>
    <definedName name="IQRWWWM104" localSheetId="8" hidden="1">#REF!</definedName>
    <definedName name="IQRWWWM104" localSheetId="0" hidden="1">#REF!</definedName>
    <definedName name="IQRWWWM104" hidden="1">#REF!</definedName>
    <definedName name="jj">#REF!</definedName>
    <definedName name="LTM_EPS" localSheetId="8">#REF!</definedName>
    <definedName name="LTM_EPS">#REF!</definedName>
    <definedName name="Mean_s_Table" localSheetId="8">#REF!</definedName>
    <definedName name="Mean_s_Table">#REF!</definedName>
    <definedName name="Minority" localSheetId="8">'[2]DATA INPUT PAGE'!$U:$U</definedName>
    <definedName name="Minority">#REF!</definedName>
    <definedName name="MV" localSheetId="8">'[2]DATA INPUT PAGE'!$A:$A</definedName>
    <definedName name="MV">#REF!</definedName>
    <definedName name="NetDebt" localSheetId="8">'[2]DATA INPUT PAGE'!$Q:$Q</definedName>
    <definedName name="NetDebt">#REF!</definedName>
    <definedName name="NI" localSheetId="8">'[2]DATA INPUT PAGE'!$BQ:$BQ</definedName>
    <definedName name="NI">#REF!</definedName>
    <definedName name="NM_BV" localSheetId="8">'[2]DATA INPUT PAGE'!$M$32</definedName>
    <definedName name="NM_BV">#REF!</definedName>
    <definedName name="NM_EBITDA" localSheetId="8">'[2]DATA INPUT PAGE'!$G$32</definedName>
    <definedName name="NM_EBITDA">#REF!</definedName>
    <definedName name="NM_NI" localSheetId="8">'[2]DATA INPUT PAGE'!$K$32</definedName>
    <definedName name="NM_NI">#REF!</definedName>
    <definedName name="NM_OpInc" localSheetId="8">'[2]DATA INPUT PAGE'!$I$32</definedName>
    <definedName name="NM_OpInc">#REF!</definedName>
    <definedName name="OpIncome" localSheetId="8">'[2]DATA INPUT PAGE'!$AW:$AW</definedName>
    <definedName name="OpIncome">#REF!</definedName>
    <definedName name="PE_year" localSheetId="8">#REF!</definedName>
    <definedName name="PE_year">#REF!</definedName>
    <definedName name="Preferred" localSheetId="8">'[2]DATA INPUT PAGE'!$Y:$Y</definedName>
    <definedName name="Preferred">#REF!</definedName>
    <definedName name="Price" localSheetId="8">'[2]DATA INPUT PAGE'!$I:$I</definedName>
    <definedName name="price">#REF!</definedName>
    <definedName name="Ranked_By" localSheetId="8">'[2]DATA INPUT PAGE'!$A$2</definedName>
    <definedName name="Ranked_By">#REF!</definedName>
    <definedName name="Sales" localSheetId="8">'[2]DATA INPUT PAGE'!$AG:$AG</definedName>
    <definedName name="Sales">#REF!</definedName>
    <definedName name="scenario_toggle" localSheetId="8">#REF!</definedName>
    <definedName name="scenario_toggle">#REF!</definedName>
    <definedName name="Shs" localSheetId="8">#REF!</definedName>
    <definedName name="Shs">#REF!</definedName>
    <definedName name="Sort_Table" localSheetId="8">#REF!</definedName>
    <definedName name="Sort_Table">#REF!</definedName>
    <definedName name="SortInput" localSheetId="8">#REF!</definedName>
    <definedName name="SortInput">#REF!</definedName>
    <definedName name="sss" localSheetId="8" hidden="1">#REF!</definedName>
    <definedName name="sss" hidden="1">#REF!</definedName>
    <definedName name="StartRow" localSheetId="8">'[3]Data Input Page'!#REF!</definedName>
    <definedName name="StartRow">#REF!</definedName>
    <definedName name="State" localSheetId="8">'[2]DATA INPUT PAGE'!$G:$G</definedName>
    <definedName name="State">#REF!</definedName>
    <definedName name="Summary_Financials" localSheetId="8">#REF!</definedName>
    <definedName name="Summary_Financials">#REF!</definedName>
    <definedName name="switch" localSheetId="8">#REF!</definedName>
    <definedName name="switch">#REF!</definedName>
    <definedName name="Switch2" localSheetId="8">#REF!</definedName>
    <definedName name="Switch2" localSheetId="0">'Football field'!#REF!</definedName>
    <definedName name="Switch2">#REF!</definedName>
    <definedName name="Ticker" localSheetId="8">'[2]DATA INPUT PAGE'!$C:$C</definedName>
    <definedName name="Ticker">#REF!</definedName>
    <definedName name="Total_Assets" localSheetId="8">#REF!</definedName>
    <definedName name="Total_Assets">#REF!</definedName>
    <definedName name="Valuation_Statement" localSheetId="8">#REF!</definedName>
    <definedName name="Valuation_Statement">#REF!</definedName>
    <definedName name="Valuation_Statement_Long" localSheetId="8">#REF!</definedName>
    <definedName name="Valuation_Statement_Long">#REF!</definedName>
    <definedName name="wacc" localSheetId="8">#REF!</definedName>
    <definedName name="wacc" localSheetId="0">#REF!</definedName>
    <definedName name="wacc">#REF!</definedName>
    <definedName name="z_Margin_EBIT3yr_Mean" localSheetId="8">#REF!</definedName>
    <definedName name="z_Margin_EBIT3yr_Mean">#REF!</definedName>
    <definedName name="z_Margin_EBITDA3yr" localSheetId="8">#REF!</definedName>
    <definedName name="z_Margin_EBITDA3yr">#REF!</definedName>
    <definedName name="z_Margin_EBITDA3yr_Increm" localSheetId="8">#REF!</definedName>
    <definedName name="z_Margin_EBITDA3yr_Increm">#REF!</definedName>
    <definedName name="z_Margin_EBITDA3yr_Max" localSheetId="8">#REF!</definedName>
    <definedName name="z_Margin_EBITDA3yr_Max">#REF!</definedName>
    <definedName name="z_Margin_EBITDA3yr_Mean" localSheetId="8">#REF!</definedName>
    <definedName name="z_Margin_EBITDA3yr_Mean">#REF!</definedName>
    <definedName name="z_Margin_EBITDA3yr_Mean_cal" localSheetId="8">#REF!</definedName>
    <definedName name="z_Margin_EBITDA3yr_Mean_cal">#REF!</definedName>
    <definedName name="z_Margin_EBITDA3yr_Min" localSheetId="8">#REF!</definedName>
    <definedName name="z_Margin_EBITDA3yr_Min">#REF!</definedName>
    <definedName name="z_Margin_EBITDA3yr_Name" localSheetId="8">#REF!</definedName>
    <definedName name="z_Margin_EBITDA3yr_Name">#REF!</definedName>
    <definedName name="z_Margin_LTM_EBIT" localSheetId="8">#REF!</definedName>
    <definedName name="z_Margin_LTM_EBIT">#REF!</definedName>
    <definedName name="z_Margin_LTM_EBIT_Increm" localSheetId="8">#REF!</definedName>
    <definedName name="z_Margin_LTM_EBIT_Increm">#REF!</definedName>
    <definedName name="z_Margin_LTM_EBIT_Max" localSheetId="8">#REF!</definedName>
    <definedName name="z_Margin_LTM_EBIT_Max">#REF!</definedName>
    <definedName name="z_Margin_LTM_EBIT_Mean" localSheetId="8">#REF!</definedName>
    <definedName name="z_Margin_LTM_EBIT_Mean">#REF!</definedName>
    <definedName name="z_Margin_LTM_EBIT_Mean_cal" localSheetId="8">#REF!</definedName>
    <definedName name="z_Margin_LTM_EBIT_Mean_cal">#REF!</definedName>
    <definedName name="z_Margin_LTM_EBIT_Min" localSheetId="8">#REF!</definedName>
    <definedName name="z_Margin_LTM_EBIT_Min">#REF!</definedName>
    <definedName name="z_Margin_LTM_EBIT_Name" localSheetId="8">#REF!</definedName>
    <definedName name="z_Margin_LTM_EBIT_Name">#REF!</definedName>
    <definedName name="z_Margin_LTM_EBITDA" localSheetId="8">#REF!</definedName>
    <definedName name="z_Margin_LTM_EBITDA">#REF!</definedName>
    <definedName name="z_Margin_LTM_EBITDA_Increm" localSheetId="8">#REF!</definedName>
    <definedName name="z_Margin_LTM_EBITDA_Increm">#REF!</definedName>
    <definedName name="z_Margin_LTM_EBITDA_Max" localSheetId="8">#REF!</definedName>
    <definedName name="z_Margin_LTM_EBITDA_Max">#REF!</definedName>
    <definedName name="z_Margin_LTM_EBITDA_Mean" localSheetId="8">#REF!</definedName>
    <definedName name="z_Margin_LTM_EBITDA_Mean">#REF!</definedName>
    <definedName name="z_Margin_LTM_EBITDA_Mean_cal" localSheetId="8">#REF!</definedName>
    <definedName name="z_Margin_LTM_EBITDA_Mean_cal">#REF!</definedName>
    <definedName name="z_Margin_LTM_EBITDA_Min" localSheetId="8">#REF!</definedName>
    <definedName name="z_Margin_LTM_EBITDA_Min">#REF!</definedName>
    <definedName name="z_Margin_LTM_EBITDA_Name" localSheetId="8">#REF!</definedName>
    <definedName name="z_Margin_LTM_EBITDA_Name">#REF!</definedName>
    <definedName name="z_Margin_NI" localSheetId="8">#REF!</definedName>
    <definedName name="z_Margin_NI">#REF!</definedName>
    <definedName name="z_Margin_NI_Increm" localSheetId="8">#REF!</definedName>
    <definedName name="z_Margin_NI_Increm">#REF!</definedName>
    <definedName name="z_Margin_NI_Max" localSheetId="8">#REF!</definedName>
    <definedName name="z_Margin_NI_Max">#REF!</definedName>
    <definedName name="z_Margin_NI_Mean" localSheetId="8">#REF!</definedName>
    <definedName name="z_Margin_NI_Mean">#REF!</definedName>
    <definedName name="z_Margin_NI_Mean_cal" localSheetId="8">#REF!</definedName>
    <definedName name="z_Margin_NI_Mean_cal">#REF!</definedName>
    <definedName name="z_Margin_NI_Min" localSheetId="8">#REF!</definedName>
    <definedName name="z_Margin_NI_Min">#REF!</definedName>
    <definedName name="z_Margin_NI_Name" localSheetId="8">#REF!</definedName>
    <definedName name="z_Margin_NI_Name">#REF!</definedName>
    <definedName name="z_Op_EBIT" localSheetId="8">#REF!</definedName>
    <definedName name="z_Op_EBIT">#REF!</definedName>
    <definedName name="z_Op_EBIT_Increm" localSheetId="8">#REF!</definedName>
    <definedName name="z_Op_EBIT_Increm">#REF!</definedName>
    <definedName name="z_Op_EBIT_Max" localSheetId="8">#REF!</definedName>
    <definedName name="z_Op_EBIT_Max">#REF!</definedName>
    <definedName name="z_Op_EBIT_Mean" localSheetId="8">#REF!</definedName>
    <definedName name="z_Op_EBIT_Mean">#REF!</definedName>
    <definedName name="z_Op_EBIT_Mean_cal" localSheetId="8">#REF!</definedName>
    <definedName name="z_Op_EBIT_Mean_cal">#REF!</definedName>
    <definedName name="z_Op_EBIT_Min" localSheetId="8">#REF!</definedName>
    <definedName name="z_Op_EBIT_Min">#REF!</definedName>
    <definedName name="z_Op_EBIT_Name" localSheetId="8">#REF!</definedName>
    <definedName name="z_Op_EBIT_Name">#REF!</definedName>
    <definedName name="z_Op_EBITDA" localSheetId="8">#REF!</definedName>
    <definedName name="z_Op_EBITDA">#REF!</definedName>
    <definedName name="z_Op_EBITDA_Increm" localSheetId="8">#REF!</definedName>
    <definedName name="z_Op_EBITDA_Increm">#REF!</definedName>
    <definedName name="z_Op_EBITDA_Max" localSheetId="8">#REF!</definedName>
    <definedName name="z_Op_EBITDA_Max">#REF!</definedName>
    <definedName name="z_Op_EBITDA_Mean" localSheetId="8">#REF!</definedName>
    <definedName name="z_Op_EBITDA_Mean">#REF!</definedName>
    <definedName name="z_Op_EBITDA_Mean_cal" localSheetId="8">#REF!</definedName>
    <definedName name="z_Op_EBITDA_Mean_cal">#REF!</definedName>
    <definedName name="z_Op_EBITDA_Min" localSheetId="8">#REF!</definedName>
    <definedName name="z_Op_EBITDA_Min">#REF!</definedName>
    <definedName name="z_Op_EBITDA_Name" localSheetId="8">#REF!</definedName>
    <definedName name="z_Op_EBITDA_Name">#REF!</definedName>
    <definedName name="z_Op_NI" localSheetId="8">#REF!</definedName>
    <definedName name="z_Op_NI">#REF!</definedName>
    <definedName name="z_Op_NI_Increm" localSheetId="8">#REF!</definedName>
    <definedName name="z_Op_NI_Increm">#REF!</definedName>
    <definedName name="z_Op_NI_Max" localSheetId="8">#REF!</definedName>
    <definedName name="z_Op_NI_Max">#REF!</definedName>
    <definedName name="z_Op_NI_Mean" localSheetId="8">#REF!</definedName>
    <definedName name="z_Op_NI_Mean">#REF!</definedName>
    <definedName name="z_Op_NI_Mean_cal" localSheetId="8">#REF!</definedName>
    <definedName name="z_Op_NI_Mean_cal">#REF!</definedName>
    <definedName name="z_Op_NI_Min" localSheetId="8">#REF!</definedName>
    <definedName name="z_Op_NI_Min">#REF!</definedName>
    <definedName name="z_Op_NI_Name" localSheetId="8">#REF!</definedName>
    <definedName name="z_Op_NI_Name">#REF!</definedName>
    <definedName name="z_Op_Revenues" localSheetId="8">#REF!</definedName>
    <definedName name="z_Op_Revenues">#REF!</definedName>
    <definedName name="z_Op_Revenues_Increm" localSheetId="8">#REF!</definedName>
    <definedName name="z_Op_Revenues_Increm">#REF!</definedName>
    <definedName name="z_Op_Revenues_Max" localSheetId="8">#REF!</definedName>
    <definedName name="z_Op_Revenues_Max">#REF!</definedName>
    <definedName name="z_Op_Revenues_Mean" localSheetId="8">#REF!</definedName>
    <definedName name="z_Op_Revenues_Mean">#REF!</definedName>
    <definedName name="z_Op_Revenues_Mean_cal" localSheetId="8">#REF!</definedName>
    <definedName name="z_Op_Revenues_Mean_cal">#REF!</definedName>
    <definedName name="z_Op_Revenues_Min" localSheetId="8">#REF!</definedName>
    <definedName name="z_Op_Revenues_Min">#REF!</definedName>
    <definedName name="z_Op_Revenues_Name" localSheetId="8">#REF!</definedName>
    <definedName name="z_Op_Revenues_Name">#REF!</definedName>
    <definedName name="z_Range" localSheetId="8">#REF!</definedName>
    <definedName name="z_Range">#REF!</definedName>
    <definedName name="z_TEV_LTM_EBIT" localSheetId="8">#REF!</definedName>
    <definedName name="z_TEV_LTM_EBIT">#REF!</definedName>
    <definedName name="z_TEV_LTM_EBIT_Increm" localSheetId="8">#REF!</definedName>
    <definedName name="z_TEV_LTM_EBIT_Increm">#REF!</definedName>
    <definedName name="z_TEV_LTM_EBIT_Max" localSheetId="8">#REF!</definedName>
    <definedName name="z_TEV_LTM_EBIT_Max">#REF!</definedName>
    <definedName name="z_TEV_LTM_EBIT_Mean" localSheetId="8">#REF!</definedName>
    <definedName name="z_TEV_LTM_EBIT_Mean">#REF!</definedName>
    <definedName name="z_TEV_LTM_EBIT_Mean_cal" localSheetId="8">#REF!</definedName>
    <definedName name="z_TEV_LTM_EBIT_Mean_cal">#REF!</definedName>
    <definedName name="z_TEV_LTM_EBIT_Min" localSheetId="8">#REF!</definedName>
    <definedName name="z_TEV_LTM_EBIT_Min">#REF!</definedName>
    <definedName name="z_TEV_LTM_EBIT_Name" localSheetId="8">#REF!</definedName>
    <definedName name="z_TEV_LTM_EBIT_Name">#REF!</definedName>
    <definedName name="z_TEV_LTM_EBITDA" localSheetId="8">#REF!</definedName>
    <definedName name="z_TEV_LTM_EBITDA">#REF!</definedName>
    <definedName name="z_TEV_LTM_EBITDA_Increm" localSheetId="8">#REF!</definedName>
    <definedName name="z_TEV_LTM_EBITDA_Increm">#REF!</definedName>
    <definedName name="z_TEV_LTM_EBITDA_Max" localSheetId="8">#REF!</definedName>
    <definedName name="z_TEV_LTM_EBITDA_Max">#REF!</definedName>
    <definedName name="z_TEV_LTM_EBITDA_Mean" localSheetId="8">#REF!</definedName>
    <definedName name="z_TEV_LTM_EBITDA_Mean">#REF!</definedName>
    <definedName name="z_TEV_LTM_EBITDA_Mean_cal" localSheetId="8">#REF!</definedName>
    <definedName name="z_TEV_LTM_EBITDA_Mean_cal">#REF!</definedName>
    <definedName name="z_TEV_LTM_EBITDA_Min" localSheetId="8">#REF!</definedName>
    <definedName name="z_TEV_LTM_EBITDA_Min">#REF!</definedName>
    <definedName name="z_TEV_LTM_EBITDA_Name" localSheetId="8">#REF!</definedName>
    <definedName name="z_TEV_LTM_EBITDA_Name">#REF!</definedName>
    <definedName name="z_TEV_LTM_LTM_NI" localSheetId="8">#REF!</definedName>
    <definedName name="z_TEV_LTM_LTM_NI">#REF!</definedName>
    <definedName name="z_TEV_LTM_LTM_NI_Increm" localSheetId="8">#REF!</definedName>
    <definedName name="z_TEV_LTM_LTM_NI_Increm">#REF!</definedName>
    <definedName name="z_TEV_LTM_LTM_NI_Max" localSheetId="8">#REF!</definedName>
    <definedName name="z_TEV_LTM_LTM_NI_Max">#REF!</definedName>
    <definedName name="z_TEV_LTM_LTM_NI_Mean" localSheetId="8">#REF!</definedName>
    <definedName name="z_TEV_LTM_LTM_NI_Mean">#REF!</definedName>
    <definedName name="z_TEV_LTM_LTM_NI_Mean_cal" localSheetId="8">#REF!</definedName>
    <definedName name="z_TEV_LTM_LTM_NI_Mean_cal">#REF!</definedName>
    <definedName name="z_TEV_LTM_LTM_NI_Min" localSheetId="8">#REF!</definedName>
    <definedName name="z_TEV_LTM_LTM_NI_Min">#REF!</definedName>
    <definedName name="z_TEV_LTM_LTM_NI_Name" localSheetId="8">#REF!</definedName>
    <definedName name="z_TEV_LTM_LTM_NI_Name">#REF!</definedName>
    <definedName name="z_TEV_LTM_Revenues" localSheetId="8">#REF!</definedName>
    <definedName name="z_TEV_LTM_Revenues">#REF!</definedName>
    <definedName name="z_TEV_LTM_Revenues_Increm" localSheetId="8">#REF!</definedName>
    <definedName name="z_TEV_LTM_Revenues_Increm">#REF!</definedName>
    <definedName name="z_TEV_LTM_Revenues_Max" localSheetId="8">#REF!</definedName>
    <definedName name="z_TEV_LTM_Revenues_Max">#REF!</definedName>
    <definedName name="z_TEV_LTM_Revenues_Mean" localSheetId="8">#REF!</definedName>
    <definedName name="z_TEV_LTM_Revenues_Mean">#REF!</definedName>
    <definedName name="z_TEV_LTM_Revenues_Mean_cal" localSheetId="8">#REF!</definedName>
    <definedName name="z_TEV_LTM_Revenues_Mean_cal">#REF!</definedName>
    <definedName name="z_TEV_LTM_Revenues_Min" localSheetId="8">#REF!</definedName>
    <definedName name="z_TEV_LTM_Revenues_Min">#REF!</definedName>
    <definedName name="z_TEV_LTM_Revenues_Name" localSheetId="8">#REF!</definedName>
    <definedName name="z_TEV_LTM_Revenues_Name">#REF!</definedName>
    <definedName name="zz_chart1_r2" localSheetId="8">#REF!</definedName>
    <definedName name="zz_chart1_r2">#REF!</definedName>
    <definedName name="zz_chart2_r2" localSheetId="8">#REF!</definedName>
    <definedName name="zz_chart2_r2">#REF!</definedName>
    <definedName name="zz_chart3_r2" localSheetId="8">#REF!</definedName>
    <definedName name="zz_chart3_r2">#REF!</definedName>
    <definedName name="zz_chart4_r2" localSheetId="8">#REF!</definedName>
    <definedName name="zz_chart4_r2">#REF!</definedName>
    <definedName name="zz_LTM_EBIT_Margin" localSheetId="8">#REF!</definedName>
    <definedName name="zz_LTM_EBIT_Margin">#REF!</definedName>
    <definedName name="zz_LTM_EBIT_Margin_chart3" localSheetId="8">#REF!</definedName>
    <definedName name="zz_LTM_EBIT_Margin_chart3">#REF!</definedName>
    <definedName name="zz_LTM_EBIT_Margin_chart4" localSheetId="8">#REF!</definedName>
    <definedName name="zz_LTM_EBIT_Margin_chart4">#REF!</definedName>
    <definedName name="zz_LTM_Gross_Margin" localSheetId="8">#REF!</definedName>
    <definedName name="zz_LTM_Gross_Margin">#REF!</definedName>
    <definedName name="zz_PE_Multiple" localSheetId="8">#REF!</definedName>
    <definedName name="zz_PE_Multiple">#REF!</definedName>
    <definedName name="zz_PE_Multiple_chart2" localSheetId="8">#REF!</definedName>
    <definedName name="zz_PE_Multiple_chart2">#REF!</definedName>
    <definedName name="zz_TEV_EBIT_Multiple" localSheetId="8">#REF!</definedName>
    <definedName name="zz_TEV_EBIT_Multiple">#REF!</definedName>
    <definedName name="zz_TEV_Rev_Multiple" localSheetId="8">#REF!</definedName>
    <definedName name="zz_TEV_Rev_Multiple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3" l="1"/>
  <c r="F13" i="12"/>
  <c r="D12" i="18"/>
  <c r="G12" i="18" s="1"/>
  <c r="I12" i="18" s="1"/>
  <c r="K12" i="18" s="1"/>
  <c r="D7" i="18"/>
  <c r="J25" i="18"/>
  <c r="F24" i="18"/>
  <c r="J24" i="18" s="1"/>
  <c r="G28" i="18" s="1"/>
  <c r="I28" i="18" s="1"/>
  <c r="K28" i="18" s="1"/>
  <c r="G36" i="4"/>
  <c r="G35" i="4"/>
  <c r="E35" i="4"/>
  <c r="D11" i="18"/>
  <c r="D9" i="18"/>
  <c r="D8" i="18"/>
  <c r="G32" i="18" s="1"/>
  <c r="K6" i="18"/>
  <c r="I6" i="18"/>
  <c r="G6" i="18"/>
  <c r="I5" i="18"/>
  <c r="K5" i="18" s="1"/>
  <c r="D16" i="18" l="1"/>
  <c r="K32" i="18"/>
  <c r="D14" i="18"/>
  <c r="D15" i="18"/>
  <c r="I32" i="18"/>
  <c r="C14" i="15" l="1"/>
  <c r="D23" i="15" s="1"/>
  <c r="E7" i="15"/>
  <c r="G30" i="18" s="1"/>
  <c r="E6" i="15"/>
  <c r="E20" i="15" s="1"/>
  <c r="J23" i="15"/>
  <c r="B21" i="18" l="1"/>
  <c r="I30" i="18"/>
  <c r="K30" i="18"/>
  <c r="K12" i="15"/>
  <c r="D21" i="15"/>
  <c r="K11" i="15"/>
  <c r="D22" i="15" s="1"/>
  <c r="E22" i="15" s="1"/>
  <c r="E21" i="15"/>
  <c r="G29" i="18" s="1"/>
  <c r="E8" i="15"/>
  <c r="J21" i="15" s="1"/>
  <c r="G31" i="18" l="1"/>
  <c r="G9" i="18" s="1"/>
  <c r="I29" i="18"/>
  <c r="G33" i="18"/>
  <c r="G11" i="18"/>
  <c r="K29" i="18"/>
  <c r="D24" i="15"/>
  <c r="J22" i="15"/>
  <c r="J20" i="15"/>
  <c r="J24" i="15" s="1"/>
  <c r="E23" i="15" s="1"/>
  <c r="G16" i="18" l="1"/>
  <c r="K33" i="18"/>
  <c r="K31" i="18"/>
  <c r="K9" i="18" s="1"/>
  <c r="K11" i="18"/>
  <c r="G8" i="18"/>
  <c r="G15" i="18" s="1"/>
  <c r="G34" i="18"/>
  <c r="G7" i="18" s="1"/>
  <c r="I33" i="18"/>
  <c r="I31" i="18"/>
  <c r="I9" i="18" s="1"/>
  <c r="I11" i="18"/>
  <c r="K21" i="15"/>
  <c r="K20" i="15"/>
  <c r="K23" i="15"/>
  <c r="K22" i="15"/>
  <c r="I8" i="18" l="1"/>
  <c r="I14" i="18" s="1"/>
  <c r="I34" i="18"/>
  <c r="I7" i="18" s="1"/>
  <c r="K16" i="18"/>
  <c r="I16" i="18"/>
  <c r="G14" i="18"/>
  <c r="K8" i="18"/>
  <c r="K15" i="18" s="1"/>
  <c r="K34" i="18"/>
  <c r="K7" i="18" s="1"/>
  <c r="E24" i="15"/>
  <c r="K24" i="15"/>
  <c r="I15" i="18" l="1"/>
  <c r="K14" i="18"/>
  <c r="F20" i="15"/>
  <c r="F21" i="15"/>
  <c r="F22" i="15"/>
  <c r="F23" i="15"/>
  <c r="D13" i="13"/>
  <c r="E8" i="13"/>
  <c r="C8" i="13"/>
  <c r="E7" i="13"/>
  <c r="C7" i="13"/>
  <c r="E6" i="13"/>
  <c r="C6" i="13"/>
  <c r="F36" i="4"/>
  <c r="E36" i="4"/>
  <c r="F35" i="4"/>
  <c r="J41" i="7"/>
  <c r="G28" i="7"/>
  <c r="C28" i="7"/>
  <c r="E6" i="2"/>
  <c r="L12" i="12"/>
  <c r="K26" i="12"/>
  <c r="K27" i="12" s="1"/>
  <c r="G4" i="12" s="1"/>
  <c r="G24" i="12"/>
  <c r="G25" i="12" s="1"/>
  <c r="G27" i="12" s="1"/>
  <c r="M8" i="12" s="1"/>
  <c r="F24" i="12"/>
  <c r="F25" i="12" s="1"/>
  <c r="F27" i="12" s="1"/>
  <c r="G8" i="12" s="1"/>
  <c r="D8" i="13" l="1"/>
  <c r="F24" i="15"/>
  <c r="D6" i="13"/>
  <c r="D7" i="13"/>
  <c r="M4" i="12"/>
  <c r="M6" i="12" s="1"/>
  <c r="G6" i="12" l="1"/>
  <c r="F24" i="10" l="1"/>
  <c r="F30" i="10" s="1"/>
  <c r="G24" i="10"/>
  <c r="G30" i="10" s="1"/>
  <c r="H24" i="10"/>
  <c r="H30" i="10" s="1"/>
  <c r="E24" i="10"/>
  <c r="E26" i="10" s="1"/>
  <c r="E7" i="10" s="1"/>
  <c r="F23" i="10"/>
  <c r="F28" i="10" s="1"/>
  <c r="G23" i="10"/>
  <c r="G28" i="10" s="1"/>
  <c r="H23" i="10"/>
  <c r="H28" i="10" s="1"/>
  <c r="H6" i="10" s="1"/>
  <c r="E23" i="10"/>
  <c r="E28" i="10" s="1"/>
  <c r="E34" i="10" s="1"/>
  <c r="G26" i="10" l="1"/>
  <c r="G7" i="10" s="1"/>
  <c r="G34" i="10"/>
  <c r="G6" i="10"/>
  <c r="F34" i="10"/>
  <c r="F6" i="10"/>
  <c r="E30" i="10"/>
  <c r="E10" i="10" s="1"/>
  <c r="E12" i="10" s="1"/>
  <c r="G35" i="10"/>
  <c r="E33" i="10"/>
  <c r="H26" i="10"/>
  <c r="H35" i="10"/>
  <c r="H10" i="10"/>
  <c r="H12" i="10" s="1"/>
  <c r="F10" i="10"/>
  <c r="F12" i="10" s="1"/>
  <c r="F35" i="10"/>
  <c r="H34" i="10"/>
  <c r="G10" i="10"/>
  <c r="G12" i="10" s="1"/>
  <c r="E6" i="10"/>
  <c r="E8" i="10" s="1"/>
  <c r="F26" i="10"/>
  <c r="E35" i="10" l="1"/>
  <c r="I35" i="10" s="1"/>
  <c r="G8" i="10"/>
  <c r="G14" i="10" s="1"/>
  <c r="G33" i="10"/>
  <c r="E14" i="10"/>
  <c r="I34" i="10"/>
  <c r="H33" i="10"/>
  <c r="H7" i="10"/>
  <c r="H8" i="10" s="1"/>
  <c r="H14" i="10" s="1"/>
  <c r="F7" i="10"/>
  <c r="F8" i="10" s="1"/>
  <c r="F14" i="10" s="1"/>
  <c r="F33" i="10"/>
  <c r="I33" i="10" l="1"/>
  <c r="J33" i="10" s="1"/>
  <c r="H15" i="10"/>
  <c r="G16" i="7" s="1"/>
  <c r="F15" i="10"/>
  <c r="E16" i="7" s="1"/>
  <c r="J34" i="10"/>
  <c r="J35" i="10"/>
  <c r="G15" i="10"/>
  <c r="F16" i="7" s="1"/>
  <c r="K35" i="10" l="1"/>
  <c r="K34" i="10"/>
  <c r="K33" i="10"/>
  <c r="F15" i="7"/>
  <c r="G15" i="7"/>
  <c r="E15" i="7"/>
  <c r="C20" i="8"/>
  <c r="D20" i="8"/>
  <c r="E20" i="8"/>
  <c r="B20" i="8"/>
  <c r="C21" i="8"/>
  <c r="D21" i="8"/>
  <c r="E21" i="8"/>
  <c r="B21" i="8"/>
  <c r="F9" i="7"/>
  <c r="F11" i="7" s="1"/>
  <c r="G9" i="7"/>
  <c r="G11" i="7" s="1"/>
  <c r="E9" i="7"/>
  <c r="E11" i="7" s="1"/>
  <c r="E19" i="8"/>
  <c r="D19" i="8"/>
  <c r="C19" i="8"/>
  <c r="B19" i="8"/>
  <c r="E18" i="8"/>
  <c r="C18" i="8"/>
  <c r="D18" i="8"/>
  <c r="B18" i="8"/>
  <c r="E17" i="8"/>
  <c r="D17" i="8"/>
  <c r="C17" i="8"/>
  <c r="G21" i="8" l="1"/>
  <c r="F20" i="8"/>
  <c r="G20" i="8" s="1"/>
  <c r="H20" i="8" s="1"/>
  <c r="F18" i="8"/>
  <c r="G18" i="8" s="1"/>
  <c r="H21" i="8"/>
  <c r="F21" i="8"/>
  <c r="F17" i="8"/>
  <c r="F19" i="8"/>
  <c r="G19" i="8" s="1"/>
  <c r="G17" i="8"/>
  <c r="H6" i="7" l="1"/>
  <c r="H17" i="7" s="1"/>
  <c r="H17" i="8"/>
  <c r="H19" i="8"/>
  <c r="H18" i="8"/>
  <c r="H8" i="7" l="1"/>
  <c r="I6" i="7"/>
  <c r="I17" i="7" s="1"/>
  <c r="H10" i="7"/>
  <c r="H15" i="7" s="1"/>
  <c r="I23" i="10"/>
  <c r="H7" i="7"/>
  <c r="I24" i="10" s="1"/>
  <c r="I28" i="10"/>
  <c r="I6" i="10" s="1"/>
  <c r="I30" i="10"/>
  <c r="I10" i="10" s="1"/>
  <c r="I12" i="10" s="1"/>
  <c r="I26" i="10"/>
  <c r="I7" i="10"/>
  <c r="I8" i="7" l="1"/>
  <c r="H9" i="7"/>
  <c r="H11" i="7" s="1"/>
  <c r="I10" i="7"/>
  <c r="I15" i="7" s="1"/>
  <c r="J23" i="10"/>
  <c r="J28" i="10" s="1"/>
  <c r="J6" i="10" s="1"/>
  <c r="I7" i="7"/>
  <c r="I9" i="7" s="1"/>
  <c r="I11" i="7" s="1"/>
  <c r="J6" i="7"/>
  <c r="J17" i="7" s="1"/>
  <c r="I8" i="10"/>
  <c r="I14" i="10" s="1"/>
  <c r="K23" i="10"/>
  <c r="J10" i="7"/>
  <c r="J15" i="7" s="1"/>
  <c r="J8" i="7"/>
  <c r="J7" i="7"/>
  <c r="F12" i="7"/>
  <c r="G12" i="7" s="1"/>
  <c r="H12" i="7" s="1"/>
  <c r="I12" i="7" s="1"/>
  <c r="J12" i="7" s="1"/>
  <c r="E14" i="7"/>
  <c r="E18" i="7" s="1"/>
  <c r="F5" i="7"/>
  <c r="G5" i="7" s="1"/>
  <c r="H5" i="7" s="1"/>
  <c r="I5" i="7" s="1"/>
  <c r="J5" i="7" s="1"/>
  <c r="F11" i="5"/>
  <c r="F7" i="5"/>
  <c r="J33" i="4"/>
  <c r="I33" i="4"/>
  <c r="H33" i="4"/>
  <c r="I32" i="4"/>
  <c r="J32" i="4"/>
  <c r="J31" i="4"/>
  <c r="I31" i="4"/>
  <c r="H31" i="4"/>
  <c r="H32" i="4"/>
  <c r="H30" i="4"/>
  <c r="H7" i="4" s="1"/>
  <c r="I30" i="4"/>
  <c r="I7" i="4" s="1"/>
  <c r="J29" i="4"/>
  <c r="J30" i="4"/>
  <c r="I29" i="4"/>
  <c r="H29" i="4"/>
  <c r="J28" i="4"/>
  <c r="I28" i="4"/>
  <c r="H28" i="4"/>
  <c r="D11" i="4"/>
  <c r="B17" i="4"/>
  <c r="B18" i="4" s="1"/>
  <c r="B19" i="4" s="1"/>
  <c r="B20" i="4" s="1"/>
  <c r="B21" i="4" s="1"/>
  <c r="B22" i="4" s="1"/>
  <c r="B23" i="4" s="1"/>
  <c r="B24" i="4" s="1"/>
  <c r="B25" i="4" s="1"/>
  <c r="F13" i="5" l="1"/>
  <c r="E41" i="7" s="1"/>
  <c r="D10" i="4"/>
  <c r="H8" i="4" s="1"/>
  <c r="H9" i="4" s="1"/>
  <c r="J26" i="10"/>
  <c r="J7" i="10" s="1"/>
  <c r="J8" i="10" s="1"/>
  <c r="J30" i="10"/>
  <c r="J10" i="10" s="1"/>
  <c r="J12" i="10" s="1"/>
  <c r="J24" i="10"/>
  <c r="K28" i="10"/>
  <c r="K6" i="10" s="1"/>
  <c r="K30" i="10"/>
  <c r="K26" i="10"/>
  <c r="L13" i="12"/>
  <c r="F14" i="12"/>
  <c r="G13" i="12" s="1"/>
  <c r="J9" i="7"/>
  <c r="J11" i="7" s="1"/>
  <c r="K24" i="10"/>
  <c r="I15" i="10"/>
  <c r="H16" i="7" s="1"/>
  <c r="F14" i="7"/>
  <c r="F18" i="7" s="1"/>
  <c r="G14" i="7"/>
  <c r="G18" i="7" s="1"/>
  <c r="J9" i="4"/>
  <c r="X14" i="2"/>
  <c r="X15" i="2"/>
  <c r="X16" i="2"/>
  <c r="X17" i="2"/>
  <c r="X19" i="2" s="1"/>
  <c r="X20" i="2" s="1"/>
  <c r="X18" i="2"/>
  <c r="W18" i="2"/>
  <c r="W17" i="2"/>
  <c r="W19" i="2" s="1"/>
  <c r="W20" i="2" s="1"/>
  <c r="W16" i="2"/>
  <c r="W15" i="2"/>
  <c r="W14" i="2"/>
  <c r="N14" i="2"/>
  <c r="N15" i="2"/>
  <c r="N16" i="2"/>
  <c r="N17" i="2"/>
  <c r="N19" i="2" s="1"/>
  <c r="N18" i="2"/>
  <c r="M18" i="2"/>
  <c r="M17" i="2"/>
  <c r="M19" i="2" s="1"/>
  <c r="D28" i="2"/>
  <c r="D29" i="2" s="1"/>
  <c r="M16" i="2"/>
  <c r="M15" i="2"/>
  <c r="M14" i="2"/>
  <c r="S12" i="2"/>
  <c r="T12" i="2" s="1"/>
  <c r="I12" i="2"/>
  <c r="J12" i="2" s="1"/>
  <c r="S11" i="2"/>
  <c r="T11" i="2" s="1"/>
  <c r="I11" i="2"/>
  <c r="J11" i="2" s="1"/>
  <c r="S10" i="2"/>
  <c r="T10" i="2" s="1"/>
  <c r="I10" i="2"/>
  <c r="J10" i="2" s="1"/>
  <c r="S9" i="2"/>
  <c r="T9" i="2" s="1"/>
  <c r="I9" i="2"/>
  <c r="J9" i="2" s="1"/>
  <c r="S8" i="2"/>
  <c r="T8" i="2" s="1"/>
  <c r="I8" i="2"/>
  <c r="J8" i="2" s="1"/>
  <c r="S7" i="2"/>
  <c r="T7" i="2" s="1"/>
  <c r="I7" i="2"/>
  <c r="J7" i="2" s="1"/>
  <c r="S6" i="2"/>
  <c r="T6" i="2" s="1"/>
  <c r="I6" i="2"/>
  <c r="J6" i="2" s="1"/>
  <c r="M20" i="2" l="1"/>
  <c r="S26" i="2"/>
  <c r="U26" i="2" s="1"/>
  <c r="N20" i="2"/>
  <c r="S27" i="2"/>
  <c r="U27" i="2" s="1"/>
  <c r="I8" i="4"/>
  <c r="I9" i="4" s="1"/>
  <c r="N27" i="2"/>
  <c r="P27" i="2" s="1"/>
  <c r="E10" i="13" s="1"/>
  <c r="O26" i="2"/>
  <c r="Q26" i="2" s="1"/>
  <c r="C11" i="13" s="1"/>
  <c r="N26" i="2"/>
  <c r="P26" i="2" s="1"/>
  <c r="E11" i="13" s="1"/>
  <c r="J14" i="10"/>
  <c r="J15" i="10" s="1"/>
  <c r="I16" i="7" s="1"/>
  <c r="M12" i="12"/>
  <c r="G12" i="12"/>
  <c r="G14" i="12" s="1"/>
  <c r="L14" i="12"/>
  <c r="M13" i="12"/>
  <c r="M16" i="12" s="1"/>
  <c r="F24" i="7" s="1"/>
  <c r="K7" i="10"/>
  <c r="K8" i="10" s="1"/>
  <c r="K10" i="10"/>
  <c r="K12" i="10" s="1"/>
  <c r="K10" i="2"/>
  <c r="L10" i="2" s="1"/>
  <c r="P10" i="2" s="1"/>
  <c r="O10" i="2"/>
  <c r="H14" i="7"/>
  <c r="H18" i="7" s="1"/>
  <c r="U10" i="2"/>
  <c r="V10" i="2" s="1"/>
  <c r="Z10" i="2" s="1"/>
  <c r="Y10" i="2"/>
  <c r="Y6" i="2"/>
  <c r="U6" i="2"/>
  <c r="V6" i="2" s="1"/>
  <c r="Z6" i="2" s="1"/>
  <c r="O7" i="2"/>
  <c r="K7" i="2"/>
  <c r="L7" i="2" s="1"/>
  <c r="P7" i="2" s="1"/>
  <c r="Q7" i="2" s="1"/>
  <c r="Y7" i="2"/>
  <c r="U7" i="2"/>
  <c r="V7" i="2" s="1"/>
  <c r="Z7" i="2" s="1"/>
  <c r="K8" i="2"/>
  <c r="L8" i="2" s="1"/>
  <c r="P8" i="2" s="1"/>
  <c r="O8" i="2"/>
  <c r="O9" i="2"/>
  <c r="K9" i="2"/>
  <c r="L9" i="2" s="1"/>
  <c r="P9" i="2" s="1"/>
  <c r="K6" i="2"/>
  <c r="L6" i="2" s="1"/>
  <c r="P6" i="2" s="1"/>
  <c r="O6" i="2"/>
  <c r="O11" i="2"/>
  <c r="K11" i="2"/>
  <c r="L11" i="2" s="1"/>
  <c r="P11" i="2" s="1"/>
  <c r="Q11" i="2" s="1"/>
  <c r="Y11" i="2"/>
  <c r="U11" i="2"/>
  <c r="V11" i="2" s="1"/>
  <c r="Z11" i="2" s="1"/>
  <c r="K12" i="2"/>
  <c r="L12" i="2" s="1"/>
  <c r="P12" i="2" s="1"/>
  <c r="O12" i="2"/>
  <c r="O18" i="2" s="1"/>
  <c r="Y12" i="2"/>
  <c r="Y18" i="2" s="1"/>
  <c r="U12" i="2"/>
  <c r="V12" i="2" s="1"/>
  <c r="Z12" i="2" s="1"/>
  <c r="Y8" i="2"/>
  <c r="U8" i="2"/>
  <c r="V8" i="2" s="1"/>
  <c r="Z8" i="2" s="1"/>
  <c r="Y9" i="2"/>
  <c r="U9" i="2"/>
  <c r="V9" i="2" s="1"/>
  <c r="Z9" i="2" s="1"/>
  <c r="D11" i="2"/>
  <c r="D7" i="2"/>
  <c r="D10" i="2"/>
  <c r="D6" i="2"/>
  <c r="D9" i="2"/>
  <c r="D12" i="2"/>
  <c r="D8" i="2"/>
  <c r="D11" i="13" l="1"/>
  <c r="AA11" i="2"/>
  <c r="G24" i="7"/>
  <c r="F25" i="7"/>
  <c r="M14" i="12"/>
  <c r="G16" i="12"/>
  <c r="F21" i="7" s="1"/>
  <c r="Q10" i="2"/>
  <c r="K14" i="10"/>
  <c r="K15" i="10" s="1"/>
  <c r="J16" i="7" s="1"/>
  <c r="Z15" i="2"/>
  <c r="Z16" i="2"/>
  <c r="Z14" i="2"/>
  <c r="Z17" i="2"/>
  <c r="Y15" i="2"/>
  <c r="O27" i="2" s="1"/>
  <c r="Q27" i="2" s="1"/>
  <c r="C10" i="13" s="1"/>
  <c r="D10" i="13" s="1"/>
  <c r="Y16" i="2"/>
  <c r="Y14" i="2"/>
  <c r="Y17" i="2"/>
  <c r="Y19" i="2" s="1"/>
  <c r="Y20" i="2" s="1"/>
  <c r="O15" i="2"/>
  <c r="O16" i="2"/>
  <c r="O14" i="2"/>
  <c r="N28" i="2" s="1"/>
  <c r="P28" i="2" s="1"/>
  <c r="E9" i="13" s="1"/>
  <c r="O17" i="2"/>
  <c r="O19" i="2" s="1"/>
  <c r="P15" i="2"/>
  <c r="P16" i="2"/>
  <c r="P14" i="2"/>
  <c r="P17" i="2"/>
  <c r="AA12" i="2"/>
  <c r="AA18" i="2" s="1"/>
  <c r="Z18" i="2"/>
  <c r="Q8" i="2"/>
  <c r="AA7" i="2"/>
  <c r="Q12" i="2"/>
  <c r="Q18" i="2" s="1"/>
  <c r="P18" i="2"/>
  <c r="I14" i="7"/>
  <c r="I18" i="7" s="1"/>
  <c r="AA6" i="2"/>
  <c r="AA9" i="2"/>
  <c r="Q6" i="2"/>
  <c r="AA8" i="2"/>
  <c r="Q9" i="2"/>
  <c r="AA10" i="2"/>
  <c r="O20" i="2" l="1"/>
  <c r="S28" i="2"/>
  <c r="U28" i="2" s="1"/>
  <c r="O28" i="2"/>
  <c r="Q28" i="2" s="1"/>
  <c r="C9" i="13" s="1"/>
  <c r="D9" i="13" s="1"/>
  <c r="H24" i="7"/>
  <c r="G25" i="7"/>
  <c r="G21" i="7"/>
  <c r="F22" i="7"/>
  <c r="Q15" i="2"/>
  <c r="Q16" i="2"/>
  <c r="Q14" i="2"/>
  <c r="Q17" i="2"/>
  <c r="Q20" i="2" s="1"/>
  <c r="U29" i="2" s="1"/>
  <c r="AA15" i="2"/>
  <c r="AA16" i="2"/>
  <c r="AA14" i="2"/>
  <c r="AA17" i="2"/>
  <c r="AA20" i="2" s="1"/>
  <c r="J14" i="7"/>
  <c r="J18" i="7" s="1"/>
  <c r="J33" i="7" s="1"/>
  <c r="P29" i="2" l="1"/>
  <c r="E12" i="13" s="1"/>
  <c r="Q29" i="2"/>
  <c r="C12" i="13"/>
  <c r="G22" i="7"/>
  <c r="H21" i="7"/>
  <c r="I24" i="7"/>
  <c r="H25" i="7"/>
  <c r="E33" i="7"/>
  <c r="D12" i="13" l="1"/>
  <c r="J24" i="7"/>
  <c r="I25" i="7"/>
  <c r="H22" i="7"/>
  <c r="I21" i="7"/>
  <c r="J25" i="7" l="1"/>
  <c r="J29" i="7" s="1"/>
  <c r="J34" i="7"/>
  <c r="J35" i="7" s="1"/>
  <c r="J21" i="7"/>
  <c r="I22" i="7"/>
  <c r="J37" i="7" l="1"/>
  <c r="J39" i="7" s="1"/>
  <c r="C5" i="13" s="1"/>
  <c r="J22" i="7"/>
  <c r="E29" i="7" s="1"/>
  <c r="E34" i="7"/>
  <c r="E35" i="7" s="1"/>
  <c r="E37" i="7" l="1"/>
  <c r="E39" i="7" s="1"/>
  <c r="E5" i="13" s="1"/>
  <c r="B34" i="13" s="1"/>
  <c r="D5" i="13" l="1"/>
</calcChain>
</file>

<file path=xl/sharedStrings.xml><?xml version="1.0" encoding="utf-8"?>
<sst xmlns="http://schemas.openxmlformats.org/spreadsheetml/2006/main" count="479" uniqueCount="322">
  <si>
    <t>1)</t>
  </si>
  <si>
    <t>EV / Revenues</t>
  </si>
  <si>
    <t>EV / EBITDA</t>
  </si>
  <si>
    <t>EV / EBIT</t>
  </si>
  <si>
    <t>P/E</t>
  </si>
  <si>
    <t xml:space="preserve">P/E </t>
  </si>
  <si>
    <t>PEG ratio</t>
  </si>
  <si>
    <t>Long term growth rate</t>
  </si>
  <si>
    <t>Share price</t>
  </si>
  <si>
    <t>EPS</t>
  </si>
  <si>
    <t>Company</t>
  </si>
  <si>
    <t>EV</t>
  </si>
  <si>
    <t>EBIT</t>
  </si>
  <si>
    <t>Shares outstanding</t>
  </si>
  <si>
    <t>NOPAT</t>
  </si>
  <si>
    <t>PEG Ratio</t>
  </si>
  <si>
    <t>Prime JOHNSON</t>
  </si>
  <si>
    <t>Orient Cement</t>
  </si>
  <si>
    <t>ACC</t>
  </si>
  <si>
    <t>Shree cement</t>
  </si>
  <si>
    <t>Heidelberg</t>
  </si>
  <si>
    <t>JK Cement</t>
  </si>
  <si>
    <t>JK Lakshmi Cement</t>
  </si>
  <si>
    <t>Sales growth</t>
  </si>
  <si>
    <t>Industry growth rate</t>
  </si>
  <si>
    <t>Credit default spread</t>
  </si>
  <si>
    <t>Converging growth rate</t>
  </si>
  <si>
    <t>Net rate reduction</t>
  </si>
  <si>
    <t>X</t>
  </si>
  <si>
    <t>EBITDA</t>
  </si>
  <si>
    <t>Depreciation &amp; Ammort.</t>
  </si>
  <si>
    <t>Tax rate</t>
  </si>
  <si>
    <t>India's Long term growth</t>
  </si>
  <si>
    <t>2)</t>
  </si>
  <si>
    <t>3)</t>
  </si>
  <si>
    <t>Trading Comparables</t>
  </si>
  <si>
    <t>Current Calendar year</t>
  </si>
  <si>
    <t>High</t>
  </si>
  <si>
    <t>Low</t>
  </si>
  <si>
    <t>Median</t>
  </si>
  <si>
    <t>Mean</t>
  </si>
  <si>
    <t>Maximum</t>
  </si>
  <si>
    <t>75th Percentile</t>
  </si>
  <si>
    <t>25th Percentile</t>
  </si>
  <si>
    <t>Minimum</t>
  </si>
  <si>
    <t>Offer Price / EPS</t>
  </si>
  <si>
    <t>Acquirer</t>
  </si>
  <si>
    <t>Target</t>
  </si>
  <si>
    <t>Date</t>
  </si>
  <si>
    <t>Comparable Transactions</t>
  </si>
  <si>
    <t>Net Debt</t>
  </si>
  <si>
    <t>TargetCo Valuation</t>
  </si>
  <si>
    <t>n.a.</t>
  </si>
  <si>
    <t>Less: Net Debt</t>
  </si>
  <si>
    <t>Current Share Price</t>
  </si>
  <si>
    <t>Implied Valuation</t>
  </si>
  <si>
    <t>Precedent Transaction Analysis</t>
  </si>
  <si>
    <t>Xingjian qingsong</t>
  </si>
  <si>
    <t>Xinjiang Zhong</t>
  </si>
  <si>
    <t>Boral Ltd</t>
  </si>
  <si>
    <t>Network invest.</t>
  </si>
  <si>
    <t>Ssang yong</t>
  </si>
  <si>
    <t>Hahn company</t>
  </si>
  <si>
    <t>ADBRI Ltd</t>
  </si>
  <si>
    <t>Barro group</t>
  </si>
  <si>
    <t>Holcim Phillipines</t>
  </si>
  <si>
    <t>Holderfin BV</t>
  </si>
  <si>
    <t>Eagle cement</t>
  </si>
  <si>
    <t>San Miguel</t>
  </si>
  <si>
    <t>Ambuja Cement</t>
  </si>
  <si>
    <t>Adani Enterprises</t>
  </si>
  <si>
    <t>Gujrat Sidhee</t>
  </si>
  <si>
    <t>Saurashtra cement</t>
  </si>
  <si>
    <t>Post 17/04/24</t>
  </si>
  <si>
    <t>(Values close to broker consensus estimates)</t>
  </si>
  <si>
    <t>Short-Term Borrowings</t>
  </si>
  <si>
    <t>Total Debt</t>
  </si>
  <si>
    <t>Cash &amp; Cash Equivalents</t>
  </si>
  <si>
    <t>Marketable Securities</t>
  </si>
  <si>
    <t>Total Cash &amp; Cash Equivalents</t>
  </si>
  <si>
    <t>LFY Revenue</t>
  </si>
  <si>
    <t>LFY EBITDA</t>
  </si>
  <si>
    <t>LFY Net Income</t>
  </si>
  <si>
    <t>LFY EPS</t>
  </si>
  <si>
    <t>LTM Multiple</t>
  </si>
  <si>
    <t>EV / Revenue</t>
  </si>
  <si>
    <t>Enterprise Value (EV)</t>
  </si>
  <si>
    <t>(offer price per share)</t>
  </si>
  <si>
    <t xml:space="preserve">Total Shares Outstanding </t>
  </si>
  <si>
    <t>Period (t)</t>
  </si>
  <si>
    <t>Discount rate (r)</t>
  </si>
  <si>
    <t>EBIT (1-t)</t>
  </si>
  <si>
    <t>D&amp;A</t>
  </si>
  <si>
    <t>NWC</t>
  </si>
  <si>
    <t>Capital expenditures</t>
  </si>
  <si>
    <t>Unlevered free cash flows (UFCF)</t>
  </si>
  <si>
    <t>PV of UFCFs</t>
  </si>
  <si>
    <t>Stage 1: Sum of present values</t>
  </si>
  <si>
    <t>Terminal value - growth in perpetuity approach</t>
  </si>
  <si>
    <t>Stage 2: PV of TV</t>
  </si>
  <si>
    <t>Enterprise value (stage 1 + 2)</t>
  </si>
  <si>
    <t>Net debt</t>
  </si>
  <si>
    <t>Dilutive shares outstanding</t>
  </si>
  <si>
    <t>Equity value</t>
  </si>
  <si>
    <t>Target Enterprise Value</t>
  </si>
  <si>
    <t>Income Statement (INRm)</t>
  </si>
  <si>
    <t>FY23A</t>
  </si>
  <si>
    <t>FY24A</t>
  </si>
  <si>
    <t>FY25E</t>
  </si>
  <si>
    <t>FY26E</t>
  </si>
  <si>
    <t>FY27E</t>
  </si>
  <si>
    <t>FY28E</t>
  </si>
  <si>
    <t>FY29E</t>
  </si>
  <si>
    <t>Net Revenues</t>
  </si>
  <si>
    <t>Cost of Sales</t>
  </si>
  <si>
    <t>SGA</t>
  </si>
  <si>
    <t>Depreciation &amp; Amortization</t>
  </si>
  <si>
    <t>Working Capital Days</t>
  </si>
  <si>
    <t>Inventory</t>
  </si>
  <si>
    <t>Receivable</t>
  </si>
  <si>
    <t>Payable</t>
  </si>
  <si>
    <t>Cash Flows (INRm)</t>
  </si>
  <si>
    <t>Capex</t>
  </si>
  <si>
    <t>Margin's/Growth Rates</t>
  </si>
  <si>
    <t>Revenue Growth Rate</t>
  </si>
  <si>
    <t>Pre-Tax Cost of Debt</t>
  </si>
  <si>
    <t>Tax Rate (%)</t>
  </si>
  <si>
    <r>
      <t>After-Tax Cost of Debt (k</t>
    </r>
    <r>
      <rPr>
        <b/>
        <vertAlign val="subscript"/>
        <sz val="10"/>
        <color theme="1"/>
        <rFont val="Arial"/>
        <family val="2"/>
      </rPr>
      <t>d</t>
    </r>
    <r>
      <rPr>
        <b/>
        <sz val="10"/>
        <color theme="1"/>
        <rFont val="Arial"/>
        <family val="2"/>
      </rPr>
      <t>)</t>
    </r>
  </si>
  <si>
    <t>Beta (β)</t>
  </si>
  <si>
    <t>Equity Risk Premium (ERP)</t>
  </si>
  <si>
    <r>
      <t>Cost of Equity (k</t>
    </r>
    <r>
      <rPr>
        <b/>
        <vertAlign val="subscript"/>
        <sz val="10"/>
        <color theme="1"/>
        <rFont val="Arial"/>
        <family val="2"/>
      </rPr>
      <t>e</t>
    </r>
    <r>
      <rPr>
        <b/>
        <sz val="10"/>
        <color theme="1"/>
        <rFont val="Arial"/>
        <family val="2"/>
      </rPr>
      <t>)</t>
    </r>
  </si>
  <si>
    <t>Capital Structure Weights</t>
  </si>
  <si>
    <t>Market Value of Equity</t>
  </si>
  <si>
    <t>Total Capitalization</t>
  </si>
  <si>
    <t>Discount Rate (WACC)</t>
  </si>
  <si>
    <t>COGS margin</t>
  </si>
  <si>
    <t>Operating Expenses Margin</t>
  </si>
  <si>
    <t>Depriciation &amp; Ammortisation</t>
  </si>
  <si>
    <t>CAPEX Margin</t>
  </si>
  <si>
    <t>D&amp;A Margin</t>
  </si>
  <si>
    <t>Net Working Capital (NWC)</t>
  </si>
  <si>
    <t>Accounts Receivable (A/R)</t>
  </si>
  <si>
    <t>Current Operating Assets</t>
  </si>
  <si>
    <t>Accounts Payable (A/P)</t>
  </si>
  <si>
    <t>Accrued Expense</t>
  </si>
  <si>
    <t>Current Operating Liabilities</t>
  </si>
  <si>
    <t>Change in Net Working Capital (NWC)</t>
  </si>
  <si>
    <t>Converting from days to nominal values</t>
  </si>
  <si>
    <t>Inventory days</t>
  </si>
  <si>
    <t>Receivable days</t>
  </si>
  <si>
    <t>Payable days</t>
  </si>
  <si>
    <t>Revenue</t>
  </si>
  <si>
    <t>COGS</t>
  </si>
  <si>
    <t>Accounts Payable</t>
  </si>
  <si>
    <t>Accounts Receivable</t>
  </si>
  <si>
    <t>Days in year convention</t>
  </si>
  <si>
    <t>Average Inventory</t>
  </si>
  <si>
    <t>4)</t>
  </si>
  <si>
    <t>Margin projection (% of revenue)</t>
  </si>
  <si>
    <t>5)</t>
  </si>
  <si>
    <t>%</t>
  </si>
  <si>
    <t>Market Classification</t>
  </si>
  <si>
    <t>Developed</t>
  </si>
  <si>
    <t>Emerging</t>
  </si>
  <si>
    <t>Expected Market Return (rm)</t>
  </si>
  <si>
    <t>Country-Risk Premium</t>
  </si>
  <si>
    <t>Cost of Equity</t>
  </si>
  <si>
    <t>Cost of Debt</t>
  </si>
  <si>
    <t>Long borrowings</t>
  </si>
  <si>
    <t>Short borrowings</t>
  </si>
  <si>
    <t>(As of FY23 Annual Report)</t>
  </si>
  <si>
    <t>Total borrowings</t>
  </si>
  <si>
    <t>Finance cost</t>
  </si>
  <si>
    <t>Lease payments</t>
  </si>
  <si>
    <t>Other fin. Liabilities</t>
  </si>
  <si>
    <t>Discount Rate (Emerging India)</t>
  </si>
  <si>
    <t>6)</t>
  </si>
  <si>
    <t>Market Value of Debt</t>
  </si>
  <si>
    <t>INRm</t>
  </si>
  <si>
    <t>Stockholder's Equity</t>
  </si>
  <si>
    <t>Devloped India</t>
  </si>
  <si>
    <t>Emerging India</t>
  </si>
  <si>
    <t>Current portion of Long-Term Debt</t>
  </si>
  <si>
    <t>(All figures in INRm)</t>
  </si>
  <si>
    <t>2029 FCF x (1+g)</t>
  </si>
  <si>
    <t>Terminal value in 2029</t>
  </si>
  <si>
    <t>2025E Consensus estimate</t>
  </si>
  <si>
    <t>2026E Consensus estimate</t>
  </si>
  <si>
    <t>Heidelberg Cement India Financials</t>
  </si>
  <si>
    <t>Difference</t>
  </si>
  <si>
    <t>DCF (Emerging,Developed)</t>
  </si>
  <si>
    <t>Transaction comparables - EV/EBITDA</t>
  </si>
  <si>
    <t>Transaction Comparables - EV/Revenue</t>
  </si>
  <si>
    <t>52 week high low</t>
  </si>
  <si>
    <t>Trading Comparables - EV/Revenue</t>
  </si>
  <si>
    <t>Broker Targets</t>
  </si>
  <si>
    <t>EV/EBITDA</t>
  </si>
  <si>
    <t>Max</t>
  </si>
  <si>
    <t>Min</t>
  </si>
  <si>
    <t>EV/Revenue</t>
  </si>
  <si>
    <t>Implied Share price</t>
  </si>
  <si>
    <t>Current Share price</t>
  </si>
  <si>
    <t>52-week High</t>
  </si>
  <si>
    <t>52-week Low</t>
  </si>
  <si>
    <t>Trading Comparables - EV/EBITDA</t>
  </si>
  <si>
    <t>Trading Comparables - EV/EBIT</t>
  </si>
  <si>
    <t>Long term growth Adj.</t>
  </si>
  <si>
    <t xml:space="preserve">EBITDA </t>
  </si>
  <si>
    <t xml:space="preserve">Interest Expense (A) </t>
  </si>
  <si>
    <t>Shareholder's Equity</t>
  </si>
  <si>
    <t>Total Debt to EBITDA</t>
  </si>
  <si>
    <t>EBITDA to Interest Expense</t>
  </si>
  <si>
    <t>Total Debt to Capital</t>
  </si>
  <si>
    <t>Borrowed Amount</t>
  </si>
  <si>
    <t>Purchase Multiple of EBITDA</t>
  </si>
  <si>
    <t>Incremental Interest Expense</t>
  </si>
  <si>
    <t>EBITDA Margin</t>
  </si>
  <si>
    <t>Acquired EBITDA</t>
  </si>
  <si>
    <t>Acquired Revenue</t>
  </si>
  <si>
    <t>Purchase Price Calculation</t>
  </si>
  <si>
    <t>Transaction Assumptions</t>
  </si>
  <si>
    <t>Transaction Fees (% TEV)</t>
  </si>
  <si>
    <t>(×) Entry Multiple</t>
  </si>
  <si>
    <t>Cash to B/S</t>
  </si>
  <si>
    <t>Purchase Enterprise Value</t>
  </si>
  <si>
    <t>Rollover (% Total Equity)</t>
  </si>
  <si>
    <t>Financing Assumptions</t>
  </si>
  <si>
    <t>Total Leverage Multiple</t>
  </si>
  <si>
    <t>Senior Leverage Multiple</t>
  </si>
  <si>
    <t>Financing Fees (% Total Debt)</t>
  </si>
  <si>
    <t>Sources and Uses Table</t>
  </si>
  <si>
    <t>Sources</t>
  </si>
  <si>
    <t>xEBITDA</t>
  </si>
  <si>
    <t>Uses</t>
  </si>
  <si>
    <t>Revolver</t>
  </si>
  <si>
    <t>Purchase Price</t>
  </si>
  <si>
    <t>Senior Debt</t>
  </si>
  <si>
    <t>Transaction Fees</t>
  </si>
  <si>
    <t>Sub Notes</t>
  </si>
  <si>
    <t>Financing Fees</t>
  </si>
  <si>
    <t>Sponsor Equity</t>
  </si>
  <si>
    <t>Total Uses</t>
  </si>
  <si>
    <t>Total Sources</t>
  </si>
  <si>
    <t>Trading Comparables - PEG Ratio</t>
  </si>
  <si>
    <t>(Assumption: Acquisition of EV would be on Debt free &amp; Cash free basis)</t>
  </si>
  <si>
    <t>LBO Financing</t>
  </si>
  <si>
    <t>Leverage %</t>
  </si>
  <si>
    <t>Senior Leverage</t>
  </si>
  <si>
    <t>Sponsor %</t>
  </si>
  <si>
    <t>Trading Comps Range</t>
  </si>
  <si>
    <t xml:space="preserve"> Share price</t>
  </si>
  <si>
    <t xml:space="preserve"> Enterprise Value</t>
  </si>
  <si>
    <t>Trading Comps Implied Target</t>
  </si>
  <si>
    <t>Transaction Comps share price Range</t>
  </si>
  <si>
    <t>Implied target</t>
  </si>
  <si>
    <t>Case-1</t>
  </si>
  <si>
    <t>Case-2</t>
  </si>
  <si>
    <t>Case-3</t>
  </si>
  <si>
    <t>JK Cement Pro-Forma Capital Structure</t>
  </si>
  <si>
    <t xml:space="preserve">Pro Forma </t>
  </si>
  <si>
    <t>Acquisition Financing Effect</t>
  </si>
  <si>
    <t>Football Field Analysis</t>
  </si>
  <si>
    <t>(All figures in INR)</t>
  </si>
  <si>
    <t>Heidelberg Net Debt Calculation</t>
  </si>
  <si>
    <t>Risk-Free Rate(10-yr G_sec yield)</t>
  </si>
  <si>
    <t>(–) Risk-Free Rate</t>
  </si>
  <si>
    <t>JK Cement Sources and Uses</t>
  </si>
  <si>
    <t>₹</t>
  </si>
  <si>
    <t>Scope</t>
  </si>
  <si>
    <t>Transaction closes on 31st March,2025. Thus for Pro-forma FY25 should be used for exact capital sensitivity.</t>
  </si>
  <si>
    <t>But as of today, FY24A values has been used</t>
  </si>
  <si>
    <t>Post Leverage Cost of Debt</t>
  </si>
  <si>
    <r>
      <t xml:space="preserve">Transaction and Financing fees are taken as Industry Standards from </t>
    </r>
    <r>
      <rPr>
        <b/>
        <sz val="10"/>
        <rFont val="Arial"/>
        <family val="2"/>
      </rPr>
      <t>WallStreetprep.com</t>
    </r>
  </si>
  <si>
    <t>Revolver Credit Financing is assumed to be Nil for sake of simplicity</t>
  </si>
  <si>
    <t>Rollover Equity is taken as Nil (100% acquisition)</t>
  </si>
  <si>
    <t>Out of Total EV, 70% is assumed to be leveraged.</t>
  </si>
  <si>
    <t>Out of Total EV, 65% is assumed to be financed from Senior Debt having low Kd.</t>
  </si>
  <si>
    <t>Full value of EV is taken, where it is assumed that Acquisition would happen at Debt-free &amp; Cash-free basis.</t>
  </si>
  <si>
    <t>Senior Debt Ratio</t>
  </si>
  <si>
    <t>Other Debt ratio</t>
  </si>
  <si>
    <t>Senior Debt Cost %</t>
  </si>
  <si>
    <t>Other Debt Cost %</t>
  </si>
  <si>
    <t>(The issue with this is we have taken the After tax Kd of Heidelberg as other debt cost{which already includes senior debt of Heidelberg})</t>
  </si>
  <si>
    <r>
      <t xml:space="preserve">Cost of senior debt is taken as 8%, similar to </t>
    </r>
    <r>
      <rPr>
        <b/>
        <sz val="10"/>
        <rFont val="Arial"/>
        <family val="2"/>
      </rPr>
      <t>ACC</t>
    </r>
    <r>
      <rPr>
        <sz val="10"/>
        <rFont val="Arial"/>
        <family val="2"/>
      </rPr>
      <t xml:space="preserve"> AAA rated bonds issued at 7.53% last year.</t>
    </r>
  </si>
  <si>
    <t>While calculating Cost of Debt, Current portion of Long term should be taken instead we took the long borrowings</t>
  </si>
  <si>
    <t>Tax rate remains linear.</t>
  </si>
  <si>
    <t>Capital structure remains same as per M&amp;DA of reducing net outstanding debt</t>
  </si>
  <si>
    <t>Capex and NWC will be in proportion to forecasted revenue.</t>
  </si>
  <si>
    <t>In 2029 Terminal year the same capex growth is taken which should be somewhat lower due to perpetual nature</t>
  </si>
  <si>
    <t>M&amp;DA says they maintain a Debt-equity ratio of 0.12 but my computation comes to be somewhat diverging.</t>
  </si>
  <si>
    <t>Cash &amp; Equivalents is sourced from footnote 9 (pg 136) from HCIL FY23 Annual Report</t>
  </si>
  <si>
    <t>Other Marketable securities is sourced from footnote 10 (pg 136) from HCIL FY23 Annual Report</t>
  </si>
  <si>
    <t>Short term borrowings is sourced from footnote 13 (pg 139) from HCIL FY23 Annual Report</t>
  </si>
  <si>
    <t>Effective Cost of debt should be 9.19% as mentioned in HCIL FY23 Annual Report footnote 13(refer note(a))(pg 139)</t>
  </si>
  <si>
    <t>In place of Current portion of long term debt we have taken total non-current borrowings</t>
  </si>
  <si>
    <t>Heidelberg Intrinsic Valuation (DCF)</t>
  </si>
  <si>
    <t>6)Stockholder's Equity is sourced from HCIL FY23 Annual Report Balance sheet (Pg 120)</t>
  </si>
  <si>
    <t xml:space="preserve">Deals after 2022 Feb has been taken into consideration as after that period of Covid pandemic Indian economy paced up. </t>
  </si>
  <si>
    <t>Calendarization of LTM has not been done and last FY data is assumed to be overlaping</t>
  </si>
  <si>
    <t>LFY values of Heidelberg is assumed to be proportional with given LTM values of selected precedent transactions</t>
  </si>
  <si>
    <t>Using the median will somewhat neutralise the outliers effect</t>
  </si>
  <si>
    <t>Heidelberg Cement India Ltd. FY23</t>
  </si>
  <si>
    <t>Industry growth rate of 6.7% is taken from ACC Ltd. FY24 Annual report M&amp;DA</t>
  </si>
  <si>
    <t>EV sourced from Trading comparables fact sheet to remain same for next 2 years.</t>
  </si>
  <si>
    <t>Credit default spread of India is sourced from NYU Stern publication of Sovereign CDS spread.</t>
  </si>
  <si>
    <t>Interpretation</t>
  </si>
  <si>
    <t>Benefit due to Synergies is assumed to be NIL.</t>
  </si>
  <si>
    <t>The Range fluctuation between EBITDAx &amp; REVENUEx is quite significant indicating a greater emphasis on the latter.</t>
  </si>
  <si>
    <t>(Whereas Industry standards put more emphasis on EBITDAx)</t>
  </si>
  <si>
    <t>The Range fluctuation between EBITDAx &amp; EBITx is quite significant indicating a greater emphasis on the latter.</t>
  </si>
  <si>
    <t>(Since, D&amp;A is a major cost {as we have assumed it to grow in proportion with revenue})</t>
  </si>
  <si>
    <t xml:space="preserve">PEG ratio Multiple is dependent upon firm wise Adj. Growth rate indicating Heidelberg growth is around Industry average. </t>
  </si>
  <si>
    <t>India's LTGR is taken to be at 6% (Emerging) sourced from Corporate Finance Institute.</t>
  </si>
  <si>
    <t>Perpetual growth rate</t>
  </si>
  <si>
    <t>Perpetual growth rate is assumed to be within a range bracket of 3-6%</t>
  </si>
  <si>
    <t>Risk free rates is sourced from Investing.com (Emerging India) &amp; Trading Economics (Developed Australia) as of 25 August,2024.</t>
  </si>
  <si>
    <t>Net Rate Reduction is a rate to be used for converting Current sales growth into Long-term rate for PEG computation</t>
  </si>
  <si>
    <t>CRP is sourced from latest publication of Prof.Aswath Damodaran (NYU Stern)</t>
  </si>
  <si>
    <t>Expected Market Return is sourced from India Finance Organisation</t>
  </si>
  <si>
    <t>Broker Targets sourced from TradingView.com is aligning more with the EBITDA multiple valuation.</t>
  </si>
  <si>
    <t>Discount Rate (Developed India)</t>
  </si>
  <si>
    <r>
      <t>Beta value of Heidelberg is taken from</t>
    </r>
    <r>
      <rPr>
        <b/>
        <sz val="10"/>
        <color theme="1"/>
        <rFont val="Arial"/>
        <family val="2"/>
      </rPr>
      <t xml:space="preserve"> Moneycontrol </t>
    </r>
    <r>
      <rPr>
        <sz val="10"/>
        <color theme="1"/>
        <rFont val="Arial"/>
        <family val="2"/>
      </rPr>
      <t>page &amp; assumed same for both economy.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</si>
</sst>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6">
    <numFmt numFmtId="43" formatCode="_ * #,##0.00_ ;_ * \-#,##0.00_ ;_ * &quot;-&quot;??_ ;_ @_ 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#,##0.00_);\(#,##0\)"/>
    <numFmt numFmtId="169" formatCode="#,##0.0%_);\(#,##0.0%\)"/>
    <numFmt numFmtId="170" formatCode="0.0\ \x"/>
    <numFmt numFmtId="171" formatCode="#,##0.00\ ;\(#,##0.00\)"/>
    <numFmt numFmtId="172" formatCode="&quot;$&quot;#,##0.00\ ;\(&quot;$&quot;#,##0.00\)"/>
    <numFmt numFmtId="173" formatCode="0.0%_);\(0.0%\)"/>
    <numFmt numFmtId="174" formatCode="0.000\ \x&quot;rate&quot;"/>
    <numFmt numFmtId="175" formatCode="#,##0.000_);[Red]\(#,##0.000\)"/>
    <numFmt numFmtId="176" formatCode="0.00_);\(0.00\);0.00"/>
    <numFmt numFmtId="177" formatCode="\C&quot;$&quot;#,##0.00_);[Red]\(&quot;$&quot;#,##0.00\)"/>
    <numFmt numFmtId="178" formatCode="#,##0%_);\(#,##0.0%\)"/>
    <numFmt numFmtId="179" formatCode="_(* #,##0.00000000_);_(* \(#,##0.00000000\);_(* &quot;-&quot;?_);_(@_)"/>
    <numFmt numFmtId="180" formatCode="mmm\-d\-yyyy"/>
    <numFmt numFmtId="181" formatCode="mmm\-yyyy"/>
    <numFmt numFmtId="182" formatCode="yyyy"/>
    <numFmt numFmtId="183" formatCode="0.00\x&quot;rate&quot;"/>
    <numFmt numFmtId="184" formatCode="0.0&quot;  &quot;"/>
    <numFmt numFmtId="185" formatCode="&quot;$&quot;#,##0.0\ ;[Red]\(&quot;$&quot;#,##0\)"/>
    <numFmt numFmtId="186" formatCode="_(&quot;$&quot;* #,##0.00_);_(&quot;$&quot;* \(#,##0.00\);_(&quot;$&quot;* &quot;-&quot;?_);_(@_)"/>
    <numFmt numFmtId="187" formatCode="&quot;$&quot;#,##0.000_);[Red]\(&quot;$&quot;#,##0.000\)"/>
    <numFmt numFmtId="188" formatCode="&quot;$&quot;#,##0.00&quot;A&quot;;[Red]\(&quot;$&quot;#,##0.00\)&quot;A&quot;"/>
    <numFmt numFmtId="189" formatCode="#,##0.0\ ;[Red]\(&quot;$&quot;#,##0\)"/>
    <numFmt numFmtId="190" formatCode="&quot;$&quot;#,##0.00&quot;E&quot;;[Red]\(&quot;$&quot;#,##0.00\)&quot;E&quot;"/>
    <numFmt numFmtId="191" formatCode="_([$€-2]* #,##0.00_);_([$€-2]* \(#,##0.00\);_([$€-2]* &quot;-&quot;??_)"/>
    <numFmt numFmtId="192" formatCode="#,##0.00;\(#,##0.00\)"/>
    <numFmt numFmtId="193" formatCode=".%\,\(0.0%%;\t"/>
    <numFmt numFmtId="194" formatCode="#,##0.0_);[Red]\(#,##0.0\)"/>
    <numFmt numFmtId="195" formatCode="0.0%_);[Red]\(0.0%\)"/>
    <numFmt numFmtId="196" formatCode="0.00_);\(0.00\);0.00_)"/>
    <numFmt numFmtId="197" formatCode="0.0%"/>
    <numFmt numFmtId="198" formatCode="#,##0\x"/>
    <numFmt numFmtId="199" formatCode="&quot;TKR&quot;\ 0"/>
    <numFmt numFmtId="200" formatCode=".%\,\(0.%%;\t"/>
    <numFmt numFmtId="201" formatCode="&quot;$&quot;#,###.0\ \ "/>
    <numFmt numFmtId="202" formatCode="#,##0.00\x_);[Red]\(#,##0.00\x\)"/>
    <numFmt numFmtId="203" formatCode="#,##0.0_);\(#,##0.0\)"/>
    <numFmt numFmtId="204" formatCode="#,##0.000_);\(#,##0.000\)"/>
    <numFmt numFmtId="205" formatCode="#,##0.00\x_);[Red]\(#,##0.00\x\);&quot;--  &quot;"/>
    <numFmt numFmtId="206" formatCode="_(* #,##0.0_);_(* \(#,##0.0\);_(* &quot;-&quot;??_);_(@_)"/>
    <numFmt numFmtId="207" formatCode="0.0\x_);[Red]\(0.0\x\)"/>
    <numFmt numFmtId="208" formatCode="0.0\ "/>
    <numFmt numFmtId="209" formatCode="&quot;$&quot;#,##0.0;\(&quot;$&quot;#,##0.00\)"/>
    <numFmt numFmtId="210" formatCode="#,##0.00%_);\(#,##0.00%\)"/>
    <numFmt numFmtId="211" formatCode="0.00\%;\-0.00\%;0.00\%"/>
    <numFmt numFmtId="212" formatCode="0.0%\ ;\(0.0%\)"/>
    <numFmt numFmtId="213" formatCode="_(&quot;$&quot;* #,##0_);_(&quot;$&quot;* \(#,##0\);_(&quot;$&quot;* &quot;-&quot;??_);_(@_)"/>
    <numFmt numFmtId="214" formatCode="&quot;$&quot;0.00\ "/>
    <numFmt numFmtId="215" formatCode="0.0\ \ \ \ \ "/>
    <numFmt numFmtId="216" formatCode="0.00\x;\-0.00\x;0.00\x"/>
    <numFmt numFmtId="217" formatCode="&quot;$&quot;#,##0.000_);\(&quot;$&quot;#,##0.000\)"/>
    <numFmt numFmtId="218" formatCode="#,##0.0_);\(#,##0.0\);_(* &quot;-&quot;_)"/>
    <numFmt numFmtId="219" formatCode="_(&quot;$&quot;* #,##0.00_);_(&quot;$&quot;* \(#,##0.00\);_(* &quot;-&quot;_);_(@_)"/>
    <numFmt numFmtId="220" formatCode="0.00%_);[Red]\(0.00%\)"/>
    <numFmt numFmtId="221" formatCode="#,##0.0\x_);\(#,##0.0\x\)"/>
    <numFmt numFmtId="222" formatCode="#,##0.00\x_);\(#,##0.00\x\)"/>
    <numFmt numFmtId="223" formatCode="###0&quot;E&quot;_)"/>
    <numFmt numFmtId="224" formatCode="0.0\x_);\(0.0\x\);@_)"/>
    <numFmt numFmtId="225" formatCode="&quot;₹&quot;\ #,##0.00"/>
    <numFmt numFmtId="226" formatCode="&quot;₹&quot;\ #,##0"/>
    <numFmt numFmtId="227" formatCode="#,##0_);\(#,##0\);\-\-_);@_)"/>
    <numFmt numFmtId="228" formatCode="0.0&quot;x&quot;_)"/>
    <numFmt numFmtId="229" formatCode="@_)"/>
    <numFmt numFmtId="230" formatCode="&quot;Comp&quot;\ 0"/>
    <numFmt numFmtId="231" formatCode="&quot;$&quot;#,##0.00_);\(&quot;$&quot;#,##0.00\);\-\-_);@_)"/>
    <numFmt numFmtId="232" formatCode="&quot;$&quot;#,##0_);\(&quot;$&quot;#,##0\);\-\-_);@_)"/>
    <numFmt numFmtId="233" formatCode="#,##0.0_);\(#,##0.0\);@_)"/>
    <numFmt numFmtId="234" formatCode="#,##0_);\(#,##0\);@_)"/>
    <numFmt numFmtId="235" formatCode="0%_);\(0%\);@_)"/>
    <numFmt numFmtId="236" formatCode="0000\A"/>
    <numFmt numFmtId="237" formatCode="#,##0.000_);[Red]\(#,##0\)"/>
    <numFmt numFmtId="238" formatCode="#,##0_);\(#,##0\);\-\-_)"/>
    <numFmt numFmtId="239" formatCode="#,##0.0_);\(#,##0.0\);\-\-_)"/>
    <numFmt numFmtId="240" formatCode="#,##0_);[Red]\(#,##0\)"/>
    <numFmt numFmtId="241" formatCode="#,##0.0%_);\(#,##0.0%\);\-\-_);@_)"/>
    <numFmt numFmtId="242" formatCode="#,##0.00_);\(#,##0.00\);\-\-_);@_)"/>
    <numFmt numFmtId="243" formatCode="0.0%_);\(0.0%\)_);&quot;--&quot;_);@_)"/>
    <numFmt numFmtId="244" formatCode="#,##0.0_);\(#,##0.0\);\-\-_);@_)"/>
    <numFmt numFmtId="245" formatCode="0.00%_);\(0.00%\)_);&quot;--&quot;_);@_)"/>
    <numFmt numFmtId="246" formatCode="0.000%_);\(0.000%\)_);&quot;--&quot;_);@_)"/>
    <numFmt numFmtId="247" formatCode="#,##0.0_);\(#,##0.0\)\,0.0_);@_)"/>
    <numFmt numFmtId="248" formatCode="#,##0.0_);\(#,##0.0\);0.0_);@_)"/>
    <numFmt numFmtId="249" formatCode="#,##0.00_);\(#,##0.00\);0.00_);@_)"/>
    <numFmt numFmtId="250" formatCode="&quot;₹&quot;\ #,##0.0"/>
    <numFmt numFmtId="251" formatCode="General_)"/>
    <numFmt numFmtId="252" formatCode="&quot;$&quot;#,##0.0_);[Red]\(&quot;$&quot;#,##0.0\)"/>
    <numFmt numFmtId="253" formatCode="_(* #,##0.00_);_(* \(#,##0.00\);_(* &quot;-&quot;??_);_(@_)"/>
    <numFmt numFmtId="254" formatCode="0.0\x"/>
    <numFmt numFmtId="255" formatCode="0.0\x_)"/>
    <numFmt numFmtId="256" formatCode="0_);\(0\)_);&quot;--&quot;_)\ "/>
    <numFmt numFmtId="257" formatCode="0.00\x"/>
    <numFmt numFmtId="258" formatCode="0.000"/>
  </numFmts>
  <fonts count="1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GillSans"/>
    </font>
    <font>
      <sz val="8"/>
      <color indexed="49"/>
      <name val="Times New Roman"/>
      <family val="1"/>
    </font>
    <font>
      <sz val="10"/>
      <name val="Arial"/>
      <family val="2"/>
    </font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8"/>
      <name val="Tms Rmn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7"/>
      <name val="GillSans"/>
    </font>
    <font>
      <sz val="10"/>
      <name val="Geneva"/>
    </font>
    <font>
      <sz val="24"/>
      <name val="Arial"/>
      <family val="2"/>
    </font>
    <font>
      <sz val="8"/>
      <name val="Arial"/>
      <family val="2"/>
    </font>
    <font>
      <sz val="10"/>
      <name val="Helvetica"/>
      <family val="2"/>
    </font>
    <font>
      <b/>
      <sz val="8"/>
      <name val="Arial"/>
      <family val="2"/>
    </font>
    <font>
      <b/>
      <sz val="8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Trebuchet MS"/>
      <family val="2"/>
    </font>
    <font>
      <sz val="10"/>
      <name val="MS Sans Serif"/>
      <family val="2"/>
    </font>
    <font>
      <sz val="11"/>
      <color indexed="62"/>
      <name val="Calibri"/>
      <family val="2"/>
    </font>
    <font>
      <b/>
      <sz val="10"/>
      <color indexed="9"/>
      <name val="Tms Rmn"/>
    </font>
    <font>
      <b/>
      <sz val="10"/>
      <name val="Arial"/>
      <family val="2"/>
    </font>
    <font>
      <sz val="11"/>
      <color indexed="52"/>
      <name val="Calibri"/>
      <family val="2"/>
    </font>
    <font>
      <sz val="8"/>
      <color indexed="18"/>
      <name val="Times New Roman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Palatino"/>
    </font>
    <font>
      <sz val="12"/>
      <name val="Baskerville MT"/>
    </font>
    <font>
      <u/>
      <sz val="10"/>
      <name val="GillSans"/>
      <family val="2"/>
    </font>
    <font>
      <sz val="10"/>
      <name val="GillSans Light"/>
    </font>
    <font>
      <b/>
      <sz val="12"/>
      <name val="Arial"/>
      <family val="2"/>
    </font>
    <font>
      <b/>
      <sz val="16"/>
      <name val="Arial"/>
      <family val="2"/>
    </font>
    <font>
      <sz val="8"/>
      <name val="MS Sans Serif"/>
      <family val="2"/>
    </font>
    <font>
      <sz val="8.25"/>
      <color indexed="8"/>
      <name val="Arial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39"/>
      <name val="Arial"/>
      <family val="2"/>
    </font>
    <font>
      <sz val="7"/>
      <name val="Times New Roman"/>
      <family val="1"/>
    </font>
    <font>
      <sz val="7"/>
      <color indexed="17"/>
      <name val="Times New Roman"/>
      <family val="1"/>
    </font>
    <font>
      <sz val="7"/>
      <color indexed="18"/>
      <name val="Times New Roman"/>
      <family val="1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1"/>
      <name val="GillSans"/>
    </font>
    <font>
      <b/>
      <sz val="8"/>
      <color indexed="18"/>
      <name val="Times New Roman"/>
      <family val="1"/>
    </font>
    <font>
      <i/>
      <sz val="8"/>
      <name val="Times New Roman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sz val="10"/>
      <color rgb="FF0000FF"/>
      <name val="Arial"/>
      <family val="2"/>
    </font>
    <font>
      <u val="singleAccounting"/>
      <sz val="10"/>
      <color theme="1"/>
      <name val="Arial"/>
      <family val="2"/>
    </font>
    <font>
      <b/>
      <sz val="10"/>
      <color theme="1"/>
      <name val="Arial"/>
      <family val="2"/>
    </font>
    <font>
      <b/>
      <u val="singleAccounting"/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FF"/>
      <name val="Arial"/>
      <family val="2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20"/>
      <color theme="1"/>
      <name val="Times New Roman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Arial"/>
      <family val="2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2"/>
      <color rgb="FF163260"/>
      <name val="Calibri"/>
      <family val="2"/>
      <scheme val="minor"/>
    </font>
    <font>
      <sz val="11"/>
      <color rgb="FF0853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0"/>
      <name val="Arial"/>
      <family val="2"/>
    </font>
    <font>
      <sz val="10"/>
      <name val="ClassGarmnd BT"/>
      <family val="1"/>
    </font>
    <font>
      <b/>
      <sz val="10"/>
      <color indexed="9"/>
      <name val="ClassGarmnd BT"/>
      <family val="1"/>
    </font>
    <font>
      <sz val="10"/>
      <color indexed="9"/>
      <name val="ClassGarmnd BT"/>
      <family val="1"/>
    </font>
    <font>
      <b/>
      <sz val="10"/>
      <name val="ClassGarmnd BT"/>
      <family val="1"/>
    </font>
    <font>
      <sz val="10"/>
      <color indexed="12"/>
      <name val="ClassGarmnd BT"/>
      <family val="1"/>
    </font>
    <font>
      <u/>
      <sz val="10"/>
      <name val="ClassGarmnd BT"/>
      <family val="1"/>
    </font>
    <font>
      <i/>
      <sz val="8"/>
      <name val="ClassGarmnd BT"/>
      <family val="1"/>
    </font>
    <font>
      <sz val="11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10"/>
      <color theme="4"/>
      <name val="Calibri"/>
      <family val="2"/>
      <scheme val="minor"/>
    </font>
    <font>
      <sz val="11"/>
      <color theme="1"/>
      <name val="Arial"/>
      <family val="2"/>
    </font>
    <font>
      <i/>
      <sz val="8"/>
      <name val="Arial"/>
      <family val="2"/>
    </font>
    <font>
      <i/>
      <sz val="10"/>
      <color theme="1"/>
      <name val="Arial"/>
      <family val="2"/>
    </font>
    <font>
      <sz val="10"/>
      <color theme="4" tint="-0.499984740745262"/>
      <name val="Arial"/>
      <family val="2"/>
    </font>
    <font>
      <sz val="10"/>
      <color rgb="FF000000"/>
      <name val="Arial"/>
      <family val="2"/>
    </font>
    <font>
      <b/>
      <u/>
      <sz val="10"/>
      <color theme="8" tint="-0.499984740745262"/>
      <name val="Arial"/>
      <family val="2"/>
    </font>
    <font>
      <b/>
      <sz val="10"/>
      <color rgb="FF000000"/>
      <name val="Arial"/>
      <family val="2"/>
    </font>
    <font>
      <b/>
      <u/>
      <sz val="11"/>
      <name val="Arial"/>
      <family val="2"/>
    </font>
    <font>
      <sz val="10"/>
      <color theme="1"/>
      <name val="Calibri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rgb="FF0000FF"/>
      <name val="ClassGarmnd BT"/>
      <family val="1"/>
    </font>
  </fonts>
  <fills count="5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Gray">
        <fgColor indexed="12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solid">
        <fgColor indexed="6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FE9F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1632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99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8" fontId="4" fillId="0" borderId="0">
      <alignment horizontal="right"/>
    </xf>
    <xf numFmtId="169" fontId="4" fillId="2" borderId="0"/>
    <xf numFmtId="170" fontId="4" fillId="2" borderId="0"/>
    <xf numFmtId="169" fontId="4" fillId="2" borderId="0"/>
    <xf numFmtId="171" fontId="4" fillId="2" borderId="0"/>
    <xf numFmtId="172" fontId="4" fillId="2" borderId="0">
      <alignment horizontal="right"/>
    </xf>
    <xf numFmtId="173" fontId="5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174" fontId="7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7" fillId="0" borderId="0"/>
    <xf numFmtId="0" fontId="10" fillId="4" borderId="0" applyNumberFormat="0" applyBorder="0" applyAlignment="0" applyProtection="0"/>
    <xf numFmtId="175" fontId="11" fillId="0" borderId="0" applyFont="0" applyFill="0" applyBorder="0" applyAlignment="0" applyProtection="0"/>
    <xf numFmtId="38" fontId="11" fillId="0" borderId="0" applyFill="0" applyBorder="0" applyAlignment="0" applyProtection="0">
      <protection locked="0"/>
    </xf>
    <xf numFmtId="0" fontId="12" fillId="0" borderId="0"/>
    <xf numFmtId="37" fontId="13" fillId="0" borderId="0">
      <alignment horizontal="centerContinuous"/>
    </xf>
    <xf numFmtId="0" fontId="14" fillId="21" borderId="1" applyNumberFormat="0" applyAlignment="0" applyProtection="0"/>
    <xf numFmtId="175" fontId="11" fillId="0" borderId="0" applyFont="0" applyFill="0" applyBorder="0" applyAlignment="0" applyProtection="0">
      <protection locked="0"/>
    </xf>
    <xf numFmtId="175" fontId="11" fillId="0" borderId="2" applyFont="0" applyFill="0" applyAlignment="0" applyProtection="0"/>
    <xf numFmtId="0" fontId="15" fillId="22" borderId="3" applyNumberFormat="0" applyAlignment="0" applyProtection="0"/>
    <xf numFmtId="0" fontId="6" fillId="0" borderId="0">
      <alignment horizontal="center" wrapText="1"/>
      <protection hidden="1"/>
    </xf>
    <xf numFmtId="0" fontId="16" fillId="0" borderId="4" applyNumberFormat="0" applyFill="0" applyBorder="0" applyProtection="0">
      <alignment horizontal="left" vertical="center"/>
    </xf>
    <xf numFmtId="0" fontId="16" fillId="0" borderId="4" applyNumberFormat="0" applyFill="0" applyBorder="0" applyProtection="0">
      <alignment horizontal="right" vertical="center"/>
    </xf>
    <xf numFmtId="43" fontId="6" fillId="0" borderId="0" applyFont="0" applyFill="0" applyBorder="0" applyAlignment="0" applyProtection="0"/>
    <xf numFmtId="37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0" fontId="18" fillId="23" borderId="0">
      <alignment horizontal="center" vertical="center" wrapText="1"/>
    </xf>
    <xf numFmtId="176" fontId="6" fillId="0" borderId="0" applyFill="0" applyBorder="0">
      <alignment horizontal="right"/>
      <protection locked="0"/>
    </xf>
    <xf numFmtId="0" fontId="19" fillId="0" borderId="0" applyFont="0" applyFill="0" applyBorder="0" applyAlignment="0"/>
    <xf numFmtId="166" fontId="20" fillId="0" borderId="0" applyFont="0" applyFill="0" applyBorder="0" applyAlignment="0" applyProtection="0"/>
    <xf numFmtId="164" fontId="17" fillId="0" borderId="0" applyFont="0" applyFill="0" applyBorder="0" applyAlignment="0" applyProtection="0"/>
    <xf numFmtId="177" fontId="7" fillId="0" borderId="0" applyFill="0" applyBorder="0" applyProtection="0">
      <alignment horizontal="right"/>
    </xf>
    <xf numFmtId="178" fontId="4" fillId="2" borderId="5">
      <alignment horizontal="right"/>
    </xf>
    <xf numFmtId="179" fontId="4" fillId="2" borderId="5">
      <alignment horizontal="right"/>
    </xf>
    <xf numFmtId="178" fontId="4" fillId="2" borderId="5">
      <alignment horizontal="right"/>
    </xf>
    <xf numFmtId="15" fontId="21" fillId="0" borderId="0" applyFill="0" applyBorder="0" applyAlignment="0"/>
    <xf numFmtId="180" fontId="19" fillId="24" borderId="0" applyFont="0" applyFill="0" applyBorder="0" applyAlignment="0" applyProtection="0"/>
    <xf numFmtId="181" fontId="21" fillId="0" borderId="4"/>
    <xf numFmtId="14" fontId="22" fillId="0" borderId="0" applyFont="0" applyFill="0" applyBorder="0" applyAlignment="0" applyProtection="0">
      <alignment horizontal="center"/>
    </xf>
    <xf numFmtId="182" fontId="22" fillId="0" borderId="0" applyFont="0" applyFill="0" applyBorder="0" applyAlignment="0" applyProtection="0">
      <alignment horizontal="center"/>
    </xf>
    <xf numFmtId="183" fontId="7" fillId="0" borderId="0" applyFont="0" applyFill="0" applyBorder="0" applyAlignment="0" applyProtection="0"/>
    <xf numFmtId="167" fontId="11" fillId="0" borderId="0" applyFont="0" applyFill="0" applyBorder="0" applyAlignment="0" applyProtection="0"/>
    <xf numFmtId="165" fontId="11" fillId="0" borderId="0" applyFont="0" applyFill="0" applyBorder="0" applyAlignment="0" applyProtection="0">
      <alignment horizontal="right"/>
    </xf>
    <xf numFmtId="165" fontId="11" fillId="0" borderId="0" applyFont="0" applyFill="0" applyBorder="0" applyAlignment="0" applyProtection="0"/>
    <xf numFmtId="39" fontId="4" fillId="25" borderId="0"/>
    <xf numFmtId="166" fontId="4" fillId="25" borderId="0" applyBorder="0"/>
    <xf numFmtId="184" fontId="4" fillId="25" borderId="0"/>
    <xf numFmtId="185" fontId="4" fillId="0" borderId="0"/>
    <xf numFmtId="186" fontId="4" fillId="25" borderId="0"/>
    <xf numFmtId="187" fontId="4" fillId="25" borderId="0"/>
    <xf numFmtId="188" fontId="12" fillId="0" borderId="0" applyFont="0" applyFill="0" applyBorder="0" applyProtection="0">
      <alignment horizontal="left"/>
      <protection locked="0"/>
    </xf>
    <xf numFmtId="189" fontId="4" fillId="0" borderId="0"/>
    <xf numFmtId="190" fontId="12" fillId="0" borderId="0" applyFont="0" applyFill="0" applyBorder="0" applyProtection="0">
      <alignment horizontal="left"/>
      <protection locked="0"/>
    </xf>
    <xf numFmtId="191" fontId="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73" fontId="4" fillId="0" borderId="6"/>
    <xf numFmtId="192" fontId="4" fillId="2" borderId="5">
      <alignment horizontal="right"/>
    </xf>
    <xf numFmtId="193" fontId="4" fillId="2" borderId="5">
      <alignment horizontal="right"/>
    </xf>
    <xf numFmtId="192" fontId="4" fillId="2" borderId="5">
      <alignment horizontal="right"/>
    </xf>
    <xf numFmtId="194" fontId="11" fillId="0" borderId="0" applyFill="0" applyBorder="0" applyAlignment="0" applyProtection="0">
      <protection locked="0"/>
    </xf>
    <xf numFmtId="0" fontId="24" fillId="5" borderId="0" applyNumberFormat="0" applyBorder="0" applyAlignment="0" applyProtection="0"/>
    <xf numFmtId="195" fontId="25" fillId="0" borderId="0" applyFill="0" applyBorder="0" applyAlignment="0" applyProtection="0"/>
    <xf numFmtId="173" fontId="26" fillId="0" borderId="0" applyAlignment="0">
      <alignment horizontal="left"/>
      <protection locked="0"/>
    </xf>
    <xf numFmtId="194" fontId="7" fillId="26" borderId="7" applyNumberFormat="0" applyFont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194" fontId="30" fillId="0" borderId="0" applyNumberFormat="0" applyFill="0" applyBorder="0" applyAlignment="0" applyProtection="0"/>
    <xf numFmtId="0" fontId="31" fillId="0" borderId="0"/>
    <xf numFmtId="175" fontId="11" fillId="0" borderId="0" applyFont="0" applyFill="0" applyBorder="0" applyAlignment="0" applyProtection="0"/>
    <xf numFmtId="38" fontId="11" fillId="0" borderId="0" applyFill="0" applyBorder="0" applyAlignment="0" applyProtection="0">
      <alignment horizontal="right"/>
      <protection locked="0"/>
    </xf>
    <xf numFmtId="0" fontId="32" fillId="8" borderId="1" applyNumberFormat="0" applyAlignment="0" applyProtection="0"/>
    <xf numFmtId="0" fontId="19" fillId="24" borderId="0" applyFont="0" applyBorder="0" applyAlignment="0">
      <protection locked="0"/>
    </xf>
    <xf numFmtId="0" fontId="6" fillId="0" borderId="0" applyFill="0" applyBorder="0">
      <alignment horizontal="right"/>
      <protection locked="0"/>
    </xf>
    <xf numFmtId="17" fontId="33" fillId="27" borderId="0"/>
    <xf numFmtId="196" fontId="6" fillId="0" borderId="0" applyFill="0" applyBorder="0">
      <alignment horizontal="right"/>
      <protection locked="0"/>
    </xf>
    <xf numFmtId="0" fontId="34" fillId="28" borderId="11">
      <alignment horizontal="left" vertical="center" wrapText="1"/>
    </xf>
    <xf numFmtId="0" fontId="35" fillId="0" borderId="12" applyNumberFormat="0" applyFill="0" applyAlignment="0" applyProtection="0"/>
    <xf numFmtId="197" fontId="11" fillId="0" borderId="0" applyFont="0" applyFill="0" applyBorder="0" applyAlignment="0" applyProtection="0">
      <alignment horizontal="right"/>
    </xf>
    <xf numFmtId="198" fontId="4" fillId="0" borderId="0">
      <alignment horizontal="right"/>
    </xf>
    <xf numFmtId="199" fontId="4" fillId="25" borderId="0">
      <alignment horizontal="right"/>
    </xf>
    <xf numFmtId="200" fontId="4" fillId="0" borderId="0">
      <alignment horizontal="right"/>
    </xf>
    <xf numFmtId="198" fontId="4" fillId="0" borderId="0">
      <alignment horizontal="right"/>
    </xf>
    <xf numFmtId="173" fontId="36" fillId="0" borderId="0" applyFill="0" applyBorder="0" applyAlignment="0" applyProtection="0">
      <alignment horizontal="right"/>
    </xf>
    <xf numFmtId="173" fontId="36" fillId="0" borderId="0" applyFill="0" applyBorder="0" applyAlignment="0" applyProtection="0"/>
    <xf numFmtId="201" fontId="4" fillId="2" borderId="5">
      <alignment horizontal="right"/>
    </xf>
    <xf numFmtId="202" fontId="11" fillId="0" borderId="0" applyFont="0" applyFill="0" applyBorder="0" applyAlignment="0" applyProtection="0"/>
    <xf numFmtId="0" fontId="17" fillId="2" borderId="0" applyFont="0" applyBorder="0" applyAlignment="0" applyProtection="0">
      <alignment horizontal="right"/>
      <protection hidden="1"/>
    </xf>
    <xf numFmtId="0" fontId="37" fillId="26" borderId="0" applyNumberFormat="0" applyBorder="0" applyAlignment="0" applyProtection="0"/>
    <xf numFmtId="37" fontId="20" fillId="0" borderId="0" applyFont="0" applyFill="0" applyBorder="0" applyAlignment="0" applyProtection="0"/>
    <xf numFmtId="203" fontId="6" fillId="0" borderId="0" applyFont="0" applyFill="0" applyBorder="0" applyAlignment="0" applyProtection="0"/>
    <xf numFmtId="39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0" fontId="6" fillId="0" borderId="0"/>
    <xf numFmtId="0" fontId="21" fillId="0" borderId="0" applyNumberFormat="0" applyFill="0" applyBorder="0" applyAlignment="0" applyProtection="0"/>
    <xf numFmtId="0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0" fontId="8" fillId="29" borderId="13" applyNumberFormat="0" applyFont="0" applyAlignment="0" applyProtection="0"/>
    <xf numFmtId="0" fontId="17" fillId="0" borderId="0" applyFont="0" applyFill="0" applyBorder="0" applyAlignment="0" applyProtection="0"/>
    <xf numFmtId="206" fontId="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8" fillId="21" borderId="14" applyNumberFormat="0" applyAlignment="0" applyProtection="0"/>
    <xf numFmtId="207" fontId="11" fillId="0" borderId="0" applyFont="0" applyFill="0" applyBorder="0" applyAlignment="0" applyProtection="0">
      <alignment horizontal="right"/>
    </xf>
    <xf numFmtId="0" fontId="39" fillId="0" borderId="0" applyNumberFormat="0" applyFill="0" applyBorder="0" applyAlignment="0" applyProtection="0"/>
    <xf numFmtId="0" fontId="19" fillId="0" borderId="0"/>
    <xf numFmtId="208" fontId="4" fillId="25" borderId="0"/>
    <xf numFmtId="9" fontId="11" fillId="0" borderId="0" applyFont="0" applyFill="0" applyBorder="0" applyAlignment="0" applyProtection="0">
      <alignment horizontal="right"/>
    </xf>
    <xf numFmtId="209" fontId="4" fillId="0" borderId="0"/>
    <xf numFmtId="0" fontId="6" fillId="0" borderId="0" applyFont="0" applyFill="0" applyBorder="0" applyAlignment="0"/>
    <xf numFmtId="169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211" fontId="6" fillId="0" borderId="0" applyFill="0" applyBorder="0">
      <alignment horizontal="right"/>
      <protection locked="0"/>
    </xf>
    <xf numFmtId="195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5" fontId="11" fillId="0" borderId="0" applyFont="0" applyFill="0" applyBorder="0" applyAlignment="0" applyProtection="0">
      <protection locked="0"/>
    </xf>
    <xf numFmtId="194" fontId="11" fillId="0" borderId="0" applyFill="0" applyBorder="0" applyAlignment="0" applyProtection="0"/>
    <xf numFmtId="38" fontId="11" fillId="0" borderId="0" applyFont="0" applyFill="0" applyBorder="0" applyAlignment="0" applyProtection="0"/>
    <xf numFmtId="171" fontId="4" fillId="2" borderId="15">
      <alignment horizontal="right"/>
    </xf>
    <xf numFmtId="212" fontId="40" fillId="2" borderId="0"/>
    <xf numFmtId="213" fontId="4" fillId="2" borderId="0"/>
    <xf numFmtId="0" fontId="41" fillId="0" borderId="0">
      <alignment horizontal="center"/>
    </xf>
    <xf numFmtId="0" fontId="4" fillId="0" borderId="4">
      <alignment horizontal="centerContinuous"/>
    </xf>
    <xf numFmtId="214" fontId="4" fillId="2" borderId="0">
      <alignment horizontal="right"/>
    </xf>
    <xf numFmtId="215" fontId="4" fillId="2" borderId="5">
      <alignment horizontal="right"/>
    </xf>
    <xf numFmtId="216" fontId="6" fillId="0" borderId="0">
      <alignment horizontal="right"/>
      <protection locked="0"/>
    </xf>
    <xf numFmtId="194" fontId="22" fillId="0" borderId="0" applyFont="0" applyFill="0" applyBorder="0" applyAlignment="0" applyProtection="0"/>
    <xf numFmtId="0" fontId="42" fillId="0" borderId="0" applyNumberFormat="0" applyFill="0" applyBorder="0" applyProtection="0">
      <alignment horizontal="right" vertical="center"/>
    </xf>
    <xf numFmtId="0" fontId="43" fillId="23" borderId="7">
      <alignment horizontal="center" vertical="center" wrapText="1"/>
      <protection hidden="1"/>
    </xf>
    <xf numFmtId="175" fontId="11" fillId="0" borderId="0" applyFill="0" applyBorder="0" applyAlignment="0" applyProtection="0">
      <protection locked="0"/>
    </xf>
    <xf numFmtId="217" fontId="22" fillId="0" borderId="0" applyFont="0" applyFill="0" applyBorder="0" applyAlignment="0" applyProtection="0">
      <alignment horizontal="right"/>
    </xf>
    <xf numFmtId="38" fontId="6" fillId="0" borderId="0" applyFont="0" applyFill="0" applyBorder="0" applyAlignment="0" applyProtection="0"/>
    <xf numFmtId="0" fontId="44" fillId="0" borderId="16" applyNumberFormat="0" applyFill="0" applyProtection="0">
      <alignment horizontal="left" vertical="top" wrapText="1"/>
    </xf>
    <xf numFmtId="0" fontId="31" fillId="0" borderId="0" applyNumberFormat="0" applyFill="0" applyBorder="0" applyProtection="0">
      <alignment horizontal="left" vertical="top" wrapText="1"/>
    </xf>
    <xf numFmtId="0" fontId="45" fillId="0" borderId="0" applyNumberFormat="0" applyFill="0" applyProtection="0">
      <alignment horizontal="left" vertical="top" wrapText="1"/>
    </xf>
    <xf numFmtId="0" fontId="46" fillId="0" borderId="0" applyNumberFormat="0" applyFill="0" applyBorder="0" applyProtection="0"/>
    <xf numFmtId="0" fontId="47" fillId="30" borderId="0" applyNumberFormat="0" applyBorder="0" applyProtection="0"/>
    <xf numFmtId="0" fontId="48" fillId="0" borderId="0" applyNumberFormat="0" applyFill="0" applyBorder="0" applyProtection="0">
      <alignment vertical="top"/>
    </xf>
    <xf numFmtId="218" fontId="49" fillId="0" borderId="0" applyFill="0" applyBorder="0" applyProtection="0">
      <alignment horizontal="right" wrapText="1"/>
    </xf>
    <xf numFmtId="219" fontId="49" fillId="0" borderId="0" applyFill="0" applyBorder="0" applyProtection="0">
      <alignment horizontal="right"/>
    </xf>
    <xf numFmtId="4" fontId="19" fillId="0" borderId="0" applyFill="0" applyBorder="0" applyProtection="0">
      <alignment horizontal="right"/>
    </xf>
    <xf numFmtId="187" fontId="50" fillId="0" borderId="0" applyFill="0" applyBorder="0" applyAlignment="0" applyProtection="0"/>
    <xf numFmtId="220" fontId="51" fillId="0" borderId="0" applyFill="0" applyBorder="0" applyAlignment="0" applyProtection="0">
      <alignment horizontal="left"/>
      <protection locked="0"/>
    </xf>
    <xf numFmtId="220" fontId="51" fillId="0" borderId="0" applyFill="0" applyBorder="0" applyAlignment="0" applyProtection="0"/>
    <xf numFmtId="220" fontId="52" fillId="0" borderId="0" applyFill="0" applyBorder="0" applyAlignment="0" applyProtection="0">
      <alignment horizontal="left"/>
      <protection locked="0"/>
    </xf>
    <xf numFmtId="220" fontId="52" fillId="0" borderId="0" applyFill="0" applyBorder="0" applyAlignment="0" applyProtection="0">
      <protection locked="0"/>
    </xf>
    <xf numFmtId="194" fontId="11" fillId="0" borderId="0" applyFill="0" applyBorder="0" applyAlignment="0" applyProtection="0">
      <protection locked="0"/>
    </xf>
    <xf numFmtId="194" fontId="50" fillId="0" borderId="0" applyFill="0" applyBorder="0" applyAlignment="0" applyProtection="0"/>
    <xf numFmtId="49" fontId="53" fillId="0" borderId="0"/>
    <xf numFmtId="221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1" borderId="0" applyNumberFormat="0" applyBorder="0" applyProtection="0">
      <alignment horizontal="left" vertical="center"/>
    </xf>
    <xf numFmtId="194" fontId="56" fillId="0" borderId="0" applyNumberFormat="0" applyFill="0" applyBorder="0" applyAlignment="0" applyProtection="0"/>
    <xf numFmtId="0" fontId="6" fillId="0" borderId="0" applyBorder="0"/>
    <xf numFmtId="38" fontId="57" fillId="0" borderId="0" applyFill="0" applyBorder="0" applyAlignment="0" applyProtection="0">
      <alignment horizontal="left"/>
    </xf>
    <xf numFmtId="0" fontId="58" fillId="0" borderId="0"/>
    <xf numFmtId="0" fontId="59" fillId="0" borderId="17" applyNumberFormat="0" applyFill="0" applyAlignment="0" applyProtection="0"/>
    <xf numFmtId="0" fontId="60" fillId="0" borderId="0" applyNumberFormat="0" applyFill="0" applyBorder="0" applyAlignment="0" applyProtection="0"/>
    <xf numFmtId="1" fontId="11" fillId="0" borderId="0" applyFont="0" applyFill="0" applyBorder="0" applyAlignment="0" applyProtection="0"/>
    <xf numFmtId="223" fontId="20" fillId="0" borderId="0" applyFont="0" applyFill="0" applyBorder="0" applyAlignment="0" applyProtection="0"/>
    <xf numFmtId="0" fontId="62" fillId="0" borderId="0"/>
    <xf numFmtId="0" fontId="70" fillId="0" borderId="0"/>
    <xf numFmtId="0" fontId="76" fillId="0" borderId="0"/>
    <xf numFmtId="0" fontId="84" fillId="47" borderId="0" applyNumberFormat="0">
      <alignment horizontal="left"/>
    </xf>
    <xf numFmtId="248" fontId="61" fillId="0" borderId="0" applyFill="0" applyBorder="0" applyAlignment="0" applyProtection="0"/>
    <xf numFmtId="247" fontId="83" fillId="47" borderId="0">
      <alignment horizontal="center"/>
    </xf>
    <xf numFmtId="0" fontId="85" fillId="0" borderId="0" applyNumberFormat="0" applyFill="0" applyBorder="0">
      <alignment horizontal="left" vertical="center"/>
    </xf>
    <xf numFmtId="247" fontId="86" fillId="0" borderId="0">
      <alignment vertical="top"/>
    </xf>
    <xf numFmtId="251" fontId="19" fillId="0" borderId="0"/>
    <xf numFmtId="40" fontId="6" fillId="0" borderId="0" applyFont="0" applyFill="0" applyBorder="0" applyAlignment="0" applyProtection="0"/>
    <xf numFmtId="25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503">
    <xf numFmtId="0" fontId="0" fillId="0" borderId="0" xfId="0"/>
    <xf numFmtId="0" fontId="0" fillId="0" borderId="5" xfId="0" applyBorder="1"/>
    <xf numFmtId="227" fontId="63" fillId="0" borderId="0" xfId="187" applyNumberFormat="1" applyFont="1" applyAlignment="1">
      <alignment vertical="center"/>
    </xf>
    <xf numFmtId="227" fontId="64" fillId="0" borderId="0" xfId="187" applyNumberFormat="1" applyFont="1" applyAlignment="1">
      <alignment vertical="center"/>
    </xf>
    <xf numFmtId="228" fontId="6" fillId="0" borderId="26" xfId="187" applyNumberFormat="1" applyFont="1" applyBorder="1" applyAlignment="1">
      <alignment horizontal="right" vertical="center"/>
    </xf>
    <xf numFmtId="228" fontId="6" fillId="0" borderId="4" xfId="187" applyNumberFormat="1" applyFont="1" applyBorder="1" applyAlignment="1">
      <alignment horizontal="right" vertical="center"/>
    </xf>
    <xf numFmtId="227" fontId="6" fillId="0" borderId="4" xfId="187" applyNumberFormat="1" applyFont="1" applyBorder="1" applyAlignment="1">
      <alignment horizontal="right" vertical="center"/>
    </xf>
    <xf numFmtId="227" fontId="6" fillId="0" borderId="4" xfId="187" quotePrefix="1" applyNumberFormat="1" applyFont="1" applyBorder="1" applyAlignment="1">
      <alignment horizontal="left" vertical="center"/>
    </xf>
    <xf numFmtId="229" fontId="6" fillId="0" borderId="27" xfId="187" quotePrefix="1" applyNumberFormat="1" applyFont="1" applyBorder="1" applyAlignment="1">
      <alignment horizontal="left" vertical="center"/>
    </xf>
    <xf numFmtId="228" fontId="6" fillId="0" borderId="5" xfId="187" applyNumberFormat="1" applyFont="1" applyBorder="1" applyAlignment="1">
      <alignment horizontal="right" vertical="center"/>
    </xf>
    <xf numFmtId="228" fontId="6" fillId="0" borderId="0" xfId="187" applyNumberFormat="1" applyFont="1" applyAlignment="1">
      <alignment horizontal="right" vertical="center"/>
    </xf>
    <xf numFmtId="227" fontId="6" fillId="0" borderId="0" xfId="187" applyNumberFormat="1" applyFont="1" applyAlignment="1">
      <alignment horizontal="right" vertical="center"/>
    </xf>
    <xf numFmtId="227" fontId="6" fillId="0" borderId="0" xfId="187" quotePrefix="1" applyNumberFormat="1" applyFont="1" applyAlignment="1">
      <alignment horizontal="left" vertical="center"/>
    </xf>
    <xf numFmtId="229" fontId="6" fillId="0" borderId="18" xfId="187" quotePrefix="1" applyNumberFormat="1" applyFont="1" applyBorder="1" applyAlignment="1">
      <alignment horizontal="left" vertical="center"/>
    </xf>
    <xf numFmtId="228" fontId="34" fillId="34" borderId="26" xfId="187" applyNumberFormat="1" applyFont="1" applyFill="1" applyBorder="1" applyAlignment="1">
      <alignment horizontal="right" vertical="center"/>
    </xf>
    <xf numFmtId="228" fontId="34" fillId="34" borderId="4" xfId="187" applyNumberFormat="1" applyFont="1" applyFill="1" applyBorder="1" applyAlignment="1">
      <alignment horizontal="right" vertical="center"/>
    </xf>
    <xf numFmtId="227" fontId="34" fillId="34" borderId="4" xfId="187" applyNumberFormat="1" applyFont="1" applyFill="1" applyBorder="1" applyAlignment="1">
      <alignment horizontal="right" vertical="center"/>
    </xf>
    <xf numFmtId="227" fontId="34" fillId="34" borderId="4" xfId="187" quotePrefix="1" applyNumberFormat="1" applyFont="1" applyFill="1" applyBorder="1" applyAlignment="1">
      <alignment horizontal="left" vertical="center"/>
    </xf>
    <xf numFmtId="229" fontId="34" fillId="34" borderId="27" xfId="187" quotePrefix="1" applyNumberFormat="1" applyFont="1" applyFill="1" applyBorder="1" applyAlignment="1">
      <alignment horizontal="left" vertical="center"/>
    </xf>
    <xf numFmtId="228" fontId="6" fillId="0" borderId="15" xfId="187" applyNumberFormat="1" applyFont="1" applyBorder="1" applyAlignment="1">
      <alignment horizontal="right" vertical="center"/>
    </xf>
    <xf numFmtId="228" fontId="6" fillId="0" borderId="28" xfId="187" applyNumberFormat="1" applyFont="1" applyBorder="1" applyAlignment="1">
      <alignment horizontal="right" vertical="center"/>
    </xf>
    <xf numFmtId="227" fontId="6" fillId="0" borderId="28" xfId="187" applyNumberFormat="1" applyFont="1" applyBorder="1" applyAlignment="1">
      <alignment horizontal="right" vertical="center"/>
    </xf>
    <xf numFmtId="227" fontId="6" fillId="0" borderId="28" xfId="187" quotePrefix="1" applyNumberFormat="1" applyFont="1" applyBorder="1" applyAlignment="1">
      <alignment horizontal="left" vertical="center"/>
    </xf>
    <xf numFmtId="229" fontId="6" fillId="0" borderId="29" xfId="187" quotePrefix="1" applyNumberFormat="1" applyFont="1" applyBorder="1" applyAlignment="1">
      <alignment horizontal="left" vertical="center"/>
    </xf>
    <xf numFmtId="227" fontId="65" fillId="0" borderId="0" xfId="187" applyNumberFormat="1" applyFont="1" applyAlignment="1">
      <alignment horizontal="right" vertical="center"/>
    </xf>
    <xf numFmtId="227" fontId="63" fillId="0" borderId="0" xfId="187" quotePrefix="1" applyNumberFormat="1" applyFont="1" applyAlignment="1">
      <alignment horizontal="left" vertical="center"/>
    </xf>
    <xf numFmtId="228" fontId="65" fillId="0" borderId="0" xfId="187" applyNumberFormat="1" applyFont="1" applyAlignment="1">
      <alignment horizontal="right" vertical="center"/>
    </xf>
    <xf numFmtId="227" fontId="65" fillId="0" borderId="0" xfId="187" quotePrefix="1" applyNumberFormat="1" applyFont="1" applyAlignment="1">
      <alignment horizontal="right" vertical="center"/>
    </xf>
    <xf numFmtId="230" fontId="63" fillId="0" borderId="0" xfId="187" quotePrefix="1" applyNumberFormat="1" applyFont="1" applyAlignment="1">
      <alignment horizontal="left" vertical="center"/>
    </xf>
    <xf numFmtId="229" fontId="66" fillId="0" borderId="0" xfId="187" quotePrefix="1" applyNumberFormat="1" applyFont="1" applyAlignment="1">
      <alignment horizontal="center" vertical="center"/>
    </xf>
    <xf numFmtId="227" fontId="63" fillId="0" borderId="0" xfId="187" applyNumberFormat="1" applyFont="1" applyAlignment="1">
      <alignment horizontal="left" vertical="center"/>
    </xf>
    <xf numFmtId="227" fontId="63" fillId="0" borderId="0" xfId="187" applyNumberFormat="1" applyFont="1" applyAlignment="1">
      <alignment horizontal="centerContinuous" vertical="center"/>
    </xf>
    <xf numFmtId="227" fontId="66" fillId="0" borderId="28" xfId="187" applyNumberFormat="1" applyFont="1" applyBorder="1" applyAlignment="1">
      <alignment horizontal="centerContinuous" vertical="center"/>
    </xf>
    <xf numFmtId="227" fontId="66" fillId="0" borderId="28" xfId="187" quotePrefix="1" applyNumberFormat="1" applyFont="1" applyBorder="1" applyAlignment="1">
      <alignment horizontal="centerContinuous" vertical="center"/>
    </xf>
    <xf numFmtId="227" fontId="63" fillId="0" borderId="28" xfId="187" applyNumberFormat="1" applyFont="1" applyBorder="1" applyAlignment="1">
      <alignment horizontal="right" vertical="center"/>
    </xf>
    <xf numFmtId="227" fontId="63" fillId="0" borderId="28" xfId="187" quotePrefix="1" applyNumberFormat="1" applyFont="1" applyBorder="1" applyAlignment="1">
      <alignment horizontal="left" vertical="center"/>
    </xf>
    <xf numFmtId="227" fontId="63" fillId="0" borderId="28" xfId="187" applyNumberFormat="1" applyFont="1" applyBorder="1" applyAlignment="1">
      <alignment vertical="center"/>
    </xf>
    <xf numFmtId="227" fontId="67" fillId="35" borderId="0" xfId="187" applyNumberFormat="1" applyFont="1" applyFill="1" applyAlignment="1">
      <alignment vertical="center"/>
    </xf>
    <xf numFmtId="227" fontId="67" fillId="35" borderId="0" xfId="187" applyNumberFormat="1" applyFont="1" applyFill="1" applyAlignment="1">
      <alignment horizontal="right" vertical="center"/>
    </xf>
    <xf numFmtId="227" fontId="67" fillId="35" borderId="0" xfId="187" quotePrefix="1" applyNumberFormat="1" applyFont="1" applyFill="1" applyAlignment="1">
      <alignment horizontal="left" vertical="center"/>
    </xf>
    <xf numFmtId="49" fontId="67" fillId="35" borderId="0" xfId="187" applyNumberFormat="1" applyFont="1" applyFill="1" applyAlignment="1">
      <alignment horizontal="left" vertical="center"/>
    </xf>
    <xf numFmtId="227" fontId="63" fillId="0" borderId="0" xfId="187" applyNumberFormat="1" applyFont="1" applyAlignment="1">
      <alignment horizontal="right" vertical="center"/>
    </xf>
    <xf numFmtId="227" fontId="6" fillId="0" borderId="0" xfId="187" applyNumberFormat="1" applyFont="1" applyAlignment="1">
      <alignment horizontal="right" vertical="center" wrapText="1" readingOrder="1"/>
    </xf>
    <xf numFmtId="231" fontId="6" fillId="0" borderId="0" xfId="187" applyNumberFormat="1" applyFont="1" applyAlignment="1">
      <alignment horizontal="right" vertical="center" wrapText="1" readingOrder="1"/>
    </xf>
    <xf numFmtId="227" fontId="67" fillId="36" borderId="31" xfId="187" applyNumberFormat="1" applyFont="1" applyFill="1" applyBorder="1" applyAlignment="1">
      <alignment horizontal="right" vertical="center"/>
    </xf>
    <xf numFmtId="227" fontId="67" fillId="36" borderId="32" xfId="187" quotePrefix="1" applyNumberFormat="1" applyFont="1" applyFill="1" applyBorder="1" applyAlignment="1">
      <alignment horizontal="left" vertical="center"/>
    </xf>
    <xf numFmtId="232" fontId="63" fillId="0" borderId="0" xfId="187" applyNumberFormat="1" applyFont="1" applyAlignment="1">
      <alignment horizontal="right" vertical="center"/>
    </xf>
    <xf numFmtId="227" fontId="67" fillId="35" borderId="0" xfId="187" applyNumberFormat="1" applyFont="1" applyFill="1" applyAlignment="1">
      <alignment horizontal="centerContinuous" vertical="center"/>
    </xf>
    <xf numFmtId="229" fontId="34" fillId="35" borderId="0" xfId="187" applyNumberFormat="1" applyFont="1" applyFill="1" applyAlignment="1">
      <alignment horizontal="centerContinuous" vertical="center"/>
    </xf>
    <xf numFmtId="227" fontId="67" fillId="0" borderId="0" xfId="187" applyNumberFormat="1" applyFont="1" applyAlignment="1">
      <alignment vertical="center"/>
    </xf>
    <xf numFmtId="227" fontId="67" fillId="37" borderId="0" xfId="187" applyNumberFormat="1" applyFont="1" applyFill="1" applyAlignment="1">
      <alignment vertical="center"/>
    </xf>
    <xf numFmtId="14" fontId="65" fillId="0" borderId="0" xfId="187" quotePrefix="1" applyNumberFormat="1" applyFont="1" applyAlignment="1">
      <alignment horizontal="right" vertical="center"/>
    </xf>
    <xf numFmtId="229" fontId="71" fillId="0" borderId="28" xfId="188" quotePrefix="1" applyNumberFormat="1" applyFont="1" applyBorder="1"/>
    <xf numFmtId="0" fontId="71" fillId="0" borderId="28" xfId="188" applyFont="1" applyBorder="1"/>
    <xf numFmtId="0" fontId="71" fillId="35" borderId="33" xfId="188" applyFont="1" applyFill="1" applyBorder="1"/>
    <xf numFmtId="0" fontId="71" fillId="35" borderId="34" xfId="188" quotePrefix="1" applyFont="1" applyFill="1" applyBorder="1"/>
    <xf numFmtId="226" fontId="72" fillId="0" borderId="36" xfId="188" applyNumberFormat="1" applyFont="1" applyBorder="1" applyAlignment="1">
      <alignment horizontal="right"/>
    </xf>
    <xf numFmtId="226" fontId="71" fillId="0" borderId="35" xfId="188" applyNumberFormat="1" applyFont="1" applyBorder="1" applyAlignment="1">
      <alignment horizontal="right"/>
    </xf>
    <xf numFmtId="226" fontId="70" fillId="0" borderId="36" xfId="188" applyNumberFormat="1" applyBorder="1"/>
    <xf numFmtId="226" fontId="71" fillId="35" borderId="37" xfId="188" applyNumberFormat="1" applyFont="1" applyFill="1" applyBorder="1"/>
    <xf numFmtId="229" fontId="34" fillId="32" borderId="29" xfId="187" quotePrefix="1" applyNumberFormat="1" applyFont="1" applyFill="1" applyBorder="1" applyAlignment="1">
      <alignment horizontal="left" vertical="center"/>
    </xf>
    <xf numFmtId="227" fontId="34" fillId="32" borderId="28" xfId="187" quotePrefix="1" applyNumberFormat="1" applyFont="1" applyFill="1" applyBorder="1" applyAlignment="1">
      <alignment horizontal="left" vertical="center"/>
    </xf>
    <xf numFmtId="227" fontId="34" fillId="32" borderId="28" xfId="187" applyNumberFormat="1" applyFont="1" applyFill="1" applyBorder="1" applyAlignment="1">
      <alignment horizontal="right" vertical="center"/>
    </xf>
    <xf numFmtId="228" fontId="34" fillId="32" borderId="28" xfId="187" applyNumberFormat="1" applyFont="1" applyFill="1" applyBorder="1" applyAlignment="1">
      <alignment horizontal="right" vertical="center"/>
    </xf>
    <xf numFmtId="228" fontId="34" fillId="32" borderId="15" xfId="187" applyNumberFormat="1" applyFont="1" applyFill="1" applyBorder="1" applyAlignment="1">
      <alignment horizontal="right" vertical="center"/>
    </xf>
    <xf numFmtId="226" fontId="63" fillId="0" borderId="0" xfId="187" applyNumberFormat="1" applyFont="1" applyAlignment="1">
      <alignment horizontal="right" vertical="center"/>
    </xf>
    <xf numFmtId="226" fontId="67" fillId="36" borderId="31" xfId="187" applyNumberFormat="1" applyFont="1" applyFill="1" applyBorder="1" applyAlignment="1">
      <alignment horizontal="right" vertical="center"/>
    </xf>
    <xf numFmtId="0" fontId="0" fillId="0" borderId="29" xfId="0" applyBorder="1"/>
    <xf numFmtId="0" fontId="0" fillId="0" borderId="28" xfId="0" applyBorder="1"/>
    <xf numFmtId="0" fontId="0" fillId="0" borderId="15" xfId="0" applyBorder="1"/>
    <xf numFmtId="229" fontId="70" fillId="0" borderId="18" xfId="188" quotePrefix="1" applyNumberFormat="1" applyBorder="1"/>
    <xf numFmtId="229" fontId="70" fillId="0" borderId="0" xfId="188" quotePrefix="1" applyNumberFormat="1"/>
    <xf numFmtId="0" fontId="70" fillId="0" borderId="0" xfId="188"/>
    <xf numFmtId="229" fontId="71" fillId="0" borderId="29" xfId="188" quotePrefix="1" applyNumberFormat="1" applyFont="1" applyBorder="1"/>
    <xf numFmtId="0" fontId="70" fillId="0" borderId="18" xfId="188" applyBorder="1"/>
    <xf numFmtId="0" fontId="71" fillId="0" borderId="29" xfId="188" quotePrefix="1" applyFont="1" applyBorder="1"/>
    <xf numFmtId="0" fontId="0" fillId="0" borderId="27" xfId="0" applyBorder="1"/>
    <xf numFmtId="0" fontId="0" fillId="0" borderId="4" xfId="0" applyBorder="1"/>
    <xf numFmtId="0" fontId="0" fillId="0" borderId="26" xfId="0" applyBorder="1"/>
    <xf numFmtId="0" fontId="0" fillId="38" borderId="0" xfId="0" applyFill="1"/>
    <xf numFmtId="0" fontId="2" fillId="0" borderId="0" xfId="0" applyFont="1"/>
    <xf numFmtId="0" fontId="1" fillId="0" borderId="0" xfId="0" applyFont="1"/>
    <xf numFmtId="3" fontId="73" fillId="0" borderId="0" xfId="0" applyNumberFormat="1" applyFont="1"/>
    <xf numFmtId="3" fontId="75" fillId="0" borderId="0" xfId="0" applyNumberFormat="1" applyFont="1"/>
    <xf numFmtId="3" fontId="74" fillId="0" borderId="0" xfId="0" applyNumberFormat="1" applyFont="1"/>
    <xf numFmtId="3" fontId="1" fillId="0" borderId="0" xfId="0" applyNumberFormat="1" applyFont="1"/>
    <xf numFmtId="0" fontId="0" fillId="0" borderId="0" xfId="0" applyAlignment="1">
      <alignment horizontal="left" vertical="center" indent="1"/>
    </xf>
    <xf numFmtId="225" fontId="67" fillId="39" borderId="30" xfId="187" applyNumberFormat="1" applyFont="1" applyFill="1" applyBorder="1" applyAlignment="1">
      <alignment horizontal="right" vertical="center"/>
    </xf>
    <xf numFmtId="0" fontId="2" fillId="40" borderId="0" xfId="0" applyFont="1" applyFill="1"/>
    <xf numFmtId="0" fontId="0" fillId="41" borderId="7" xfId="0" applyFill="1" applyBorder="1"/>
    <xf numFmtId="0" fontId="0" fillId="40" borderId="7" xfId="0" applyFill="1" applyBorder="1"/>
    <xf numFmtId="0" fontId="0" fillId="0" borderId="7" xfId="0" applyBorder="1"/>
    <xf numFmtId="3" fontId="0" fillId="0" borderId="7" xfId="0" applyNumberFormat="1" applyBorder="1"/>
    <xf numFmtId="0" fontId="2" fillId="0" borderId="7" xfId="0" applyFont="1" applyBorder="1"/>
    <xf numFmtId="227" fontId="77" fillId="37" borderId="0" xfId="187" applyNumberFormat="1" applyFont="1" applyFill="1"/>
    <xf numFmtId="229" fontId="62" fillId="0" borderId="0" xfId="187" quotePrefix="1" applyNumberFormat="1"/>
    <xf numFmtId="227" fontId="79" fillId="0" borderId="0" xfId="187" applyNumberFormat="1" applyFont="1"/>
    <xf numFmtId="0" fontId="1" fillId="33" borderId="7" xfId="189" applyFont="1" applyFill="1" applyBorder="1"/>
    <xf numFmtId="0" fontId="0" fillId="33" borderId="7" xfId="0" applyFill="1" applyBorder="1"/>
    <xf numFmtId="197" fontId="0" fillId="33" borderId="7" xfId="1" applyNumberFormat="1" applyFont="1" applyFill="1" applyBorder="1"/>
    <xf numFmtId="9" fontId="0" fillId="33" borderId="7" xfId="1" applyFont="1" applyFill="1" applyBorder="1"/>
    <xf numFmtId="197" fontId="0" fillId="33" borderId="7" xfId="0" applyNumberFormat="1" applyFill="1" applyBorder="1"/>
    <xf numFmtId="9" fontId="0" fillId="33" borderId="7" xfId="0" applyNumberFormat="1" applyFill="1" applyBorder="1"/>
    <xf numFmtId="10" fontId="0" fillId="33" borderId="7" xfId="0" applyNumberFormat="1" applyFill="1" applyBorder="1"/>
    <xf numFmtId="10" fontId="0" fillId="33" borderId="7" xfId="1" applyNumberFormat="1" applyFont="1" applyFill="1" applyBorder="1"/>
    <xf numFmtId="227" fontId="77" fillId="37" borderId="0" xfId="187" applyNumberFormat="1" applyFont="1" applyFill="1" applyAlignment="1">
      <alignment vertical="center"/>
    </xf>
    <xf numFmtId="241" fontId="65" fillId="0" borderId="0" xfId="187" applyNumberFormat="1" applyFont="1" applyAlignment="1">
      <alignment horizontal="right" vertical="center"/>
    </xf>
    <xf numFmtId="49" fontId="67" fillId="42" borderId="28" xfId="187" quotePrefix="1" applyNumberFormat="1" applyFont="1" applyFill="1" applyBorder="1" applyAlignment="1">
      <alignment horizontal="left" vertical="center"/>
    </xf>
    <xf numFmtId="227" fontId="67" fillId="42" borderId="28" xfId="187" quotePrefix="1" applyNumberFormat="1" applyFont="1" applyFill="1" applyBorder="1" applyAlignment="1">
      <alignment horizontal="left" vertical="center"/>
    </xf>
    <xf numFmtId="227" fontId="67" fillId="42" borderId="28" xfId="187" applyNumberFormat="1" applyFont="1" applyFill="1" applyBorder="1" applyAlignment="1">
      <alignment horizontal="right" vertical="center"/>
    </xf>
    <xf numFmtId="241" fontId="67" fillId="42" borderId="28" xfId="187" applyNumberFormat="1" applyFont="1" applyFill="1" applyBorder="1" applyAlignment="1">
      <alignment horizontal="right" vertical="center"/>
    </xf>
    <xf numFmtId="49" fontId="67" fillId="43" borderId="28" xfId="187" quotePrefix="1" applyNumberFormat="1" applyFont="1" applyFill="1" applyBorder="1" applyAlignment="1">
      <alignment horizontal="left" vertical="center"/>
    </xf>
    <xf numFmtId="227" fontId="67" fillId="43" borderId="28" xfId="187" quotePrefix="1" applyNumberFormat="1" applyFont="1" applyFill="1" applyBorder="1" applyAlignment="1">
      <alignment horizontal="left" vertical="center"/>
    </xf>
    <xf numFmtId="227" fontId="67" fillId="43" borderId="28" xfId="187" applyNumberFormat="1" applyFont="1" applyFill="1" applyBorder="1" applyAlignment="1">
      <alignment horizontal="right" vertical="center"/>
    </xf>
    <xf numFmtId="241" fontId="67" fillId="43" borderId="28" xfId="187" applyNumberFormat="1" applyFont="1" applyFill="1" applyBorder="1" applyAlignment="1">
      <alignment horizontal="right" vertical="center"/>
    </xf>
    <xf numFmtId="49" fontId="67" fillId="35" borderId="0" xfId="187" quotePrefix="1" applyNumberFormat="1" applyFont="1" applyFill="1" applyAlignment="1">
      <alignment horizontal="left" vertical="center"/>
    </xf>
    <xf numFmtId="227" fontId="66" fillId="0" borderId="28" xfId="187" quotePrefix="1" applyNumberFormat="1" applyFont="1" applyBorder="1" applyAlignment="1">
      <alignment horizontal="center" vertical="center"/>
    </xf>
    <xf numFmtId="49" fontId="67" fillId="0" borderId="28" xfId="187" quotePrefix="1" applyNumberFormat="1" applyFont="1" applyBorder="1" applyAlignment="1">
      <alignment horizontal="left" vertical="center"/>
    </xf>
    <xf numFmtId="227" fontId="67" fillId="0" borderId="28" xfId="187" quotePrefix="1" applyNumberFormat="1" applyFont="1" applyBorder="1" applyAlignment="1">
      <alignment horizontal="left" vertical="center"/>
    </xf>
    <xf numFmtId="227" fontId="67" fillId="0" borderId="28" xfId="187" applyNumberFormat="1" applyFont="1" applyBorder="1" applyAlignment="1">
      <alignment horizontal="right" vertical="center"/>
    </xf>
    <xf numFmtId="232" fontId="67" fillId="0" borderId="28" xfId="187" applyNumberFormat="1" applyFont="1" applyBorder="1" applyAlignment="1">
      <alignment horizontal="right" vertical="center"/>
    </xf>
    <xf numFmtId="241" fontId="67" fillId="0" borderId="28" xfId="187" applyNumberFormat="1" applyFont="1" applyBorder="1" applyAlignment="1">
      <alignment horizontal="right" vertical="center"/>
    </xf>
    <xf numFmtId="49" fontId="67" fillId="36" borderId="44" xfId="187" quotePrefix="1" applyNumberFormat="1" applyFont="1" applyFill="1" applyBorder="1" applyAlignment="1">
      <alignment horizontal="left" vertical="center"/>
    </xf>
    <xf numFmtId="227" fontId="67" fillId="36" borderId="45" xfId="187" quotePrefix="1" applyNumberFormat="1" applyFont="1" applyFill="1" applyBorder="1" applyAlignment="1">
      <alignment horizontal="left" vertical="center"/>
    </xf>
    <xf numFmtId="227" fontId="67" fillId="36" borderId="45" xfId="187" applyNumberFormat="1" applyFont="1" applyFill="1" applyBorder="1" applyAlignment="1">
      <alignment horizontal="right" vertical="center"/>
    </xf>
    <xf numFmtId="241" fontId="67" fillId="36" borderId="46" xfId="187" applyNumberFormat="1" applyFont="1" applyFill="1" applyBorder="1" applyAlignment="1">
      <alignment horizontal="right" vertical="center"/>
    </xf>
    <xf numFmtId="0" fontId="82" fillId="0" borderId="0" xfId="0" applyFont="1"/>
    <xf numFmtId="0" fontId="2" fillId="38" borderId="0" xfId="0" applyFont="1" applyFill="1"/>
    <xf numFmtId="248" fontId="61" fillId="0" borderId="0" xfId="191"/>
    <xf numFmtId="247" fontId="85" fillId="0" borderId="0" xfId="193" applyNumberFormat="1">
      <alignment horizontal="left" vertical="center"/>
    </xf>
    <xf numFmtId="248" fontId="87" fillId="0" borderId="0" xfId="191" applyFont="1"/>
    <xf numFmtId="248" fontId="61" fillId="0" borderId="0" xfId="191" applyAlignment="1">
      <alignment horizontal="right"/>
    </xf>
    <xf numFmtId="249" fontId="61" fillId="0" borderId="0" xfId="191" applyNumberFormat="1"/>
    <xf numFmtId="229" fontId="6" fillId="0" borderId="0" xfId="187" quotePrefix="1" applyNumberFormat="1" applyFont="1" applyAlignment="1">
      <alignment horizontal="left" vertical="center"/>
    </xf>
    <xf numFmtId="0" fontId="1" fillId="33" borderId="0" xfId="189" applyFont="1" applyFill="1"/>
    <xf numFmtId="0" fontId="1" fillId="38" borderId="0" xfId="189" applyFont="1" applyFill="1"/>
    <xf numFmtId="251" fontId="89" fillId="0" borderId="0" xfId="195" applyFont="1"/>
    <xf numFmtId="251" fontId="90" fillId="0" borderId="0" xfId="195" applyFont="1" applyAlignment="1">
      <alignment horizontal="center"/>
    </xf>
    <xf numFmtId="251" fontId="91" fillId="0" borderId="0" xfId="195" applyFont="1" applyAlignment="1">
      <alignment horizontal="center"/>
    </xf>
    <xf numFmtId="251" fontId="90" fillId="0" borderId="0" xfId="195" applyFont="1" applyAlignment="1">
      <alignment horizontal="centerContinuous"/>
    </xf>
    <xf numFmtId="251" fontId="92" fillId="0" borderId="0" xfId="195" applyFont="1" applyAlignment="1">
      <alignment horizontal="left"/>
    </xf>
    <xf numFmtId="251" fontId="89" fillId="0" borderId="0" xfId="195" applyFont="1" applyAlignment="1">
      <alignment horizontal="center"/>
    </xf>
    <xf numFmtId="251" fontId="92" fillId="0" borderId="0" xfId="195" applyFont="1" applyAlignment="1">
      <alignment horizontal="centerContinuous"/>
    </xf>
    <xf numFmtId="251" fontId="92" fillId="0" borderId="0" xfId="195" applyFont="1" applyAlignment="1">
      <alignment horizontal="center"/>
    </xf>
    <xf numFmtId="252" fontId="89" fillId="0" borderId="0" xfId="196" applyNumberFormat="1" applyFont="1"/>
    <xf numFmtId="194" fontId="89" fillId="0" borderId="0" xfId="196" applyNumberFormat="1" applyFont="1"/>
    <xf numFmtId="206" fontId="89" fillId="0" borderId="0" xfId="197" applyNumberFormat="1" applyFont="1"/>
    <xf numFmtId="40" fontId="93" fillId="0" borderId="0" xfId="196" applyFont="1"/>
    <xf numFmtId="197" fontId="89" fillId="0" borderId="0" xfId="198" applyNumberFormat="1" applyFont="1"/>
    <xf numFmtId="254" fontId="89" fillId="0" borderId="0" xfId="195" applyNumberFormat="1" applyFont="1"/>
    <xf numFmtId="251" fontId="94" fillId="0" borderId="0" xfId="195" applyFont="1"/>
    <xf numFmtId="251" fontId="89" fillId="0" borderId="4" xfId="195" applyFont="1" applyBorder="1"/>
    <xf numFmtId="251" fontId="95" fillId="0" borderId="0" xfId="195" applyFont="1"/>
    <xf numFmtId="0" fontId="2" fillId="39" borderId="0" xfId="0" applyFont="1" applyFill="1"/>
    <xf numFmtId="248" fontId="61" fillId="0" borderId="0" xfId="191" applyBorder="1"/>
    <xf numFmtId="0" fontId="0" fillId="39" borderId="0" xfId="0" applyFill="1"/>
    <xf numFmtId="0" fontId="0" fillId="45" borderId="0" xfId="0" applyFill="1"/>
    <xf numFmtId="227" fontId="6" fillId="38" borderId="7" xfId="187" quotePrefix="1" applyNumberFormat="1" applyFont="1" applyFill="1" applyBorder="1" applyAlignment="1">
      <alignment horizontal="left" vertical="center"/>
    </xf>
    <xf numFmtId="227" fontId="34" fillId="0" borderId="7" xfId="187" quotePrefix="1" applyNumberFormat="1" applyFont="1" applyBorder="1" applyAlignment="1">
      <alignment horizontal="left" vertical="center"/>
    </xf>
    <xf numFmtId="225" fontId="6" fillId="39" borderId="7" xfId="187" quotePrefix="1" applyNumberFormat="1" applyFont="1" applyFill="1" applyBorder="1" applyAlignment="1">
      <alignment horizontal="left" vertical="center"/>
    </xf>
    <xf numFmtId="225" fontId="6" fillId="45" borderId="7" xfId="187" applyNumberFormat="1" applyFont="1" applyFill="1" applyBorder="1" applyAlignment="1">
      <alignment horizontal="right" vertical="center"/>
    </xf>
    <xf numFmtId="227" fontId="6" fillId="38" borderId="7" xfId="187" quotePrefix="1" applyNumberFormat="1" applyFont="1" applyFill="1" applyBorder="1" applyAlignment="1">
      <alignment horizontal="center" vertical="center"/>
    </xf>
    <xf numFmtId="227" fontId="6" fillId="38" borderId="7" xfId="187" applyNumberFormat="1" applyFont="1" applyFill="1" applyBorder="1" applyAlignment="1">
      <alignment horizontal="center" vertical="center"/>
    </xf>
    <xf numFmtId="227" fontId="77" fillId="37" borderId="4" xfId="187" applyNumberFormat="1" applyFont="1" applyFill="1" applyBorder="1"/>
    <xf numFmtId="251" fontId="89" fillId="0" borderId="22" xfId="195" applyFont="1" applyBorder="1"/>
    <xf numFmtId="227" fontId="80" fillId="0" borderId="22" xfId="187" applyNumberFormat="1" applyFont="1" applyBorder="1"/>
    <xf numFmtId="250" fontId="97" fillId="0" borderId="0" xfId="196" applyNumberFormat="1" applyFont="1"/>
    <xf numFmtId="250" fontId="6" fillId="0" borderId="0" xfId="196" applyNumberFormat="1" applyFont="1"/>
    <xf numFmtId="229" fontId="77" fillId="0" borderId="0" xfId="187" quotePrefix="1" applyNumberFormat="1" applyFont="1" applyAlignment="1">
      <alignment horizontal="center" vertical="center"/>
    </xf>
    <xf numFmtId="229" fontId="98" fillId="0" borderId="50" xfId="187" quotePrefix="1" applyNumberFormat="1" applyFont="1" applyBorder="1" applyAlignment="1">
      <alignment horizontal="center" vertical="center"/>
    </xf>
    <xf numFmtId="229" fontId="77" fillId="0" borderId="50" xfId="187" quotePrefix="1" applyNumberFormat="1" applyFont="1" applyBorder="1" applyAlignment="1">
      <alignment horizontal="center" vertical="center"/>
    </xf>
    <xf numFmtId="254" fontId="63" fillId="0" borderId="0" xfId="0" applyNumberFormat="1" applyFont="1"/>
    <xf numFmtId="251" fontId="6" fillId="0" borderId="0" xfId="195" applyFont="1"/>
    <xf numFmtId="251" fontId="89" fillId="0" borderId="28" xfId="195" applyFont="1" applyBorder="1"/>
    <xf numFmtId="229" fontId="62" fillId="0" borderId="54" xfId="187" quotePrefix="1" applyNumberFormat="1" applyBorder="1"/>
    <xf numFmtId="251" fontId="89" fillId="0" borderId="56" xfId="195" applyFont="1" applyBorder="1"/>
    <xf numFmtId="250" fontId="6" fillId="0" borderId="0" xfId="196" applyNumberFormat="1" applyFont="1" applyBorder="1"/>
    <xf numFmtId="251" fontId="89" fillId="0" borderId="57" xfId="195" applyFont="1" applyBorder="1"/>
    <xf numFmtId="197" fontId="89" fillId="0" borderId="0" xfId="198" applyNumberFormat="1" applyFont="1" applyBorder="1"/>
    <xf numFmtId="254" fontId="6" fillId="0" borderId="0" xfId="195" applyNumberFormat="1" applyFont="1"/>
    <xf numFmtId="197" fontId="6" fillId="0" borderId="0" xfId="198" applyNumberFormat="1" applyFont="1" applyBorder="1"/>
    <xf numFmtId="251" fontId="89" fillId="0" borderId="50" xfId="195" applyFont="1" applyBorder="1"/>
    <xf numFmtId="251" fontId="89" fillId="0" borderId="59" xfId="195" applyFont="1" applyBorder="1"/>
    <xf numFmtId="251" fontId="89" fillId="0" borderId="29" xfId="195" applyFont="1" applyBorder="1"/>
    <xf numFmtId="229" fontId="62" fillId="0" borderId="28" xfId="187" quotePrefix="1" applyNumberFormat="1" applyBorder="1"/>
    <xf numFmtId="9" fontId="89" fillId="0" borderId="28" xfId="198" applyFont="1" applyBorder="1"/>
    <xf numFmtId="251" fontId="89" fillId="0" borderId="15" xfId="195" applyFont="1" applyBorder="1"/>
    <xf numFmtId="251" fontId="89" fillId="0" borderId="18" xfId="195" applyFont="1" applyBorder="1"/>
    <xf numFmtId="251" fontId="89" fillId="0" borderId="5" xfId="195" applyFont="1" applyBorder="1"/>
    <xf numFmtId="254" fontId="93" fillId="0" borderId="5" xfId="195" applyNumberFormat="1" applyFont="1" applyBorder="1"/>
    <xf numFmtId="250" fontId="6" fillId="0" borderId="5" xfId="196" applyNumberFormat="1" applyFont="1" applyBorder="1"/>
    <xf numFmtId="251" fontId="89" fillId="0" borderId="27" xfId="195" applyFont="1" applyBorder="1"/>
    <xf numFmtId="229" fontId="62" fillId="0" borderId="4" xfId="187" quotePrefix="1" applyNumberFormat="1" applyBorder="1"/>
    <xf numFmtId="197" fontId="89" fillId="0" borderId="4" xfId="198" applyNumberFormat="1" applyFont="1" applyBorder="1"/>
    <xf numFmtId="250" fontId="6" fillId="0" borderId="4" xfId="196" applyNumberFormat="1" applyFont="1" applyBorder="1"/>
    <xf numFmtId="251" fontId="89" fillId="0" borderId="26" xfId="195" applyFont="1" applyBorder="1"/>
    <xf numFmtId="229" fontId="62" fillId="0" borderId="53" xfId="187" quotePrefix="1" applyNumberFormat="1" applyBorder="1"/>
    <xf numFmtId="254" fontId="63" fillId="0" borderId="54" xfId="0" applyNumberFormat="1" applyFont="1" applyBorder="1"/>
    <xf numFmtId="197" fontId="89" fillId="0" borderId="55" xfId="198" applyNumberFormat="1" applyFont="1" applyBorder="1"/>
    <xf numFmtId="254" fontId="89" fillId="0" borderId="57" xfId="195" applyNumberFormat="1" applyFont="1" applyBorder="1"/>
    <xf numFmtId="197" fontId="89" fillId="0" borderId="57" xfId="198" applyNumberFormat="1" applyFont="1" applyBorder="1"/>
    <xf numFmtId="251" fontId="89" fillId="0" borderId="60" xfId="195" applyFont="1" applyBorder="1"/>
    <xf numFmtId="251" fontId="95" fillId="0" borderId="56" xfId="195" quotePrefix="1" applyFont="1" applyBorder="1"/>
    <xf numFmtId="251" fontId="95" fillId="0" borderId="57" xfId="195" applyFont="1" applyBorder="1"/>
    <xf numFmtId="251" fontId="100" fillId="0" borderId="58" xfId="195" applyFont="1" applyBorder="1"/>
    <xf numFmtId="251" fontId="95" fillId="0" borderId="50" xfId="195" applyFont="1" applyBorder="1"/>
    <xf numFmtId="257" fontId="63" fillId="0" borderId="54" xfId="0" applyNumberFormat="1" applyFont="1" applyBorder="1"/>
    <xf numFmtId="226" fontId="65" fillId="0" borderId="0" xfId="187" applyNumberFormat="1" applyFont="1" applyAlignment="1">
      <alignment horizontal="right" vertical="center" wrapText="1" readingOrder="1"/>
    </xf>
    <xf numFmtId="1" fontId="65" fillId="0" borderId="0" xfId="187" applyNumberFormat="1" applyFont="1" applyAlignment="1">
      <alignment horizontal="right" vertical="center" wrapText="1" readingOrder="1"/>
    </xf>
    <xf numFmtId="250" fontId="65" fillId="0" borderId="0" xfId="187" applyNumberFormat="1" applyFont="1" applyAlignment="1">
      <alignment horizontal="right" vertical="center" wrapText="1" readingOrder="1"/>
    </xf>
    <xf numFmtId="0" fontId="69" fillId="0" borderId="0" xfId="0" applyFont="1"/>
    <xf numFmtId="0" fontId="63" fillId="0" borderId="0" xfId="0" applyFont="1"/>
    <xf numFmtId="0" fontId="101" fillId="0" borderId="0" xfId="0" applyFont="1"/>
    <xf numFmtId="224" fontId="63" fillId="0" borderId="0" xfId="0" applyNumberFormat="1" applyFont="1" applyAlignment="1">
      <alignment horizontal="centerContinuous"/>
    </xf>
    <xf numFmtId="0" fontId="102" fillId="0" borderId="19" xfId="0" applyFont="1" applyBorder="1"/>
    <xf numFmtId="0" fontId="102" fillId="0" borderId="20" xfId="0" applyFont="1" applyBorder="1" applyAlignment="1">
      <alignment wrapText="1"/>
    </xf>
    <xf numFmtId="0" fontId="102" fillId="0" borderId="21" xfId="0" applyFont="1" applyBorder="1" applyAlignment="1">
      <alignment wrapText="1"/>
    </xf>
    <xf numFmtId="0" fontId="102" fillId="0" borderId="19" xfId="0" applyFont="1" applyBorder="1" applyAlignment="1">
      <alignment wrapText="1"/>
    </xf>
    <xf numFmtId="0" fontId="102" fillId="0" borderId="19" xfId="0" applyFont="1" applyBorder="1" applyAlignment="1">
      <alignment horizontal="center" wrapText="1"/>
    </xf>
    <xf numFmtId="0" fontId="102" fillId="0" borderId="20" xfId="0" applyFont="1" applyBorder="1" applyAlignment="1">
      <alignment horizontal="center" wrapText="1"/>
    </xf>
    <xf numFmtId="0" fontId="102" fillId="0" borderId="21" xfId="0" applyFont="1" applyBorder="1" applyAlignment="1">
      <alignment horizontal="center" wrapText="1"/>
    </xf>
    <xf numFmtId="10" fontId="63" fillId="0" borderId="0" xfId="0" applyNumberFormat="1" applyFont="1"/>
    <xf numFmtId="226" fontId="63" fillId="0" borderId="25" xfId="0" applyNumberFormat="1" applyFont="1" applyBorder="1"/>
    <xf numFmtId="226" fontId="63" fillId="0" borderId="0" xfId="0" applyNumberFormat="1" applyFont="1"/>
    <xf numFmtId="225" fontId="63" fillId="0" borderId="0" xfId="0" applyNumberFormat="1" applyFont="1"/>
    <xf numFmtId="226" fontId="63" fillId="0" borderId="18" xfId="0" applyNumberFormat="1" applyFont="1" applyBorder="1"/>
    <xf numFmtId="254" fontId="63" fillId="0" borderId="5" xfId="0" applyNumberFormat="1" applyFont="1" applyBorder="1"/>
    <xf numFmtId="0" fontId="63" fillId="0" borderId="18" xfId="0" applyFont="1" applyBorder="1"/>
    <xf numFmtId="0" fontId="63" fillId="0" borderId="23" xfId="0" applyFont="1" applyBorder="1"/>
    <xf numFmtId="10" fontId="63" fillId="0" borderId="2" xfId="0" applyNumberFormat="1" applyFont="1" applyBorder="1"/>
    <xf numFmtId="226" fontId="63" fillId="0" borderId="23" xfId="0" applyNumberFormat="1" applyFont="1" applyBorder="1"/>
    <xf numFmtId="226" fontId="63" fillId="0" borderId="2" xfId="0" applyNumberFormat="1" applyFont="1" applyBorder="1"/>
    <xf numFmtId="225" fontId="63" fillId="0" borderId="2" xfId="0" applyNumberFormat="1" applyFont="1" applyBorder="1"/>
    <xf numFmtId="254" fontId="63" fillId="0" borderId="2" xfId="0" applyNumberFormat="1" applyFont="1" applyBorder="1"/>
    <xf numFmtId="0" fontId="63" fillId="0" borderId="2" xfId="0" applyFont="1" applyBorder="1"/>
    <xf numFmtId="254" fontId="63" fillId="0" borderId="24" xfId="0" applyNumberFormat="1" applyFont="1" applyBorder="1"/>
    <xf numFmtId="0" fontId="63" fillId="0" borderId="5" xfId="0" applyFont="1" applyBorder="1"/>
    <xf numFmtId="0" fontId="6" fillId="31" borderId="0" xfId="0" applyFont="1" applyFill="1"/>
    <xf numFmtId="0" fontId="34" fillId="45" borderId="0" xfId="0" applyFont="1" applyFill="1"/>
    <xf numFmtId="0" fontId="63" fillId="45" borderId="0" xfId="0" applyFont="1" applyFill="1"/>
    <xf numFmtId="254" fontId="63" fillId="45" borderId="0" xfId="0" applyNumberFormat="1" applyFont="1" applyFill="1"/>
    <xf numFmtId="0" fontId="63" fillId="45" borderId="18" xfId="0" applyFont="1" applyFill="1" applyBorder="1"/>
    <xf numFmtId="254" fontId="63" fillId="45" borderId="5" xfId="0" applyNumberFormat="1" applyFont="1" applyFill="1" applyBorder="1"/>
    <xf numFmtId="0" fontId="34" fillId="39" borderId="0" xfId="0" applyFont="1" applyFill="1"/>
    <xf numFmtId="0" fontId="63" fillId="39" borderId="0" xfId="0" applyFont="1" applyFill="1"/>
    <xf numFmtId="254" fontId="63" fillId="39" borderId="0" xfId="0" applyNumberFormat="1" applyFont="1" applyFill="1"/>
    <xf numFmtId="0" fontId="63" fillId="39" borderId="18" xfId="0" applyFont="1" applyFill="1" applyBorder="1"/>
    <xf numFmtId="254" fontId="63" fillId="39" borderId="5" xfId="0" applyNumberFormat="1" applyFont="1" applyFill="1" applyBorder="1"/>
    <xf numFmtId="0" fontId="6" fillId="39" borderId="0" xfId="0" applyFont="1" applyFill="1"/>
    <xf numFmtId="226" fontId="63" fillId="39" borderId="0" xfId="0" applyNumberFormat="1" applyFont="1" applyFill="1"/>
    <xf numFmtId="0" fontId="63" fillId="39" borderId="5" xfId="0" applyFont="1" applyFill="1" applyBorder="1"/>
    <xf numFmtId="0" fontId="6" fillId="39" borderId="50" xfId="0" applyFont="1" applyFill="1" applyBorder="1"/>
    <xf numFmtId="0" fontId="63" fillId="39" borderId="50" xfId="0" applyFont="1" applyFill="1" applyBorder="1"/>
    <xf numFmtId="225" fontId="63" fillId="39" borderId="50" xfId="0" applyNumberFormat="1" applyFont="1" applyFill="1" applyBorder="1"/>
    <xf numFmtId="225" fontId="63" fillId="39" borderId="51" xfId="0" applyNumberFormat="1" applyFont="1" applyFill="1" applyBorder="1"/>
    <xf numFmtId="225" fontId="63" fillId="39" borderId="49" xfId="0" applyNumberFormat="1" applyFont="1" applyFill="1" applyBorder="1"/>
    <xf numFmtId="0" fontId="102" fillId="0" borderId="48" xfId="0" applyFont="1" applyBorder="1" applyAlignment="1">
      <alignment horizontal="right" wrapText="1"/>
    </xf>
    <xf numFmtId="0" fontId="102" fillId="0" borderId="7" xfId="0" applyFont="1" applyBorder="1" applyAlignment="1">
      <alignment horizontal="right" wrapText="1"/>
    </xf>
    <xf numFmtId="0" fontId="63" fillId="0" borderId="29" xfId="0" applyFont="1" applyBorder="1"/>
    <xf numFmtId="0" fontId="63" fillId="0" borderId="28" xfId="0" applyFont="1" applyBorder="1"/>
    <xf numFmtId="0" fontId="63" fillId="0" borderId="15" xfId="0" applyFont="1" applyBorder="1"/>
    <xf numFmtId="0" fontId="69" fillId="0" borderId="0" xfId="0" applyFont="1" applyAlignment="1">
      <alignment vertical="center" wrapText="1"/>
    </xf>
    <xf numFmtId="0" fontId="63" fillId="39" borderId="0" xfId="0" applyFont="1" applyFill="1" applyAlignment="1">
      <alignment horizontal="center" vertical="center"/>
    </xf>
    <xf numFmtId="0" fontId="63" fillId="45" borderId="0" xfId="0" applyFont="1" applyFill="1" applyAlignment="1">
      <alignment horizontal="center"/>
    </xf>
    <xf numFmtId="0" fontId="69" fillId="0" borderId="4" xfId="0" applyFont="1" applyBorder="1" applyAlignment="1">
      <alignment vertical="center" wrapText="1"/>
    </xf>
    <xf numFmtId="226" fontId="63" fillId="0" borderId="7" xfId="0" applyNumberFormat="1" applyFont="1" applyBorder="1"/>
    <xf numFmtId="225" fontId="63" fillId="0" borderId="7" xfId="0" applyNumberFormat="1" applyFont="1" applyBorder="1"/>
    <xf numFmtId="0" fontId="63" fillId="0" borderId="43" xfId="0" applyFont="1" applyBorder="1"/>
    <xf numFmtId="0" fontId="63" fillId="0" borderId="52" xfId="0" applyFont="1" applyBorder="1"/>
    <xf numFmtId="0" fontId="63" fillId="0" borderId="22" xfId="0" applyFont="1" applyBorder="1"/>
    <xf numFmtId="0" fontId="63" fillId="0" borderId="42" xfId="0" applyFont="1" applyBorder="1"/>
    <xf numFmtId="0" fontId="63" fillId="0" borderId="27" xfId="0" applyFont="1" applyBorder="1"/>
    <xf numFmtId="0" fontId="63" fillId="0" borderId="4" xfId="0" applyFont="1" applyBorder="1"/>
    <xf numFmtId="0" fontId="63" fillId="0" borderId="26" xfId="0" applyFont="1" applyBorder="1"/>
    <xf numFmtId="3" fontId="65" fillId="0" borderId="0" xfId="0" applyNumberFormat="1" applyFont="1"/>
    <xf numFmtId="9" fontId="65" fillId="0" borderId="0" xfId="0" applyNumberFormat="1" applyFont="1"/>
    <xf numFmtId="10" fontId="65" fillId="0" borderId="0" xfId="0" applyNumberFormat="1" applyFont="1"/>
    <xf numFmtId="3" fontId="65" fillId="0" borderId="2" xfId="0" applyNumberFormat="1" applyFont="1" applyBorder="1"/>
    <xf numFmtId="10" fontId="65" fillId="0" borderId="2" xfId="0" applyNumberFormat="1" applyFont="1" applyBorder="1"/>
    <xf numFmtId="226" fontId="65" fillId="0" borderId="0" xfId="0" applyNumberFormat="1" applyFont="1"/>
    <xf numFmtId="4" fontId="65" fillId="0" borderId="0" xfId="0" applyNumberFormat="1" applyFont="1"/>
    <xf numFmtId="226" fontId="65" fillId="0" borderId="2" xfId="0" applyNumberFormat="1" applyFont="1" applyBorder="1"/>
    <xf numFmtId="4" fontId="65" fillId="0" borderId="2" xfId="0" applyNumberFormat="1" applyFont="1" applyBorder="1"/>
    <xf numFmtId="254" fontId="65" fillId="0" borderId="0" xfId="0" applyNumberFormat="1" applyFont="1"/>
    <xf numFmtId="254" fontId="65" fillId="0" borderId="2" xfId="0" applyNumberFormat="1" applyFont="1" applyBorder="1"/>
    <xf numFmtId="250" fontId="65" fillId="0" borderId="0" xfId="196" applyNumberFormat="1" applyFont="1"/>
    <xf numFmtId="0" fontId="67" fillId="46" borderId="38" xfId="0" applyFont="1" applyFill="1" applyBorder="1"/>
    <xf numFmtId="236" fontId="67" fillId="46" borderId="47" xfId="0" applyNumberFormat="1" applyFont="1" applyFill="1" applyBorder="1"/>
    <xf numFmtId="0" fontId="67" fillId="46" borderId="47" xfId="0" applyFont="1" applyFill="1" applyBorder="1"/>
    <xf numFmtId="0" fontId="67" fillId="0" borderId="0" xfId="0" applyFont="1"/>
    <xf numFmtId="3" fontId="63" fillId="0" borderId="0" xfId="0" applyNumberFormat="1" applyFont="1"/>
    <xf numFmtId="237" fontId="63" fillId="0" borderId="0" xfId="0" applyNumberFormat="1" applyFont="1"/>
    <xf numFmtId="234" fontId="103" fillId="0" borderId="0" xfId="0" applyNumberFormat="1" applyFont="1"/>
    <xf numFmtId="235" fontId="65" fillId="0" borderId="0" xfId="0" applyNumberFormat="1" applyFont="1"/>
    <xf numFmtId="235" fontId="63" fillId="0" borderId="0" xfId="0" applyNumberFormat="1" applyFont="1"/>
    <xf numFmtId="234" fontId="63" fillId="0" borderId="0" xfId="0" applyNumberFormat="1" applyFont="1"/>
    <xf numFmtId="240" fontId="63" fillId="0" borderId="0" xfId="0" applyNumberFormat="1" applyFont="1"/>
    <xf numFmtId="234" fontId="67" fillId="0" borderId="0" xfId="0" applyNumberFormat="1" applyFont="1"/>
    <xf numFmtId="0" fontId="104" fillId="0" borderId="0" xfId="0" applyFont="1"/>
    <xf numFmtId="0" fontId="67" fillId="0" borderId="2" xfId="0" applyFont="1" applyBorder="1"/>
    <xf numFmtId="234" fontId="67" fillId="0" borderId="2" xfId="0" applyNumberFormat="1" applyFont="1" applyBorder="1"/>
    <xf numFmtId="235" fontId="65" fillId="0" borderId="4" xfId="0" applyNumberFormat="1" applyFont="1" applyBorder="1"/>
    <xf numFmtId="235" fontId="63" fillId="0" borderId="4" xfId="0" applyNumberFormat="1" applyFont="1" applyBorder="1"/>
    <xf numFmtId="0" fontId="1" fillId="0" borderId="53" xfId="0" applyFont="1" applyBorder="1"/>
    <xf numFmtId="0" fontId="63" fillId="0" borderId="54" xfId="0" applyFont="1" applyBorder="1"/>
    <xf numFmtId="234" fontId="103" fillId="0" borderId="54" xfId="0" applyNumberFormat="1" applyFont="1" applyBorder="1"/>
    <xf numFmtId="0" fontId="63" fillId="0" borderId="55" xfId="0" applyFont="1" applyBorder="1"/>
    <xf numFmtId="0" fontId="1" fillId="0" borderId="56" xfId="0" applyFont="1" applyBorder="1"/>
    <xf numFmtId="0" fontId="104" fillId="33" borderId="0" xfId="0" applyFont="1" applyFill="1"/>
    <xf numFmtId="0" fontId="63" fillId="33" borderId="0" xfId="0" applyFont="1" applyFill="1"/>
    <xf numFmtId="0" fontId="104" fillId="44" borderId="0" xfId="0" applyFont="1" applyFill="1"/>
    <xf numFmtId="0" fontId="63" fillId="44" borderId="0" xfId="0" applyFont="1" applyFill="1"/>
    <xf numFmtId="0" fontId="63" fillId="0" borderId="57" xfId="0" applyFont="1" applyBorder="1"/>
    <xf numFmtId="0" fontId="67" fillId="33" borderId="0" xfId="0" applyFont="1" applyFill="1"/>
    <xf numFmtId="234" fontId="105" fillId="33" borderId="0" xfId="0" applyNumberFormat="1" applyFont="1" applyFill="1"/>
    <xf numFmtId="0" fontId="67" fillId="44" borderId="0" xfId="0" applyFont="1" applyFill="1"/>
    <xf numFmtId="234" fontId="105" fillId="44" borderId="0" xfId="0" applyNumberFormat="1" applyFont="1" applyFill="1"/>
    <xf numFmtId="234" fontId="63" fillId="33" borderId="0" xfId="0" applyNumberFormat="1" applyFont="1" applyFill="1"/>
    <xf numFmtId="234" fontId="63" fillId="44" borderId="0" xfId="0" applyNumberFormat="1" applyFont="1" applyFill="1"/>
    <xf numFmtId="234" fontId="67" fillId="44" borderId="0" xfId="0" applyNumberFormat="1" applyFont="1" applyFill="1"/>
    <xf numFmtId="234" fontId="67" fillId="33" borderId="0" xfId="0" applyNumberFormat="1" applyFont="1" applyFill="1"/>
    <xf numFmtId="225" fontId="67" fillId="45" borderId="0" xfId="0" applyNumberFormat="1" applyFont="1" applyFill="1"/>
    <xf numFmtId="0" fontId="67" fillId="38" borderId="0" xfId="0" applyFont="1" applyFill="1" applyAlignment="1">
      <alignment vertical="center"/>
    </xf>
    <xf numFmtId="0" fontId="67" fillId="38" borderId="0" xfId="0" applyFont="1" applyFill="1"/>
    <xf numFmtId="233" fontId="67" fillId="38" borderId="0" xfId="0" applyNumberFormat="1" applyFont="1" applyFill="1"/>
    <xf numFmtId="0" fontId="63" fillId="38" borderId="0" xfId="0" applyFont="1" applyFill="1"/>
    <xf numFmtId="234" fontId="67" fillId="38" borderId="0" xfId="0" applyNumberFormat="1" applyFont="1" applyFill="1"/>
    <xf numFmtId="0" fontId="1" fillId="0" borderId="58" xfId="0" applyFont="1" applyBorder="1"/>
    <xf numFmtId="0" fontId="1" fillId="0" borderId="50" xfId="0" applyFont="1" applyBorder="1"/>
    <xf numFmtId="0" fontId="2" fillId="0" borderId="50" xfId="0" applyFont="1" applyBorder="1"/>
    <xf numFmtId="234" fontId="73" fillId="0" borderId="50" xfId="0" applyNumberFormat="1" applyFont="1" applyBorder="1"/>
    <xf numFmtId="0" fontId="1" fillId="0" borderId="59" xfId="0" applyFont="1" applyBorder="1"/>
    <xf numFmtId="49" fontId="63" fillId="0" borderId="0" xfId="187" quotePrefix="1" applyNumberFormat="1" applyFont="1" applyAlignment="1">
      <alignment horizontal="left" vertical="center"/>
    </xf>
    <xf numFmtId="227" fontId="63" fillId="35" borderId="0" xfId="187" applyNumberFormat="1" applyFont="1" applyFill="1" applyAlignment="1">
      <alignment horizontal="right" vertical="center"/>
    </xf>
    <xf numFmtId="227" fontId="63" fillId="35" borderId="0" xfId="187" applyNumberFormat="1" applyFont="1" applyFill="1" applyAlignment="1">
      <alignment vertical="center"/>
    </xf>
    <xf numFmtId="241" fontId="63" fillId="0" borderId="0" xfId="187" applyNumberFormat="1" applyFont="1" applyAlignment="1">
      <alignment horizontal="right" vertical="center"/>
    </xf>
    <xf numFmtId="229" fontId="106" fillId="0" borderId="0" xfId="0" quotePrefix="1" applyNumberFormat="1" applyFont="1" applyAlignment="1">
      <alignment horizontal="left"/>
    </xf>
    <xf numFmtId="229" fontId="34" fillId="0" borderId="28" xfId="0" quotePrefix="1" applyNumberFormat="1" applyFont="1" applyBorder="1" applyAlignment="1">
      <alignment horizontal="left"/>
    </xf>
    <xf numFmtId="227" fontId="34" fillId="0" borderId="28" xfId="0" quotePrefix="1" applyNumberFormat="1" applyFont="1" applyBorder="1" applyAlignment="1">
      <alignment horizontal="right"/>
    </xf>
    <xf numFmtId="243" fontId="34" fillId="0" borderId="28" xfId="0" quotePrefix="1" applyNumberFormat="1" applyFont="1" applyBorder="1" applyAlignment="1">
      <alignment horizontal="right"/>
    </xf>
    <xf numFmtId="227" fontId="63" fillId="0" borderId="4" xfId="187" applyNumberFormat="1" applyFont="1" applyBorder="1" applyAlignment="1">
      <alignment vertical="center"/>
    </xf>
    <xf numFmtId="229" fontId="34" fillId="35" borderId="34" xfId="0" quotePrefix="1" applyNumberFormat="1" applyFont="1" applyFill="1" applyBorder="1" applyAlignment="1">
      <alignment horizontal="left"/>
    </xf>
    <xf numFmtId="227" fontId="34" fillId="35" borderId="33" xfId="0" quotePrefix="1" applyNumberFormat="1" applyFont="1" applyFill="1" applyBorder="1" applyAlignment="1">
      <alignment horizontal="right"/>
    </xf>
    <xf numFmtId="243" fontId="34" fillId="35" borderId="33" xfId="0" quotePrefix="1" applyNumberFormat="1" applyFont="1" applyFill="1" applyBorder="1" applyAlignment="1">
      <alignment horizontal="right"/>
    </xf>
    <xf numFmtId="243" fontId="34" fillId="35" borderId="39" xfId="0" quotePrefix="1" applyNumberFormat="1" applyFont="1" applyFill="1" applyBorder="1" applyAlignment="1">
      <alignment horizontal="right"/>
    </xf>
    <xf numFmtId="227" fontId="63" fillId="0" borderId="53" xfId="187" applyNumberFormat="1" applyFont="1" applyBorder="1" applyAlignment="1">
      <alignment vertical="center"/>
    </xf>
    <xf numFmtId="227" fontId="63" fillId="0" borderId="54" xfId="187" applyNumberFormat="1" applyFont="1" applyBorder="1" applyAlignment="1">
      <alignment vertical="center"/>
    </xf>
    <xf numFmtId="227" fontId="63" fillId="0" borderId="55" xfId="187" applyNumberFormat="1" applyFont="1" applyBorder="1" applyAlignment="1">
      <alignment vertical="center"/>
    </xf>
    <xf numFmtId="227" fontId="63" fillId="0" borderId="56" xfId="187" applyNumberFormat="1" applyFont="1" applyBorder="1" applyAlignment="1">
      <alignment vertical="center"/>
    </xf>
    <xf numFmtId="227" fontId="63" fillId="0" borderId="57" xfId="187" applyNumberFormat="1" applyFont="1" applyBorder="1" applyAlignment="1">
      <alignment vertical="center"/>
    </xf>
    <xf numFmtId="227" fontId="34" fillId="31" borderId="0" xfId="0" applyNumberFormat="1" applyFont="1" applyFill="1" applyAlignment="1">
      <alignment horizontal="left"/>
    </xf>
    <xf numFmtId="227" fontId="63" fillId="31" borderId="0" xfId="0" applyNumberFormat="1" applyFont="1" applyFill="1"/>
    <xf numFmtId="227" fontId="63" fillId="31" borderId="0" xfId="0" applyNumberFormat="1" applyFont="1" applyFill="1" applyAlignment="1">
      <alignment horizontal="right"/>
    </xf>
    <xf numFmtId="229" fontId="68" fillId="31" borderId="0" xfId="0" quotePrefix="1" applyNumberFormat="1" applyFont="1" applyFill="1" applyAlignment="1">
      <alignment horizontal="center"/>
    </xf>
    <xf numFmtId="229" fontId="6" fillId="0" borderId="0" xfId="0" quotePrefix="1" applyNumberFormat="1" applyFont="1" applyAlignment="1">
      <alignment horizontal="left"/>
    </xf>
    <xf numFmtId="227" fontId="34" fillId="0" borderId="0" xfId="0" applyNumberFormat="1" applyFont="1" applyAlignment="1">
      <alignment horizontal="right"/>
    </xf>
    <xf numFmtId="246" fontId="65" fillId="0" borderId="0" xfId="0" quotePrefix="1" applyNumberFormat="1" applyFont="1" applyAlignment="1">
      <alignment horizontal="right"/>
    </xf>
    <xf numFmtId="244" fontId="65" fillId="0" borderId="57" xfId="0" quotePrefix="1" applyNumberFormat="1" applyFont="1" applyBorder="1" applyAlignment="1">
      <alignment horizontal="right"/>
    </xf>
    <xf numFmtId="242" fontId="65" fillId="0" borderId="0" xfId="0" quotePrefix="1" applyNumberFormat="1" applyFont="1" applyAlignment="1">
      <alignment horizontal="right"/>
    </xf>
    <xf numFmtId="227" fontId="6" fillId="0" borderId="0" xfId="0" quotePrefix="1" applyNumberFormat="1" applyFont="1" applyAlignment="1">
      <alignment horizontal="right"/>
    </xf>
    <xf numFmtId="243" fontId="65" fillId="0" borderId="0" xfId="0" quotePrefix="1" applyNumberFormat="1" applyFont="1" applyAlignment="1">
      <alignment horizontal="right"/>
    </xf>
    <xf numFmtId="245" fontId="6" fillId="0" borderId="0" xfId="0" quotePrefix="1" applyNumberFormat="1" applyFont="1" applyAlignment="1">
      <alignment horizontal="right"/>
    </xf>
    <xf numFmtId="244" fontId="65" fillId="0" borderId="61" xfId="0" quotePrefix="1" applyNumberFormat="1" applyFont="1" applyBorder="1" applyAlignment="1">
      <alignment horizontal="right"/>
    </xf>
    <xf numFmtId="243" fontId="34" fillId="35" borderId="62" xfId="0" quotePrefix="1" applyNumberFormat="1" applyFont="1" applyFill="1" applyBorder="1" applyAlignment="1">
      <alignment horizontal="right"/>
    </xf>
    <xf numFmtId="227" fontId="63" fillId="0" borderId="58" xfId="187" applyNumberFormat="1" applyFont="1" applyBorder="1" applyAlignment="1">
      <alignment vertical="center"/>
    </xf>
    <xf numFmtId="227" fontId="63" fillId="0" borderId="50" xfId="187" applyNumberFormat="1" applyFont="1" applyBorder="1" applyAlignment="1">
      <alignment vertical="center"/>
    </xf>
    <xf numFmtId="227" fontId="63" fillId="0" borderId="59" xfId="187" applyNumberFormat="1" applyFont="1" applyBorder="1" applyAlignment="1">
      <alignment vertical="center"/>
    </xf>
    <xf numFmtId="229" fontId="88" fillId="0" borderId="0" xfId="0" quotePrefix="1" applyNumberFormat="1" applyFont="1" applyAlignment="1">
      <alignment horizontal="left"/>
    </xf>
    <xf numFmtId="227" fontId="34" fillId="0" borderId="0" xfId="0" quotePrefix="1" applyNumberFormat="1" applyFont="1"/>
    <xf numFmtId="229" fontId="34" fillId="0" borderId="0" xfId="0" quotePrefix="1" applyNumberFormat="1" applyFont="1"/>
    <xf numFmtId="227" fontId="67" fillId="37" borderId="0" xfId="187" applyNumberFormat="1" applyFont="1" applyFill="1"/>
    <xf numFmtId="227" fontId="67" fillId="0" borderId="0" xfId="187" applyNumberFormat="1" applyFont="1"/>
    <xf numFmtId="227" fontId="101" fillId="0" borderId="33" xfId="187" applyNumberFormat="1" applyFont="1" applyBorder="1"/>
    <xf numFmtId="227" fontId="63" fillId="0" borderId="33" xfId="187" applyNumberFormat="1" applyFont="1" applyBorder="1"/>
    <xf numFmtId="0" fontId="99" fillId="40" borderId="43" xfId="0" applyFont="1" applyFill="1" applyBorder="1"/>
    <xf numFmtId="227" fontId="63" fillId="0" borderId="0" xfId="187" applyNumberFormat="1" applyFont="1"/>
    <xf numFmtId="227" fontId="63" fillId="0" borderId="40" xfId="187" applyNumberFormat="1" applyFont="1" applyBorder="1"/>
    <xf numFmtId="229" fontId="63" fillId="0" borderId="0" xfId="187" quotePrefix="1" applyNumberFormat="1" applyFont="1"/>
    <xf numFmtId="238" fontId="63" fillId="0" borderId="0" xfId="187" applyNumberFormat="1" applyFont="1"/>
    <xf numFmtId="229" fontId="67" fillId="0" borderId="28" xfId="187" quotePrefix="1" applyNumberFormat="1" applyFont="1" applyBorder="1"/>
    <xf numFmtId="227" fontId="67" fillId="0" borderId="28" xfId="187" applyNumberFormat="1" applyFont="1" applyBorder="1"/>
    <xf numFmtId="238" fontId="65" fillId="0" borderId="40" xfId="187" applyNumberFormat="1" applyFont="1" applyBorder="1"/>
    <xf numFmtId="229" fontId="67" fillId="36" borderId="34" xfId="187" quotePrefix="1" applyNumberFormat="1" applyFont="1" applyFill="1" applyBorder="1"/>
    <xf numFmtId="227" fontId="67" fillId="36" borderId="33" xfId="187" applyNumberFormat="1" applyFont="1" applyFill="1" applyBorder="1"/>
    <xf numFmtId="227" fontId="69" fillId="0" borderId="0" xfId="187" applyNumberFormat="1" applyFont="1"/>
    <xf numFmtId="227" fontId="63" fillId="0" borderId="29" xfId="187" applyNumberFormat="1" applyFont="1" applyBorder="1"/>
    <xf numFmtId="227" fontId="63" fillId="0" borderId="28" xfId="187" applyNumberFormat="1" applyFont="1" applyBorder="1"/>
    <xf numFmtId="227" fontId="63" fillId="0" borderId="18" xfId="187" applyNumberFormat="1" applyFont="1" applyBorder="1"/>
    <xf numFmtId="227" fontId="63" fillId="0" borderId="5" xfId="187" applyNumberFormat="1" applyFont="1" applyBorder="1"/>
    <xf numFmtId="227" fontId="63" fillId="0" borderId="23" xfId="187" applyNumberFormat="1" applyFont="1" applyBorder="1"/>
    <xf numFmtId="227" fontId="63" fillId="0" borderId="2" xfId="187" applyNumberFormat="1" applyFont="1" applyBorder="1"/>
    <xf numFmtId="227" fontId="63" fillId="0" borderId="24" xfId="187" applyNumberFormat="1" applyFont="1" applyBorder="1"/>
    <xf numFmtId="239" fontId="65" fillId="0" borderId="42" xfId="187" applyNumberFormat="1" applyFont="1" applyBorder="1" applyAlignment="1">
      <alignment horizontal="center"/>
    </xf>
    <xf numFmtId="239" fontId="65" fillId="0" borderId="7" xfId="187" applyNumberFormat="1" applyFont="1" applyBorder="1" applyAlignment="1">
      <alignment horizontal="center"/>
    </xf>
    <xf numFmtId="227" fontId="63" fillId="0" borderId="27" xfId="187" applyNumberFormat="1" applyFont="1" applyBorder="1"/>
    <xf numFmtId="227" fontId="63" fillId="0" borderId="4" xfId="187" applyNumberFormat="1" applyFont="1" applyBorder="1"/>
    <xf numFmtId="227" fontId="63" fillId="0" borderId="26" xfId="187" applyNumberFormat="1" applyFont="1" applyBorder="1"/>
    <xf numFmtId="10" fontId="63" fillId="0" borderId="28" xfId="1" applyNumberFormat="1" applyFont="1" applyBorder="1"/>
    <xf numFmtId="10" fontId="63" fillId="0" borderId="15" xfId="1" applyNumberFormat="1" applyFont="1" applyBorder="1"/>
    <xf numFmtId="10" fontId="63" fillId="0" borderId="0" xfId="1" applyNumberFormat="1" applyFont="1" applyBorder="1"/>
    <xf numFmtId="10" fontId="63" fillId="0" borderId="5" xfId="1" applyNumberFormat="1" applyFont="1" applyBorder="1"/>
    <xf numFmtId="10" fontId="63" fillId="0" borderId="4" xfId="1" applyNumberFormat="1" applyFont="1" applyBorder="1"/>
    <xf numFmtId="10" fontId="63" fillId="0" borderId="26" xfId="1" applyNumberFormat="1" applyFont="1" applyBorder="1"/>
    <xf numFmtId="229" fontId="63" fillId="31" borderId="4" xfId="187" quotePrefix="1" applyNumberFormat="1" applyFont="1" applyFill="1" applyBorder="1"/>
    <xf numFmtId="227" fontId="63" fillId="31" borderId="4" xfId="187" applyNumberFormat="1" applyFont="1" applyFill="1" applyBorder="1"/>
    <xf numFmtId="227" fontId="63" fillId="31" borderId="63" xfId="187" applyNumberFormat="1" applyFont="1" applyFill="1" applyBorder="1"/>
    <xf numFmtId="226" fontId="67" fillId="31" borderId="64" xfId="187" applyNumberFormat="1" applyFont="1" applyFill="1" applyBorder="1"/>
    <xf numFmtId="226" fontId="63" fillId="0" borderId="41" xfId="187" applyNumberFormat="1" applyFont="1" applyBorder="1"/>
    <xf numFmtId="226" fontId="63" fillId="0" borderId="28" xfId="187" applyNumberFormat="1" applyFont="1" applyBorder="1"/>
    <xf numFmtId="227" fontId="101" fillId="0" borderId="0" xfId="187" applyNumberFormat="1" applyFont="1"/>
    <xf numFmtId="227" fontId="101" fillId="0" borderId="22" xfId="187" applyNumberFormat="1" applyFont="1" applyBorder="1"/>
    <xf numFmtId="227" fontId="63" fillId="0" borderId="22" xfId="187" applyNumberFormat="1" applyFont="1" applyBorder="1"/>
    <xf numFmtId="227" fontId="67" fillId="35" borderId="0" xfId="187" quotePrefix="1" applyNumberFormat="1" applyFont="1" applyFill="1"/>
    <xf numFmtId="227" fontId="67" fillId="35" borderId="0" xfId="187" applyNumberFormat="1" applyFont="1" applyFill="1"/>
    <xf numFmtId="227" fontId="63" fillId="0" borderId="28" xfId="187" quotePrefix="1" applyNumberFormat="1" applyFont="1" applyBorder="1"/>
    <xf numFmtId="241" fontId="65" fillId="0" borderId="28" xfId="187" applyNumberFormat="1" applyFont="1" applyBorder="1"/>
    <xf numFmtId="227" fontId="63" fillId="0" borderId="0" xfId="187" quotePrefix="1" applyNumberFormat="1" applyFont="1"/>
    <xf numFmtId="255" fontId="65" fillId="0" borderId="0" xfId="187" applyNumberFormat="1" applyFont="1"/>
    <xf numFmtId="226" fontId="65" fillId="0" borderId="0" xfId="187" applyNumberFormat="1" applyFont="1"/>
    <xf numFmtId="227" fontId="67" fillId="0" borderId="28" xfId="187" quotePrefix="1" applyNumberFormat="1" applyFont="1" applyBorder="1"/>
    <xf numFmtId="250" fontId="67" fillId="0" borderId="28" xfId="187" applyNumberFormat="1" applyFont="1" applyBorder="1"/>
    <xf numFmtId="241" fontId="65" fillId="0" borderId="0" xfId="187" applyNumberFormat="1" applyFont="1"/>
    <xf numFmtId="255" fontId="6" fillId="0" borderId="28" xfId="187" applyNumberFormat="1" applyFont="1" applyBorder="1"/>
    <xf numFmtId="227" fontId="63" fillId="35" borderId="0" xfId="187" applyNumberFormat="1" applyFont="1" applyFill="1"/>
    <xf numFmtId="255" fontId="6" fillId="0" borderId="0" xfId="187" applyNumberFormat="1" applyFont="1"/>
    <xf numFmtId="241" fontId="6" fillId="0" borderId="28" xfId="187" applyNumberFormat="1" applyFont="1" applyBorder="1"/>
    <xf numFmtId="241" fontId="65" fillId="0" borderId="22" xfId="187" applyNumberFormat="1" applyFont="1" applyBorder="1"/>
    <xf numFmtId="227" fontId="67" fillId="35" borderId="0" xfId="187" applyNumberFormat="1" applyFont="1" applyFill="1" applyAlignment="1">
      <alignment horizontal="left"/>
    </xf>
    <xf numFmtId="227" fontId="67" fillId="35" borderId="0" xfId="187" applyNumberFormat="1" applyFont="1" applyFill="1" applyAlignment="1">
      <alignment horizontal="centerContinuous"/>
    </xf>
    <xf numFmtId="227" fontId="63" fillId="0" borderId="33" xfId="187" quotePrefix="1" applyNumberFormat="1" applyFont="1" applyBorder="1"/>
    <xf numFmtId="229" fontId="63" fillId="0" borderId="33" xfId="187" quotePrefix="1" applyNumberFormat="1" applyFont="1" applyBorder="1" applyAlignment="1">
      <alignment horizontal="right"/>
    </xf>
    <xf numFmtId="232" fontId="63" fillId="0" borderId="0" xfId="187" applyNumberFormat="1" applyFont="1"/>
    <xf numFmtId="241" fontId="63" fillId="0" borderId="0" xfId="187" applyNumberFormat="1" applyFont="1"/>
    <xf numFmtId="255" fontId="63" fillId="0" borderId="0" xfId="187" applyNumberFormat="1" applyFont="1"/>
    <xf numFmtId="227" fontId="67" fillId="36" borderId="44" xfId="187" quotePrefix="1" applyNumberFormat="1" applyFont="1" applyFill="1" applyBorder="1"/>
    <xf numFmtId="227" fontId="67" fillId="36" borderId="45" xfId="187" quotePrefix="1" applyNumberFormat="1" applyFont="1" applyFill="1" applyBorder="1"/>
    <xf numFmtId="255" fontId="67" fillId="36" borderId="45" xfId="187" applyNumberFormat="1" applyFont="1" applyFill="1" applyBorder="1"/>
    <xf numFmtId="241" fontId="67" fillId="36" borderId="46" xfId="187" applyNumberFormat="1" applyFont="1" applyFill="1" applyBorder="1"/>
    <xf numFmtId="227" fontId="67" fillId="36" borderId="45" xfId="187" applyNumberFormat="1" applyFont="1" applyFill="1" applyBorder="1"/>
    <xf numFmtId="256" fontId="63" fillId="0" borderId="0" xfId="187" applyNumberFormat="1" applyFont="1"/>
    <xf numFmtId="0" fontId="63" fillId="0" borderId="33" xfId="187" quotePrefix="1" applyFont="1" applyBorder="1" applyAlignment="1">
      <alignment horizontal="right"/>
    </xf>
    <xf numFmtId="226" fontId="63" fillId="0" borderId="0" xfId="187" applyNumberFormat="1" applyFont="1"/>
    <xf numFmtId="250" fontId="67" fillId="36" borderId="46" xfId="187" applyNumberFormat="1" applyFont="1" applyFill="1" applyBorder="1"/>
    <xf numFmtId="227" fontId="107" fillId="0" borderId="0" xfId="187" applyNumberFormat="1" applyFont="1"/>
    <xf numFmtId="229" fontId="77" fillId="0" borderId="56" xfId="187" quotePrefix="1" applyNumberFormat="1" applyFont="1" applyBorder="1"/>
    <xf numFmtId="257" fontId="63" fillId="0" borderId="0" xfId="0" applyNumberFormat="1" applyFont="1"/>
    <xf numFmtId="251" fontId="109" fillId="0" borderId="0" xfId="195" applyFont="1"/>
    <xf numFmtId="242" fontId="63" fillId="0" borderId="0" xfId="187" applyNumberFormat="1" applyFont="1"/>
    <xf numFmtId="251" fontId="6" fillId="0" borderId="7" xfId="195" applyFont="1" applyBorder="1"/>
    <xf numFmtId="251" fontId="89" fillId="0" borderId="7" xfId="195" applyFont="1" applyBorder="1"/>
    <xf numFmtId="10" fontId="6" fillId="0" borderId="28" xfId="198" applyNumberFormat="1" applyFont="1" applyFill="1" applyBorder="1"/>
    <xf numFmtId="251" fontId="108" fillId="46" borderId="22" xfId="195" applyFont="1" applyFill="1" applyBorder="1"/>
    <xf numFmtId="251" fontId="89" fillId="46" borderId="22" xfId="195" applyFont="1" applyFill="1" applyBorder="1"/>
    <xf numFmtId="226" fontId="6" fillId="0" borderId="28" xfId="187" applyNumberFormat="1" applyFont="1" applyBorder="1"/>
    <xf numFmtId="250" fontId="65" fillId="0" borderId="0" xfId="187" applyNumberFormat="1" applyFont="1" applyAlignment="1">
      <alignment horizontal="right" vertical="center"/>
    </xf>
    <xf numFmtId="0" fontId="63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109" fillId="0" borderId="0" xfId="0" applyFont="1"/>
    <xf numFmtId="9" fontId="65" fillId="33" borderId="7" xfId="0" applyNumberFormat="1" applyFont="1" applyFill="1" applyBorder="1"/>
    <xf numFmtId="9" fontId="65" fillId="44" borderId="7" xfId="0" applyNumberFormat="1" applyFont="1" applyFill="1" applyBorder="1"/>
    <xf numFmtId="10" fontId="6" fillId="45" borderId="28" xfId="198" applyNumberFormat="1" applyFont="1" applyFill="1" applyBorder="1"/>
    <xf numFmtId="230" fontId="67" fillId="35" borderId="4" xfId="187" quotePrefix="1" applyNumberFormat="1" applyFont="1" applyFill="1" applyBorder="1" applyAlignment="1">
      <alignment horizontal="centerContinuous" vertical="center"/>
    </xf>
    <xf numFmtId="227" fontId="68" fillId="35" borderId="4" xfId="187" quotePrefix="1" applyNumberFormat="1" applyFont="1" applyFill="1" applyBorder="1" applyAlignment="1">
      <alignment horizontal="centerContinuous" vertical="center"/>
    </xf>
    <xf numFmtId="0" fontId="96" fillId="0" borderId="0" xfId="0" applyFont="1" applyAlignment="1">
      <alignment vertical="center"/>
    </xf>
    <xf numFmtId="248" fontId="6" fillId="0" borderId="0" xfId="191" applyFont="1"/>
    <xf numFmtId="248" fontId="109" fillId="0" borderId="0" xfId="191" applyFont="1"/>
    <xf numFmtId="0" fontId="6" fillId="0" borderId="0" xfId="0" applyFont="1"/>
    <xf numFmtId="0" fontId="0" fillId="0" borderId="0" xfId="0" applyAlignment="1">
      <alignment vertical="center"/>
    </xf>
    <xf numFmtId="10" fontId="65" fillId="0" borderId="5" xfId="0" applyNumberFormat="1" applyFont="1" applyBorder="1"/>
    <xf numFmtId="9" fontId="65" fillId="0" borderId="5" xfId="1" applyFont="1" applyBorder="1"/>
    <xf numFmtId="10" fontId="63" fillId="0" borderId="5" xfId="0" applyNumberFormat="1" applyFont="1" applyBorder="1"/>
    <xf numFmtId="0" fontId="63" fillId="0" borderId="34" xfId="0" applyFont="1" applyBorder="1"/>
    <xf numFmtId="0" fontId="63" fillId="0" borderId="33" xfId="0" applyFont="1" applyBorder="1"/>
    <xf numFmtId="10" fontId="63" fillId="0" borderId="39" xfId="0" applyNumberFormat="1" applyFont="1" applyBorder="1"/>
    <xf numFmtId="248" fontId="61" fillId="49" borderId="18" xfId="191" applyFill="1" applyBorder="1"/>
    <xf numFmtId="248" fontId="61" fillId="49" borderId="42" xfId="191" applyFill="1" applyBorder="1"/>
    <xf numFmtId="248" fontId="61" fillId="50" borderId="29" xfId="191" applyFill="1" applyBorder="1"/>
    <xf numFmtId="248" fontId="81" fillId="50" borderId="7" xfId="191" applyFont="1" applyFill="1" applyBorder="1" applyAlignment="1">
      <alignment horizontal="center"/>
    </xf>
    <xf numFmtId="225" fontId="61" fillId="51" borderId="7" xfId="191" applyNumberFormat="1" applyFill="1" applyBorder="1" applyAlignment="1">
      <alignment horizontal="center"/>
    </xf>
    <xf numFmtId="248" fontId="61" fillId="51" borderId="7" xfId="191" applyFill="1" applyBorder="1" applyAlignment="1">
      <alignment horizontal="center"/>
    </xf>
    <xf numFmtId="251" fontId="89" fillId="52" borderId="28" xfId="195" applyFont="1" applyFill="1" applyBorder="1"/>
    <xf numFmtId="0" fontId="63" fillId="48" borderId="34" xfId="0" applyFont="1" applyFill="1" applyBorder="1" applyAlignment="1">
      <alignment horizontal="center"/>
    </xf>
    <xf numFmtId="0" fontId="63" fillId="48" borderId="39" xfId="0" applyFont="1" applyFill="1" applyBorder="1" applyAlignment="1">
      <alignment horizontal="center"/>
    </xf>
    <xf numFmtId="226" fontId="63" fillId="0" borderId="7" xfId="0" applyNumberFormat="1" applyFont="1" applyBorder="1" applyAlignment="1">
      <alignment horizontal="center"/>
    </xf>
    <xf numFmtId="0" fontId="63" fillId="0" borderId="7" xfId="0" applyFont="1" applyBorder="1" applyAlignment="1">
      <alignment horizontal="center"/>
    </xf>
    <xf numFmtId="225" fontId="67" fillId="0" borderId="7" xfId="0" applyNumberFormat="1" applyFont="1" applyBorder="1" applyAlignment="1">
      <alignment horizontal="center"/>
    </xf>
    <xf numFmtId="0" fontId="67" fillId="0" borderId="7" xfId="0" applyFont="1" applyBorder="1" applyAlignment="1">
      <alignment horizontal="center"/>
    </xf>
    <xf numFmtId="0" fontId="67" fillId="0" borderId="4" xfId="0" applyFont="1" applyBorder="1" applyAlignment="1">
      <alignment horizontal="center"/>
    </xf>
    <xf numFmtId="0" fontId="34" fillId="31" borderId="0" xfId="0" applyFont="1" applyFill="1" applyAlignment="1">
      <alignment horizontal="center"/>
    </xf>
    <xf numFmtId="0" fontId="69" fillId="0" borderId="0" xfId="0" applyFont="1" applyAlignment="1">
      <alignment horizontal="center" vertical="center"/>
    </xf>
    <xf numFmtId="0" fontId="69" fillId="0" borderId="4" xfId="0" applyFont="1" applyBorder="1" applyAlignment="1">
      <alignment horizontal="center" vertical="center"/>
    </xf>
    <xf numFmtId="0" fontId="69" fillId="0" borderId="0" xfId="0" applyFont="1" applyAlignment="1">
      <alignment horizontal="center" vertical="center" wrapText="1"/>
    </xf>
    <xf numFmtId="0" fontId="67" fillId="0" borderId="0" xfId="0" applyFont="1" applyAlignment="1">
      <alignment horizontal="center"/>
    </xf>
    <xf numFmtId="0" fontId="3" fillId="0" borderId="43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227" fontId="63" fillId="0" borderId="0" xfId="187" quotePrefix="1" applyNumberFormat="1" applyFont="1" applyAlignment="1">
      <alignment horizontal="left" vertical="top" wrapText="1"/>
    </xf>
    <xf numFmtId="258" fontId="89" fillId="0" borderId="34" xfId="195" applyNumberFormat="1" applyFont="1" applyBorder="1" applyAlignment="1">
      <alignment horizontal="center" vertical="center"/>
    </xf>
    <xf numFmtId="258" fontId="89" fillId="0" borderId="39" xfId="195" applyNumberFormat="1" applyFont="1" applyBorder="1" applyAlignment="1">
      <alignment horizontal="center" vertical="center"/>
    </xf>
    <xf numFmtId="10" fontId="110" fillId="0" borderId="34" xfId="195" applyNumberFormat="1" applyFont="1" applyBorder="1" applyAlignment="1">
      <alignment horizontal="center" vertical="center"/>
    </xf>
    <xf numFmtId="10" fontId="110" fillId="0" borderId="39" xfId="195" applyNumberFormat="1" applyFont="1" applyBorder="1" applyAlignment="1">
      <alignment horizontal="center" vertical="center"/>
    </xf>
    <xf numFmtId="10" fontId="89" fillId="0" borderId="34" xfId="1" applyNumberFormat="1" applyFont="1" applyBorder="1" applyAlignment="1">
      <alignment horizontal="center"/>
    </xf>
    <xf numFmtId="10" fontId="89" fillId="0" borderId="39" xfId="1" applyNumberFormat="1" applyFont="1" applyBorder="1" applyAlignment="1">
      <alignment horizontal="center"/>
    </xf>
  </cellXfs>
  <cellStyles count="199">
    <cellStyle name="$" xfId="2" xr:uid="{1EF6A63B-1589-4DE2-B746-10C7B5C13A51}"/>
    <cellStyle name="$m" xfId="3" xr:uid="{24C943AA-2F26-44BE-939F-8E32278305F6}"/>
    <cellStyle name="$q" xfId="4" xr:uid="{53452553-5F8B-4BCC-AA22-885F822BD017}"/>
    <cellStyle name="$q*" xfId="5" xr:uid="{18881397-7891-40B3-A6F9-190293A88D96}"/>
    <cellStyle name="$q_valuation" xfId="6" xr:uid="{485C0FD5-44E1-4553-871D-F5FD34F1557A}"/>
    <cellStyle name="$qA" xfId="7" xr:uid="{3F69DBAE-1A08-4698-9C12-24C4769D7741}"/>
    <cellStyle name="$qRange" xfId="8" xr:uid="{9D2FD4B8-B95B-4787-A3D9-33EA93743BDE}"/>
    <cellStyle name="%" xfId="9" xr:uid="{1F4722AE-7649-4DC2-9015-3522634E8A37}"/>
    <cellStyle name="******************************************" xfId="10" xr:uid="{7362B49D-F17E-4A91-B92A-0CBC156D94BE}"/>
    <cellStyle name="2 Decimal Places_MA Software Comps - List_AccretionDilution OTGS v16.xls Chart 1" xfId="11" xr:uid="{81E1C12F-5A91-4C53-A025-44DC00A75E98}"/>
    <cellStyle name="20% - Accent1 2" xfId="12" xr:uid="{1F8005FC-FC13-4EC9-A8C7-61A3CC62656D}"/>
    <cellStyle name="20% - Accent2 2" xfId="13" xr:uid="{292FBD9C-FFE1-41C3-96A8-5B8B8FB773CC}"/>
    <cellStyle name="20% - Accent3 2" xfId="14" xr:uid="{CF29FC30-9F0C-4A18-8FD9-0B6A93E89C13}"/>
    <cellStyle name="20% - Accent4 2" xfId="15" xr:uid="{DD62B928-4658-4277-B3C7-AD7DC35BD6CA}"/>
    <cellStyle name="20% - Accent5 2" xfId="16" xr:uid="{63B2FF4E-F684-418F-8619-5B1A6D475D1A}"/>
    <cellStyle name="20% - Accent6 2" xfId="17" xr:uid="{B2209B08-187B-488E-8A6F-BF4F6D8FA17C}"/>
    <cellStyle name="40% - Accent1 2" xfId="18" xr:uid="{B11ADFC6-820D-4796-9D06-ED79A0E50067}"/>
    <cellStyle name="40% - Accent2 2" xfId="19" xr:uid="{23FBF69F-02C0-4A3E-B259-63924139E849}"/>
    <cellStyle name="40% - Accent3 2" xfId="20" xr:uid="{CBA95477-CCB3-4C85-BA65-5580E4494B9B}"/>
    <cellStyle name="40% - Accent4 2" xfId="21" xr:uid="{7E877696-2AF3-4F88-A36A-92DB92EC01DA}"/>
    <cellStyle name="40% - Accent5 2" xfId="22" xr:uid="{B6DA3FCE-AD9C-4AB2-9F9F-04264EA1D845}"/>
    <cellStyle name="40% - Accent6 2" xfId="23" xr:uid="{7D67AAEF-186F-463F-AA76-89D3F904FB7C}"/>
    <cellStyle name="60% - Accent1 2" xfId="24" xr:uid="{FF7B357C-6894-40ED-BAFC-9C7825DCCB5B}"/>
    <cellStyle name="60% - Accent2 2" xfId="25" xr:uid="{A56DD570-BF0F-48C2-AF1D-B3CFFE29E881}"/>
    <cellStyle name="60% - Accent3 2" xfId="26" xr:uid="{1F4A0740-ECA8-44F6-9E18-2FC15D85F20B}"/>
    <cellStyle name="60% - Accent4 2" xfId="27" xr:uid="{75F0ACC4-EFC7-4952-B232-20C1C40E4B83}"/>
    <cellStyle name="60% - Accent5 2" xfId="28" xr:uid="{F2C07563-B170-4379-8485-B10388D546D8}"/>
    <cellStyle name="60% - Accent6 2" xfId="29" xr:uid="{B08946E6-5A22-42C8-A913-866A263C49E1}"/>
    <cellStyle name="Accent1 2" xfId="30" xr:uid="{F0ED7C1F-95DC-419F-8AC9-4C23AE7BC62F}"/>
    <cellStyle name="Accent2 2" xfId="31" xr:uid="{D125F2C0-F873-4480-B623-F531B360860E}"/>
    <cellStyle name="Accent3 2" xfId="32" xr:uid="{3ECBA8D8-5952-442A-889D-F8068B188E11}"/>
    <cellStyle name="Accent4 2" xfId="33" xr:uid="{5A35AA73-6492-4F18-85DA-1B82DE3FE241}"/>
    <cellStyle name="Accent5 2" xfId="34" xr:uid="{4C694F25-8DD7-4D28-BF17-CBBF1331F2C7}"/>
    <cellStyle name="Accent6 2" xfId="35" xr:uid="{41A5E67E-F65F-4FDB-AF68-0C5F405DDB9C}"/>
    <cellStyle name="AFE" xfId="36" xr:uid="{6CB3CD94-5AEA-43A1-92AA-8470C6DCB441}"/>
    <cellStyle name="Bad 2" xfId="37" xr:uid="{247A3335-955B-4FF3-BB12-2E3361ECD0F4}"/>
    <cellStyle name="Balance" xfId="38" xr:uid="{EDD017A2-27BF-4DB3-9E4B-550921D79A77}"/>
    <cellStyle name="BalanceSheet" xfId="39" xr:uid="{57A9562D-D644-4ADF-AD01-3AD0449659F3}"/>
    <cellStyle name="Body_$Numeric" xfId="40" xr:uid="{7D67F9FA-DC09-48E1-ADAA-6BC766A0DA76}"/>
    <cellStyle name="Bold Header" xfId="41" xr:uid="{5763A62B-926B-4FF6-B052-DA11A2B2155D}"/>
    <cellStyle name="Calculation 2" xfId="42" xr:uid="{97A828DD-2366-404B-89B9-C554331BEB7C}"/>
    <cellStyle name="CashFlow" xfId="43" xr:uid="{9C492E30-E1AE-4C28-9DF9-BFA0E08B692A}"/>
    <cellStyle name="Check" xfId="44" xr:uid="{42D1406D-521B-4C9D-9C4C-5A528CFFEC39}"/>
    <cellStyle name="Check Cell 2" xfId="45" xr:uid="{6AF6C1A7-6F27-4437-A082-B1392C2CFB9D}"/>
    <cellStyle name="ColHeading" xfId="46" xr:uid="{10A49F8B-0693-45B0-A39A-D7539C7002E6}"/>
    <cellStyle name="colheadleft" xfId="47" xr:uid="{4B60B51C-5ADE-4EA2-A3B9-4DF01ED074FA}"/>
    <cellStyle name="colheadright" xfId="48" xr:uid="{89518E62-311B-4694-A3AE-A3A55202F3CE}"/>
    <cellStyle name="Comma 2" xfId="49" xr:uid="{5E34EA82-C857-4217-808B-B6D01460FFD3}"/>
    <cellStyle name="Comma 3" xfId="197" xr:uid="{24C3C8F9-0F68-441E-AD88-1F2B2A9F6D2E}"/>
    <cellStyle name="Comma_base case model 9-13-99" xfId="196" xr:uid="{84C3B5D8-8C36-4958-B2A9-E5D9BDAB6FD8}"/>
    <cellStyle name="Comma0" xfId="50" xr:uid="{EA91B6C4-8A42-40D2-8734-DB195377AE03}"/>
    <cellStyle name="Comma2" xfId="51" xr:uid="{BBAE7209-1997-4332-9CEB-91829B392517}"/>
    <cellStyle name="Company" xfId="52" xr:uid="{E07A1DA0-ADA0-4F91-8732-C6E22552EEA9}"/>
    <cellStyle name="CurRatio" xfId="53" xr:uid="{7C0CCC2E-91C3-4091-ADF4-3778635F7F7D}"/>
    <cellStyle name="Currency [1]" xfId="54" xr:uid="{FF8C7CE9-4CD2-4084-B625-E54B39861B2F}"/>
    <cellStyle name="Currency [2]" xfId="55" xr:uid="{416B8921-AE81-4C9A-AE23-B7CBDBA6BBEB}"/>
    <cellStyle name="Currency0" xfId="56" xr:uid="{51FD782C-52F4-42D4-AC85-A61B409BDF46}"/>
    <cellStyle name="Currency2" xfId="57" xr:uid="{8430BD7F-6145-4D58-88F3-156C8934A13A}"/>
    <cellStyle name="d_yield" xfId="58" xr:uid="{DDB16BF7-D1AA-4012-84DC-86E3133BFADF}"/>
    <cellStyle name="d_yield_CW's MAKER MODEL" xfId="59" xr:uid="{D79C0D7D-5001-4027-872B-EC5A4539579F}"/>
    <cellStyle name="d_yield_valuation" xfId="60" xr:uid="{877913D3-C9AE-46C6-B13F-38D461B1E61B}"/>
    <cellStyle name="Date [d-mmm-yy]" xfId="61" xr:uid="{37D5A7BF-3D13-43FC-B86B-0BFA71744B3D}"/>
    <cellStyle name="Date [mmm-d-yyyy]" xfId="62" xr:uid="{BF51DA58-04DA-4B7F-B6B8-FFAFD9CE5F75}"/>
    <cellStyle name="Date [mmm-yyyy]" xfId="63" xr:uid="{B72BEC36-91AA-4546-B8F5-1A7E7786E0EA}"/>
    <cellStyle name="Dates" xfId="64" xr:uid="{A1DF02B7-61F0-439A-BCAB-6D905682AA72}"/>
    <cellStyle name="DateYear" xfId="65" xr:uid="{60874462-9693-4DEE-B90E-DF709FB9FD02}"/>
    <cellStyle name="Dezimal_Capital expenditure planning FY 2000" xfId="66" xr:uid="{9A177384-B41C-489F-89D7-9073A9478587}"/>
    <cellStyle name="Dollar" xfId="67" xr:uid="{08F21392-B86C-4680-BAC6-A644A0EEA780}"/>
    <cellStyle name="Dollars" xfId="68" xr:uid="{AC6A0365-BFEF-410C-A61D-C66FE42FFE7C}"/>
    <cellStyle name="DollarWhole" xfId="69" xr:uid="{3A7A86F5-6B97-463B-A2E2-228A483EF5CE}"/>
    <cellStyle name="eps" xfId="70" xr:uid="{7A788652-1301-4E9A-8441-C41D5F00F39F}"/>
    <cellStyle name="eps$" xfId="71" xr:uid="{BA019FEC-7BE3-4AE3-B464-C0BB9F5210C9}"/>
    <cellStyle name="eps$A" xfId="72" xr:uid="{D4222395-09BD-42DD-B5B8-06BB506F917D}"/>
    <cellStyle name="eps$E" xfId="73" xr:uid="{7F4ECDF3-D716-41E4-8403-E8E6D6C81341}"/>
    <cellStyle name="eps_CW's MAKER MODEL" xfId="74" xr:uid="{012FC517-45C0-49A2-AA0A-EC9D95E1FAA2}"/>
    <cellStyle name="epsA" xfId="75" xr:uid="{E67B1992-68C9-441D-9E20-51948D218491}"/>
    <cellStyle name="EPSActual" xfId="76" xr:uid="{F466F5EF-CA38-49DE-BE70-3370621AB802}"/>
    <cellStyle name="epsE" xfId="77" xr:uid="{7680269B-63D6-4489-9503-37FE662B344A}"/>
    <cellStyle name="EPSEstimate" xfId="78" xr:uid="{953127BC-AB61-46AD-9E36-9227A877BFE3}"/>
    <cellStyle name="Euro" xfId="79" xr:uid="{B1599D34-1F47-4323-8C7E-E0B3B54DF261}"/>
    <cellStyle name="Explanatory Text 2" xfId="80" xr:uid="{296A1928-2EA7-4562-871C-5062D6DFDE0C}"/>
    <cellStyle name="fy_eps$" xfId="81" xr:uid="{85FAADD0-F411-4D2A-900C-55D543CEFBA0}"/>
    <cellStyle name="g_rate" xfId="82" xr:uid="{F6CEFBE9-8A90-4749-B815-CAE3B8AAFDF8}"/>
    <cellStyle name="g_rate_CW's MAKER MODEL" xfId="83" xr:uid="{45568AA4-9495-45B3-BA9F-C43C8E1485C7}"/>
    <cellStyle name="g_rate_valuation" xfId="84" xr:uid="{3C4A8348-9816-4518-822F-C1EF803EF171}"/>
    <cellStyle name="General" xfId="85" xr:uid="{A8F05449-A1CA-4360-98D4-43BF39CF34C1}"/>
    <cellStyle name="Good 2" xfId="86" xr:uid="{45B8B604-2C51-4B22-9B74-9ECC68A8FF14}"/>
    <cellStyle name="GrowthRate" xfId="87" xr:uid="{6E55FB9A-BC70-4CBB-8EF8-F95D8080987D}"/>
    <cellStyle name="GrowthSeq" xfId="88" xr:uid="{A345E084-8A05-4942-A2C0-20741BF1FFB4}"/>
    <cellStyle name="Hard Number Input" xfId="89" xr:uid="{1E14EED9-D0DA-44A2-8AE8-95788D8581DD}"/>
    <cellStyle name="Heading 1 2" xfId="90" xr:uid="{3263D4A5-6870-4ABE-9A94-305B208B9C9F}"/>
    <cellStyle name="Heading 2 2" xfId="91" xr:uid="{53078EDA-4549-4DE2-94BF-9F4A4016F431}"/>
    <cellStyle name="Heading 3 2" xfId="92" xr:uid="{8D7DBE60-B53A-4EE9-9664-192C44E230B1}"/>
    <cellStyle name="Heading 4 2" xfId="93" xr:uid="{2541A39C-D0D3-479A-A87D-7B968870CA7A}"/>
    <cellStyle name="Hist Proj Title" xfId="192" xr:uid="{B9A598BF-5097-4B07-BE7B-3E2BB2979CD9}"/>
    <cellStyle name="Historical Number" xfId="94" xr:uid="{8EE64900-A194-4853-B624-6EF5A7A50A6E}"/>
    <cellStyle name="iemens" xfId="95" xr:uid="{E99EBB61-B8B4-45AD-B97B-994DD5F988BA}"/>
    <cellStyle name="Income" xfId="96" xr:uid="{F6157B1D-CCD2-489B-A927-834C945CB019}"/>
    <cellStyle name="IncomeStatement" xfId="97" xr:uid="{850C0EB1-EA7D-4778-BF6C-DDA795FEB507}"/>
    <cellStyle name="Input 2" xfId="98" xr:uid="{2B75E19F-9140-4956-9686-5FC3BAEB49A1}"/>
    <cellStyle name="Input Fixed [0]" xfId="99" xr:uid="{3D259CA4-1345-4232-A6E9-5E6E124556A5}"/>
    <cellStyle name="Integer" xfId="100" xr:uid="{14917D47-03B1-4CDE-9F1C-5BD45515B363}"/>
    <cellStyle name="Inverse Header" xfId="101" xr:uid="{C7094ECC-821D-4169-9079-DA4E0F148952}"/>
    <cellStyle name="Item" xfId="102" xr:uid="{D13A933D-36CB-4102-BC2F-28407C06FB5F}"/>
    <cellStyle name="ItemTypeClass" xfId="103" xr:uid="{950728D0-FB79-401B-9444-E65282F04368}"/>
    <cellStyle name="Linked Cell 2" xfId="104" xr:uid="{FD263E32-D511-4527-91E7-20B4112764E3}"/>
    <cellStyle name="LTGR" xfId="105" xr:uid="{7E8BAC97-4F25-4045-91EB-92EF0710713D}"/>
    <cellStyle name="m" xfId="106" xr:uid="{7A5AF503-C56F-4606-9BE1-3B959A052983}"/>
    <cellStyle name="m$" xfId="107" xr:uid="{3476DC25-2308-4E2B-BF8E-7F64800EF2D2}"/>
    <cellStyle name="m_CW's MAKER MODEL" xfId="108" xr:uid="{8B06D2EE-97A6-4193-BF1F-D4EC49FF718A}"/>
    <cellStyle name="m_valuation" xfId="109" xr:uid="{D715DA00-5391-4AFE-9B79-B0D76B320724}"/>
    <cellStyle name="Margin" xfId="110" xr:uid="{DA5C84D3-C3D1-417E-BBA3-095D861E2051}"/>
    <cellStyle name="Margins" xfId="111" xr:uid="{BD1A017E-89DF-4D8A-AB70-7C5EB2687609}"/>
    <cellStyle name="mm" xfId="112" xr:uid="{F2D6BB4E-C1F5-455D-8069-8C4EEECAAFFD}"/>
    <cellStyle name="Multiple" xfId="113" xr:uid="{8D8153B7-5BED-49DF-A9CA-C1D814837982}"/>
    <cellStyle name="NA is zero" xfId="114" xr:uid="{8A12347D-D801-454D-8648-D3BE6F8ADCA8}"/>
    <cellStyle name="Neutral 2" xfId="115" xr:uid="{853AC2F0-F648-4E21-B51B-43B0204BFECF}"/>
    <cellStyle name="Normal" xfId="0" builtinId="0"/>
    <cellStyle name="Normal [0]" xfId="116" xr:uid="{7CB56019-82D2-405B-845B-625C5C7376F5}"/>
    <cellStyle name="Normal [1]" xfId="117" xr:uid="{71B27346-6AD1-43F8-8D84-812AA43946EA}"/>
    <cellStyle name="Normal [2]" xfId="118" xr:uid="{FD36D579-7CF8-417B-8775-1F8D59A73DCD}"/>
    <cellStyle name="Normal [3]" xfId="119" xr:uid="{155A04A5-459B-4B4E-BD6E-69918B42C19B}"/>
    <cellStyle name="Normal 2" xfId="120" xr:uid="{2867F932-C15D-4983-A718-2D2677AE90A6}"/>
    <cellStyle name="Normal 3" xfId="187" xr:uid="{81188D92-101B-4B0B-AD36-40BD74F29482}"/>
    <cellStyle name="Normal 3 2" xfId="189" xr:uid="{F6FE2615-94A2-49FE-A545-AE646FA1C84C}"/>
    <cellStyle name="Normal 4" xfId="188" xr:uid="{BF38F3DB-9AAE-41F1-BD11-7B0851BC1182}"/>
    <cellStyle name="Normal 5" xfId="191" xr:uid="{AF73841B-049F-4C69-9CE5-5CA4AF157936}"/>
    <cellStyle name="Normal Bold" xfId="121" xr:uid="{52D4EA1D-2F71-47F2-939A-0A94866A8D70}"/>
    <cellStyle name="Normal Pct" xfId="122" xr:uid="{45413DC1-AC27-4A12-9D99-1EF9837C0C2C}"/>
    <cellStyle name="Normal_base case model 9-13-99" xfId="195" xr:uid="{22157AA7-BEF4-4DF2-B870-B8D424B85E51}"/>
    <cellStyle name="NormalX" xfId="123" xr:uid="{5F295112-673E-4DCD-82C4-896BA14F4067}"/>
    <cellStyle name="Note 2" xfId="124" xr:uid="{FCC0364D-31F8-4F03-B9FC-7FF5C27CA4C6}"/>
    <cellStyle name="NPPESalesPct" xfId="125" xr:uid="{A8A6005B-788B-4A9E-8A89-D35B98208E4D}"/>
    <cellStyle name="Number" xfId="126" xr:uid="{ECF1DA9B-7B04-4F2B-9E91-26C8E8965D34}"/>
    <cellStyle name="NWI%S" xfId="127" xr:uid="{EB071CD2-58BC-41C4-903A-FAE7BA632FEC}"/>
    <cellStyle name="Output 2" xfId="128" xr:uid="{808FEB26-4EBF-4E70-B6A2-026FB354CA3A}"/>
    <cellStyle name="P/E" xfId="129" xr:uid="{6346BEC0-4053-4541-836F-D8F5E9F8840B}"/>
    <cellStyle name="Palatino" xfId="130" xr:uid="{D433F881-8B05-4705-A98D-3F0F93602020}"/>
    <cellStyle name="pc1" xfId="131" xr:uid="{90300F73-E11B-4E1D-A703-0A13E75994DD}"/>
    <cellStyle name="pe" xfId="132" xr:uid="{373D3F06-93DA-478C-9ED6-115F94B88FFA}"/>
    <cellStyle name="PE/LTGR" xfId="133" xr:uid="{77743E4F-39D5-4822-BA66-A3CE57C319FB}"/>
    <cellStyle name="PEG" xfId="134" xr:uid="{79A0F109-0547-4D38-A921-3C59624D4865}"/>
    <cellStyle name="Percent" xfId="1" builtinId="5"/>
    <cellStyle name="Percent [0]" xfId="135" xr:uid="{9E2F64B2-49C7-4FE0-B2CE-A60CD4418C49}"/>
    <cellStyle name="Percent [1]" xfId="136" xr:uid="{6CB2426F-8D07-4D04-913F-120C0AC0FBFF}"/>
    <cellStyle name="Percent [2]" xfId="137" xr:uid="{C01082F6-8660-45AF-9431-3E06E0A1C80C}"/>
    <cellStyle name="Percent 2" xfId="198" xr:uid="{6CA51B8E-5577-4437-BC12-15812EBA6630}"/>
    <cellStyle name="PercentChange" xfId="138" xr:uid="{B73848EE-7B8E-4716-A067-8F5EF2570849}"/>
    <cellStyle name="PercentPresentation" xfId="139" xr:uid="{D4E408F2-8D39-4888-97E9-D360985A46A2}"/>
    <cellStyle name="PerShare" xfId="140" xr:uid="{94BD4D3E-FB87-4BB4-AFC9-6621379491DD}"/>
    <cellStyle name="POPS" xfId="141" xr:uid="{22241785-0E4B-45A2-A660-652E2859CABC}"/>
    <cellStyle name="Presentation" xfId="142" xr:uid="{02120184-A6DA-4A30-993A-4D67C77A9516}"/>
    <cellStyle name="PresentationZero" xfId="143" xr:uid="{AC504331-03A6-4DA6-9CEB-68F775D89FDC}"/>
    <cellStyle name="price" xfId="144" xr:uid="{10FEAC4B-FF2E-420B-A0F8-881832748E31}"/>
    <cellStyle name="Primary Title" xfId="190" xr:uid="{7B571C55-F08B-4F71-939A-91B3487333CC}"/>
    <cellStyle name="q" xfId="145" xr:uid="{DBB01FAC-FD30-4447-8607-2F954142D91D}"/>
    <cellStyle name="q_CW's MAKER MODEL" xfId="146" xr:uid="{EB9F693F-1B72-431E-A630-1BA7663D6112}"/>
    <cellStyle name="QEPS-h" xfId="147" xr:uid="{53883C3B-851E-401B-A948-F8896715BEB8}"/>
    <cellStyle name="QEPS-H1" xfId="148" xr:uid="{A5D4B8CC-88BF-44CA-A3DB-0C251E6D1087}"/>
    <cellStyle name="qRange" xfId="149" xr:uid="{67A62237-D114-46DF-AD41-B99A5F9B72A8}"/>
    <cellStyle name="range" xfId="150" xr:uid="{3032B8F6-C493-4486-8DF3-EAB5892BF89D}"/>
    <cellStyle name="RatioX" xfId="151" xr:uid="{EA5BAE38-D2DB-4A4F-B580-68433390585D}"/>
    <cellStyle name="Report" xfId="152" xr:uid="{99E0CF89-E516-4F34-921B-2635C9824D7C}"/>
    <cellStyle name="Right" xfId="153" xr:uid="{094ECDB6-CAA4-4798-BE9F-F2B86CAEC579}"/>
    <cellStyle name="Row Label" xfId="194" xr:uid="{3C116CC7-1935-4D17-A8CD-64DA13762AE0}"/>
    <cellStyle name="SectionHeading" xfId="154" xr:uid="{941ABC43-8E46-4438-A9BD-E8742FE57154}"/>
    <cellStyle name="Shares" xfId="155" xr:uid="{C8B7A84E-57A4-4C5C-822F-83C18C185468}"/>
    <cellStyle name="StockPrice" xfId="156" xr:uid="{5F944627-BA47-484A-B1B9-7E044601F818}"/>
    <cellStyle name="Style 1" xfId="157" xr:uid="{1F7BDBCE-6D90-4A20-BD49-9D00EAA7F370}"/>
    <cellStyle name="Style 21" xfId="158" xr:uid="{DB8C5A1B-FDE5-45EC-9327-E1B7A49BFC48}"/>
    <cellStyle name="Style 22" xfId="159" xr:uid="{520D041C-0955-443A-B018-401DD1E6FE29}"/>
    <cellStyle name="Style 23" xfId="160" xr:uid="{4D381D8C-BB5C-4602-8CD2-5E0D7981852E}"/>
    <cellStyle name="Style 24" xfId="161" xr:uid="{99830AD7-105F-4A52-B5E6-AD8E5DD05B12}"/>
    <cellStyle name="Style 26" xfId="162" xr:uid="{2C1BEFA0-F006-4773-A64A-74528D629E72}"/>
    <cellStyle name="Style 27" xfId="163" xr:uid="{DDD357E7-4E49-4D5C-ADCE-1209BBA61351}"/>
    <cellStyle name="Style 34" xfId="164" xr:uid="{41A6032F-8F0F-40DC-811B-7F9EC9E426DC}"/>
    <cellStyle name="Style 37" xfId="165" xr:uid="{CC93E661-C005-42C4-83B4-72FFF9734382}"/>
    <cellStyle name="Style 63" xfId="166" xr:uid="{9AC6BBE4-522D-4D95-9118-090969092794}"/>
    <cellStyle name="SubDollar" xfId="167" xr:uid="{B72E25F1-E459-4F87-9C16-CAB2714D066E}"/>
    <cellStyle name="SubGrowth" xfId="168" xr:uid="{DF1A82CA-A769-460F-9C5D-2B4CAA951E6E}"/>
    <cellStyle name="SubGrowthRate" xfId="169" xr:uid="{1E714BAB-8140-467D-A14F-F18830AD1862}"/>
    <cellStyle name="SubMargins" xfId="170" xr:uid="{14832F24-9F4D-49FD-83E3-D0F17498F928}"/>
    <cellStyle name="SubPenetration" xfId="171" xr:uid="{EF3B7CA1-B923-4AFF-845F-63BFFC6F0CCF}"/>
    <cellStyle name="Subscribers" xfId="172" xr:uid="{227CC6F7-B9DC-4FFF-A99B-F188A818408B}"/>
    <cellStyle name="SubVariable" xfId="173" xr:uid="{9F6C7040-B854-49B0-BB41-94DE6DBCBF3F}"/>
    <cellStyle name="tcn" xfId="174" xr:uid="{5ED4AEC6-DBA1-4E61-9C56-466FC880D4FE}"/>
    <cellStyle name="Tertiary Title" xfId="193" xr:uid="{C7353644-5531-436B-AF55-A604542A98E5}"/>
    <cellStyle name="Times [1]" xfId="175" xr:uid="{6A69D768-021D-47EB-AB81-45A679E145A5}"/>
    <cellStyle name="Times [2]" xfId="176" xr:uid="{2178500D-ADC9-44AD-972A-CC0834BD8323}"/>
    <cellStyle name="Title 2" xfId="177" xr:uid="{CB6CEDC2-7ECE-4A1E-B669-2D9008ABB602}"/>
    <cellStyle name="title2" xfId="178" xr:uid="{16755672-2AEB-4BCD-9EF3-4BB91AF0F433}"/>
    <cellStyle name="TitleII" xfId="179" xr:uid="{48E6C913-FAB4-4C38-8656-A4DC911B9002}"/>
    <cellStyle name="Titles" xfId="180" xr:uid="{39BDA25B-118E-4058-A138-095018E4110B}"/>
    <cellStyle name="TitleSub" xfId="181" xr:uid="{9D20DD5C-2BE0-4D26-912E-013A85D02D33}"/>
    <cellStyle name="tn" xfId="182" xr:uid="{109CB971-9D40-4FC5-B7FF-AC2F10B6B044}"/>
    <cellStyle name="Total 2" xfId="183" xr:uid="{A4732FAD-11BF-4D32-A3E7-C8AA41E4284A}"/>
    <cellStyle name="Warning Text 2" xfId="184" xr:uid="{2B74B150-FCF5-4757-BF85-FC6DA1F7C7D0}"/>
    <cellStyle name="WholeNumber" xfId="185" xr:uid="{33A211B0-C00D-44CC-8590-49174DC8BD54}"/>
    <cellStyle name="Year&quot;E&quot;" xfId="186" xr:uid="{2EFFDA60-7E2E-4435-8971-8FDA00587961}"/>
  </cellStyles>
  <dxfs count="0"/>
  <tableStyles count="0" defaultTableStyle="TableStyleMedium2" defaultPivotStyle="PivotStyleLight16"/>
  <colors>
    <mruColors>
      <color rgb="FFFF3300"/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Football Field</a:t>
            </a:r>
            <a:r>
              <a:rPr lang="en-IN" baseline="0">
                <a:latin typeface="Arial" panose="020B0604020202020204" pitchFamily="34" charset="0"/>
                <a:cs typeface="Arial" panose="020B0604020202020204" pitchFamily="34" charset="0"/>
              </a:rPr>
              <a:t> Analysis</a:t>
            </a:r>
            <a:endParaRPr lang="en-IN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'Football field'!$C$4</c:f>
              <c:strCache>
                <c:ptCount val="1"/>
                <c:pt idx="0">
                  <c:v>Low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1.6760720262259082E-2"/>
                  <c:y val="-3.793103242296881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D4-466D-A388-E46298B45A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'Football field'!$B$5:$B$13</c:f>
              <c:strCache>
                <c:ptCount val="9"/>
                <c:pt idx="0">
                  <c:v>DCF (Emerging,Developed) </c:v>
                </c:pt>
                <c:pt idx="1">
                  <c:v>Transaction comparables - EV/EBITDA </c:v>
                </c:pt>
                <c:pt idx="2">
                  <c:v>Transaction Comparables - EV/Revenue </c:v>
                </c:pt>
                <c:pt idx="3">
                  <c:v>52 week high low </c:v>
                </c:pt>
                <c:pt idx="4">
                  <c:v>Trading Comparables - EV/EBIT </c:v>
                </c:pt>
                <c:pt idx="5">
                  <c:v>Trading Comparables - EV/EBITDA </c:v>
                </c:pt>
                <c:pt idx="6">
                  <c:v>Trading Comparables - EV/Revenue </c:v>
                </c:pt>
                <c:pt idx="7">
                  <c:v>Trading Comparables - PEG Ratio </c:v>
                </c:pt>
                <c:pt idx="8">
                  <c:v>Broker Targets </c:v>
                </c:pt>
              </c:strCache>
            </c:strRef>
          </c:cat>
          <c:val>
            <c:numRef>
              <c:f>'Football field'!$C$5:$C$13</c:f>
              <c:numCache>
                <c:formatCode>"₹"\ #,##0.00</c:formatCode>
                <c:ptCount val="9"/>
                <c:pt idx="0">
                  <c:v>108.06919640821128</c:v>
                </c:pt>
                <c:pt idx="1">
                  <c:v>71.363050429067428</c:v>
                </c:pt>
                <c:pt idx="2">
                  <c:v>52.247569043711543</c:v>
                </c:pt>
                <c:pt idx="3">
                  <c:v>176.3</c:v>
                </c:pt>
                <c:pt idx="4">
                  <c:v>138.45155489403967</c:v>
                </c:pt>
                <c:pt idx="5">
                  <c:v>136.80800768686046</c:v>
                </c:pt>
                <c:pt idx="6">
                  <c:v>125.39416570490769</c:v>
                </c:pt>
                <c:pt idx="7">
                  <c:v>70.957541927949492</c:v>
                </c:pt>
                <c:pt idx="8">
                  <c:v>196.92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4-466D-A388-E46298B45A9A}"/>
            </c:ext>
          </c:extLst>
        </c:ser>
        <c:ser>
          <c:idx val="1"/>
          <c:order val="1"/>
          <c:tx>
            <c:strRef>
              <c:f>'Football field'!$D$4</c:f>
              <c:strCache>
                <c:ptCount val="1"/>
                <c:pt idx="0">
                  <c:v>Difference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'Football field'!$B$5:$B$13</c:f>
              <c:strCache>
                <c:ptCount val="9"/>
                <c:pt idx="0">
                  <c:v>DCF (Emerging,Developed) </c:v>
                </c:pt>
                <c:pt idx="1">
                  <c:v>Transaction comparables - EV/EBITDA </c:v>
                </c:pt>
                <c:pt idx="2">
                  <c:v>Transaction Comparables - EV/Revenue </c:v>
                </c:pt>
                <c:pt idx="3">
                  <c:v>52 week high low </c:v>
                </c:pt>
                <c:pt idx="4">
                  <c:v>Trading Comparables - EV/EBIT </c:v>
                </c:pt>
                <c:pt idx="5">
                  <c:v>Trading Comparables - EV/EBITDA </c:v>
                </c:pt>
                <c:pt idx="6">
                  <c:v>Trading Comparables - EV/Revenue </c:v>
                </c:pt>
                <c:pt idx="7">
                  <c:v>Trading Comparables - PEG Ratio </c:v>
                </c:pt>
                <c:pt idx="8">
                  <c:v>Broker Targets </c:v>
                </c:pt>
              </c:strCache>
            </c:strRef>
          </c:cat>
          <c:val>
            <c:numRef>
              <c:f>'Football field'!$D$5:$D$13</c:f>
              <c:numCache>
                <c:formatCode>#,##0.0_);\(#,##0.0\);0.0_);@_)</c:formatCode>
                <c:ptCount val="9"/>
                <c:pt idx="0">
                  <c:v>86.826143008047396</c:v>
                </c:pt>
                <c:pt idx="1">
                  <c:v>127.33407037343405</c:v>
                </c:pt>
                <c:pt idx="2">
                  <c:v>344.83395568849613</c:v>
                </c:pt>
                <c:pt idx="3">
                  <c:v>70.899999999999977</c:v>
                </c:pt>
                <c:pt idx="4">
                  <c:v>245.12358941943208</c:v>
                </c:pt>
                <c:pt idx="5">
                  <c:v>108.06520456974346</c:v>
                </c:pt>
                <c:pt idx="6">
                  <c:v>329.15968497538267</c:v>
                </c:pt>
                <c:pt idx="7">
                  <c:v>252.63889782347417</c:v>
                </c:pt>
                <c:pt idx="8">
                  <c:v>55.080000000000013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4-466D-A388-E46298B45A9A}"/>
            </c:ext>
          </c:extLst>
        </c:ser>
        <c:ser>
          <c:idx val="2"/>
          <c:order val="2"/>
          <c:tx>
            <c:strRef>
              <c:f>'Football field'!$E$4</c:f>
              <c:strCache>
                <c:ptCount val="1"/>
                <c:pt idx="0">
                  <c:v>High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3036115759534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D4-466D-A388-E46298B45A9A}"/>
                </c:ext>
              </c:extLst>
            </c:dLbl>
            <c:dLbl>
              <c:idx val="2"/>
              <c:layout>
                <c:manualLayout>
                  <c:x val="-8.0078996808571168E-2"/>
                  <c:y val="-1.390788455668596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D4-466D-A388-E46298B45A9A}"/>
                </c:ext>
              </c:extLst>
            </c:dLbl>
            <c:dLbl>
              <c:idx val="3"/>
              <c:layout>
                <c:manualLayout>
                  <c:x val="-3.7246045027242401E-2"/>
                  <c:y val="-3.793103242296933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D4-466D-A388-E46298B45A9A}"/>
                </c:ext>
              </c:extLst>
            </c:dLbl>
            <c:dLbl>
              <c:idx val="4"/>
              <c:layout>
                <c:manualLayout>
                  <c:x val="-7.449209005448487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D4-466D-A388-E46298B45A9A}"/>
                </c:ext>
              </c:extLst>
            </c:dLbl>
            <c:dLbl>
              <c:idx val="5"/>
              <c:layout>
                <c:manualLayout>
                  <c:x val="-2.979683602179392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D4-466D-A388-E46298B45A9A}"/>
                </c:ext>
              </c:extLst>
            </c:dLbl>
            <c:dLbl>
              <c:idx val="6"/>
              <c:layout>
                <c:manualLayout>
                  <c:x val="-9.683971707083025E-2"/>
                  <c:y val="-6.95394227834298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D4-466D-A388-E46298B45A9A}"/>
                </c:ext>
              </c:extLst>
            </c:dLbl>
            <c:dLbl>
              <c:idx val="7"/>
              <c:layout>
                <c:manualLayout>
                  <c:x val="-5.40067652895014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D4-466D-A388-E46298B45A9A}"/>
                </c:ext>
              </c:extLst>
            </c:dLbl>
            <c:dLbl>
              <c:idx val="8"/>
              <c:layout>
                <c:manualLayout>
                  <c:x val="-3.538374277588027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D4-466D-A388-E46298B45A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'Football field'!$B$5:$B$13</c:f>
              <c:strCache>
                <c:ptCount val="9"/>
                <c:pt idx="0">
                  <c:v>DCF (Emerging,Developed) </c:v>
                </c:pt>
                <c:pt idx="1">
                  <c:v>Transaction comparables - EV/EBITDA </c:v>
                </c:pt>
                <c:pt idx="2">
                  <c:v>Transaction Comparables - EV/Revenue </c:v>
                </c:pt>
                <c:pt idx="3">
                  <c:v>52 week high low </c:v>
                </c:pt>
                <c:pt idx="4">
                  <c:v>Trading Comparables - EV/EBIT </c:v>
                </c:pt>
                <c:pt idx="5">
                  <c:v>Trading Comparables - EV/EBITDA </c:v>
                </c:pt>
                <c:pt idx="6">
                  <c:v>Trading Comparables - EV/Revenue </c:v>
                </c:pt>
                <c:pt idx="7">
                  <c:v>Trading Comparables - PEG Ratio </c:v>
                </c:pt>
                <c:pt idx="8">
                  <c:v>Broker Targets </c:v>
                </c:pt>
              </c:strCache>
            </c:strRef>
          </c:cat>
          <c:val>
            <c:numRef>
              <c:f>'Football field'!$E$5:$E$13</c:f>
              <c:numCache>
                <c:formatCode>"₹"\ #,##0.00</c:formatCode>
                <c:ptCount val="9"/>
                <c:pt idx="0">
                  <c:v>194.89533941625868</c:v>
                </c:pt>
                <c:pt idx="1">
                  <c:v>198.69712080250147</c:v>
                </c:pt>
                <c:pt idx="2">
                  <c:v>397.0815247322077</c:v>
                </c:pt>
                <c:pt idx="3">
                  <c:v>247.2</c:v>
                </c:pt>
                <c:pt idx="4">
                  <c:v>383.57514431347175</c:v>
                </c:pt>
                <c:pt idx="5">
                  <c:v>244.87321225660392</c:v>
                </c:pt>
                <c:pt idx="6">
                  <c:v>454.55385068029034</c:v>
                </c:pt>
                <c:pt idx="7">
                  <c:v>323.59643975142365</c:v>
                </c:pt>
                <c:pt idx="8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4-466D-A388-E46298B45A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3014432"/>
        <c:axId val="603021632"/>
      </c:barChart>
      <c:catAx>
        <c:axId val="60301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021632"/>
        <c:crosses val="autoZero"/>
        <c:auto val="1"/>
        <c:lblAlgn val="ctr"/>
        <c:lblOffset val="100"/>
        <c:noMultiLvlLbl val="0"/>
      </c:catAx>
      <c:valAx>
        <c:axId val="6030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>
                    <a:latin typeface="Arial" panose="020B0604020202020204" pitchFamily="34" charset="0"/>
                    <a:cs typeface="Arial" panose="020B0604020202020204" pitchFamily="34" charset="0"/>
                  </a:rPr>
                  <a:t>Implied</a:t>
                </a:r>
                <a:r>
                  <a:rPr lang="en-IN" baseline="0">
                    <a:latin typeface="Arial" panose="020B0604020202020204" pitchFamily="34" charset="0"/>
                    <a:cs typeface="Arial" panose="020B0604020202020204" pitchFamily="34" charset="0"/>
                  </a:rPr>
                  <a:t> Share Price</a:t>
                </a:r>
                <a:endParaRPr lang="en-IN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6328088386331232"/>
              <c:y val="0.90060158020083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15393</xdr:colOff>
      <xdr:row>13</xdr:row>
      <xdr:rowOff>84668</xdr:rowOff>
    </xdr:from>
    <xdr:to>
      <xdr:col>4</xdr:col>
      <xdr:colOff>446425</xdr:colOff>
      <xdr:row>31</xdr:row>
      <xdr:rowOff>107759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2572F-E343-3DC6-4FC4-6A3C3A1B6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3335866</xdr:colOff>
      <xdr:row>15</xdr:row>
      <xdr:rowOff>25400</xdr:rowOff>
    </xdr:from>
    <xdr:to>
      <xdr:col>1</xdr:col>
      <xdr:colOff>3344333</xdr:colOff>
      <xdr:row>30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975B477-3E40-9D36-03EB-F8F053F7E072}"/>
            </a:ext>
          </a:extLst>
        </xdr:cNvPr>
        <xdr:cNvCxnSpPr/>
      </xdr:nvCxnSpPr>
      <xdr:spPr>
        <a:xfrm flipH="1">
          <a:off x="3522133" y="2827867"/>
          <a:ext cx="8467" cy="276860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quisition%20Scenario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tik/Desktop/HSBC%20valuation/Macintosh%20HDLibrary/Application%20Support/Microsoft/Office%20Converter%20Support/Open%20XML%20for%20Excel.app/Contents/MacOS/DATA%20INPUT%20PAGE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tik/Desktop/HSBC%20valuation/Macintosh%20HDCFG/Diversified%20Manufacturing/Deals/H-M/JLG/COMPS%209-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Acquisition Summary"/>
      <sheetName val="EBITDA &amp; IRR"/>
      <sheetName val="DCF"/>
      <sheetName val="WACC &amp; OCC"/>
      <sheetName val="270 Model 2.0 macr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NPUT PAG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1) Public Comps"/>
      <sheetName val="(2) Fundamentals"/>
      <sheetName val="(3) Margins &amp; Ratios"/>
      <sheetName val="Data Input Page"/>
      <sheetName val="Repurchase Summary"/>
      <sheetName val="Debt to Cap Graph"/>
      <sheetName val="Competitive Landscape"/>
      <sheetName val="Debt to EBITDA Graph"/>
      <sheetName val="GRAPHS"/>
      <sheetName val="Scatter"/>
      <sheetName val="Manual"/>
      <sheetName val="PAYBOOK"/>
      <sheetName val="PAYGRH"/>
      <sheetName val="Module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F76E-3E3D-434A-978F-421CC7C15172}">
  <sheetPr>
    <tabColor theme="5"/>
  </sheetPr>
  <dimension ref="A2:Q41"/>
  <sheetViews>
    <sheetView showGridLines="0" tabSelected="1" zoomScale="90" zoomScaleNormal="99" workbookViewId="0">
      <selection activeCell="H20" sqref="H20"/>
    </sheetView>
  </sheetViews>
  <sheetFormatPr defaultRowHeight="14.4"/>
  <cols>
    <col min="1" max="1" width="2.6640625" style="128" customWidth="1"/>
    <col min="2" max="2" width="71" style="128" customWidth="1"/>
    <col min="3" max="3" width="17.88671875" style="128" customWidth="1"/>
    <col min="4" max="6" width="10.5546875" style="128" customWidth="1"/>
    <col min="7" max="7" width="17.44140625" style="128" customWidth="1"/>
    <col min="8" max="8" width="10.5546875" style="128" customWidth="1"/>
    <col min="9" max="16384" width="8.88671875" style="128"/>
  </cols>
  <sheetData>
    <row r="2" spans="1:17" ht="15.6">
      <c r="A2" s="129"/>
      <c r="B2" s="50" t="s">
        <v>261</v>
      </c>
      <c r="C2" s="50"/>
      <c r="D2" s="50"/>
      <c r="E2" s="50"/>
      <c r="F2" s="50"/>
      <c r="G2" s="50"/>
      <c r="H2" s="50"/>
      <c r="I2" s="50"/>
      <c r="Q2" s="130"/>
    </row>
    <row r="3" spans="1:17">
      <c r="B3" s="212" t="s">
        <v>262</v>
      </c>
      <c r="C3" s="2"/>
      <c r="D3" s="2"/>
      <c r="E3" s="2"/>
      <c r="F3" s="2"/>
      <c r="G3" s="2"/>
      <c r="H3" s="2"/>
      <c r="I3" s="2"/>
    </row>
    <row r="4" spans="1:17">
      <c r="B4" s="476"/>
      <c r="C4" s="477" t="s">
        <v>38</v>
      </c>
      <c r="D4" s="477" t="s">
        <v>189</v>
      </c>
      <c r="E4" s="477" t="s">
        <v>37</v>
      </c>
    </row>
    <row r="5" spans="1:17">
      <c r="B5" s="474" t="s">
        <v>190</v>
      </c>
      <c r="C5" s="478">
        <f>DCF!J39</f>
        <v>108.06919640821128</v>
      </c>
      <c r="D5" s="479">
        <f t="shared" ref="D5:D13" si="0">E5-C5</f>
        <v>86.826143008047396</v>
      </c>
      <c r="E5" s="478">
        <f>DCF!E39</f>
        <v>194.89533941625868</v>
      </c>
    </row>
    <row r="6" spans="1:17">
      <c r="B6" s="474" t="s">
        <v>191</v>
      </c>
      <c r="C6" s="478">
        <f>'Transaction comp'!F35</f>
        <v>71.363050429067428</v>
      </c>
      <c r="D6" s="479">
        <f t="shared" si="0"/>
        <v>127.33407037343405</v>
      </c>
      <c r="E6" s="478">
        <f>'Transaction comp'!E35</f>
        <v>198.69712080250147</v>
      </c>
    </row>
    <row r="7" spans="1:17">
      <c r="B7" s="474" t="s">
        <v>192</v>
      </c>
      <c r="C7" s="478">
        <f>'Transaction comp'!F36</f>
        <v>52.247569043711543</v>
      </c>
      <c r="D7" s="479">
        <f t="shared" si="0"/>
        <v>344.83395568849613</v>
      </c>
      <c r="E7" s="478">
        <f>'Transaction comp'!E36</f>
        <v>397.0815247322077</v>
      </c>
    </row>
    <row r="8" spans="1:17">
      <c r="B8" s="474" t="s">
        <v>193</v>
      </c>
      <c r="C8" s="478">
        <f>'Ref. sheet'!B25</f>
        <v>176.3</v>
      </c>
      <c r="D8" s="479">
        <f t="shared" si="0"/>
        <v>70.899999999999977</v>
      </c>
      <c r="E8" s="478">
        <f>'Ref. sheet'!B24</f>
        <v>247.2</v>
      </c>
    </row>
    <row r="9" spans="1:17">
      <c r="B9" s="474" t="s">
        <v>205</v>
      </c>
      <c r="C9" s="478">
        <f>'Trading comps'!Q28</f>
        <v>138.45155489403967</v>
      </c>
      <c r="D9" s="479">
        <f t="shared" si="0"/>
        <v>245.12358941943208</v>
      </c>
      <c r="E9" s="478">
        <f>'Trading comps'!P28</f>
        <v>383.57514431347175</v>
      </c>
    </row>
    <row r="10" spans="1:17">
      <c r="B10" s="474" t="s">
        <v>204</v>
      </c>
      <c r="C10" s="478">
        <f>'Trading comps'!Q27</f>
        <v>136.80800768686046</v>
      </c>
      <c r="D10" s="479">
        <f t="shared" si="0"/>
        <v>108.06520456974346</v>
      </c>
      <c r="E10" s="478">
        <f>'Trading comps'!P27</f>
        <v>244.87321225660392</v>
      </c>
    </row>
    <row r="11" spans="1:17">
      <c r="B11" s="474" t="s">
        <v>194</v>
      </c>
      <c r="C11" s="478">
        <f>'Trading comps'!Q26</f>
        <v>125.39416570490769</v>
      </c>
      <c r="D11" s="479">
        <f t="shared" si="0"/>
        <v>329.15968497538267</v>
      </c>
      <c r="E11" s="478">
        <f>'Trading comps'!P26</f>
        <v>454.55385068029034</v>
      </c>
    </row>
    <row r="12" spans="1:17">
      <c r="B12" s="474" t="s">
        <v>243</v>
      </c>
      <c r="C12" s="478">
        <f>'Trading comps'!Q29</f>
        <v>70.957541927949492</v>
      </c>
      <c r="D12" s="479">
        <f t="shared" si="0"/>
        <v>252.63889782347417</v>
      </c>
      <c r="E12" s="478">
        <f>'Trading comps'!P29</f>
        <v>323.59643975142365</v>
      </c>
    </row>
    <row r="13" spans="1:17">
      <c r="B13" s="475" t="s">
        <v>195</v>
      </c>
      <c r="C13" s="478">
        <v>196.92</v>
      </c>
      <c r="D13" s="479">
        <f t="shared" si="0"/>
        <v>55.080000000000013</v>
      </c>
      <c r="E13" s="478">
        <v>252</v>
      </c>
    </row>
    <row r="14" spans="1:17">
      <c r="C14" s="132"/>
      <c r="E14" s="132"/>
    </row>
    <row r="17" spans="3:8">
      <c r="G17" s="131"/>
      <c r="H17" s="131"/>
    </row>
    <row r="32" spans="3:8">
      <c r="C32" s="480"/>
    </row>
    <row r="33" spans="1:3" ht="15" thickBot="1">
      <c r="B33" s="451" t="s">
        <v>305</v>
      </c>
      <c r="C33" s="154"/>
    </row>
    <row r="34" spans="1:3" ht="15" thickTop="1">
      <c r="A34" s="128" t="s">
        <v>0</v>
      </c>
      <c r="B34" s="464" t="str">
        <f>"Intrinsic Valuation signals to offer a maximum price of "&amp;ROUNDUP(E5,2)&amp;" per share"</f>
        <v>Intrinsic Valuation signals to offer a maximum price of 194.9 per share</v>
      </c>
    </row>
    <row r="35" spans="1:3">
      <c r="A35" s="128" t="s">
        <v>33</v>
      </c>
      <c r="B35" s="464" t="str">
        <f>"Transaction Comps Signals to an media offer price of "&amp;ROUNDUP('Transaction comp'!J9,2)&amp;" per share"</f>
        <v>Transaction Comps Signals to an media offer price of 219.02 per share</v>
      </c>
    </row>
    <row r="36" spans="1:3">
      <c r="A36" s="128" t="s">
        <v>34</v>
      </c>
      <c r="B36" s="464" t="s">
        <v>307</v>
      </c>
    </row>
    <row r="37" spans="1:3">
      <c r="B37" s="465" t="s">
        <v>308</v>
      </c>
    </row>
    <row r="38" spans="1:3">
      <c r="A38" s="128" t="s">
        <v>157</v>
      </c>
      <c r="B38" s="464" t="s">
        <v>309</v>
      </c>
    </row>
    <row r="39" spans="1:3">
      <c r="B39" s="464" t="s">
        <v>310</v>
      </c>
    </row>
    <row r="40" spans="1:3">
      <c r="A40" s="128" t="s">
        <v>159</v>
      </c>
      <c r="B40" s="464" t="s">
        <v>311</v>
      </c>
    </row>
    <row r="41" spans="1:3">
      <c r="A41" s="128" t="s">
        <v>176</v>
      </c>
      <c r="B41" s="128" t="s">
        <v>319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AA7E-BE5D-41A4-8F8B-A7C77046B0DC}">
  <dimension ref="A1:H25"/>
  <sheetViews>
    <sheetView showGridLines="0" zoomScaleNormal="100" workbookViewId="0">
      <selection activeCell="F19" sqref="F19"/>
    </sheetView>
  </sheetViews>
  <sheetFormatPr defaultRowHeight="14.4"/>
  <cols>
    <col min="1" max="1" width="51.5546875" bestFit="1" customWidth="1"/>
    <col min="2" max="2" width="12" bestFit="1" customWidth="1"/>
    <col min="3" max="3" width="8.5546875" bestFit="1" customWidth="1"/>
    <col min="4" max="4" width="11" bestFit="1" customWidth="1"/>
    <col min="5" max="5" width="7.5546875" bestFit="1" customWidth="1"/>
    <col min="6" max="6" width="10.5546875" customWidth="1"/>
    <col min="7" max="7" width="9.77734375" customWidth="1"/>
    <col min="8" max="8" width="9.5546875" customWidth="1"/>
  </cols>
  <sheetData>
    <row r="1" spans="1:8">
      <c r="A1" s="88" t="s">
        <v>188</v>
      </c>
    </row>
    <row r="2" spans="1:8">
      <c r="A2" s="89" t="s">
        <v>105</v>
      </c>
      <c r="B2" s="90" t="s">
        <v>106</v>
      </c>
      <c r="C2" s="90" t="s">
        <v>107</v>
      </c>
      <c r="D2" s="90" t="s">
        <v>108</v>
      </c>
      <c r="E2" s="90" t="s">
        <v>109</v>
      </c>
      <c r="F2" s="90" t="s">
        <v>110</v>
      </c>
      <c r="G2" s="90" t="s">
        <v>111</v>
      </c>
      <c r="H2" s="90" t="s">
        <v>112</v>
      </c>
    </row>
    <row r="3" spans="1:8">
      <c r="A3" s="91" t="s">
        <v>113</v>
      </c>
      <c r="B3" s="92">
        <v>22381</v>
      </c>
      <c r="C3" s="92">
        <v>23658</v>
      </c>
      <c r="D3" s="92">
        <v>25610</v>
      </c>
      <c r="E3" s="92">
        <v>27819</v>
      </c>
    </row>
    <row r="4" spans="1:8">
      <c r="A4" s="91" t="s">
        <v>114</v>
      </c>
      <c r="B4" s="92">
        <v>-14852</v>
      </c>
      <c r="C4" s="92">
        <v>-14817</v>
      </c>
      <c r="D4" s="92">
        <v>-15600</v>
      </c>
      <c r="E4" s="92">
        <v>-16684</v>
      </c>
    </row>
    <row r="5" spans="1:8">
      <c r="A5" s="91" t="s">
        <v>115</v>
      </c>
      <c r="B5" s="92">
        <v>-5040</v>
      </c>
      <c r="C5" s="92">
        <v>-5673</v>
      </c>
      <c r="D5" s="92">
        <v>-6003</v>
      </c>
      <c r="E5" s="92">
        <v>-6483</v>
      </c>
    </row>
    <row r="6" spans="1:8">
      <c r="A6" s="93" t="s">
        <v>29</v>
      </c>
      <c r="B6" s="92">
        <v>2489</v>
      </c>
      <c r="C6" s="92">
        <v>3168</v>
      </c>
      <c r="D6" s="92">
        <v>4007</v>
      </c>
      <c r="E6" s="92">
        <v>4652</v>
      </c>
    </row>
    <row r="7" spans="1:8">
      <c r="A7" s="91" t="s">
        <v>116</v>
      </c>
      <c r="B7" s="92">
        <v>-1123</v>
      </c>
      <c r="C7" s="92">
        <v>-1097</v>
      </c>
      <c r="D7" s="92">
        <v>-1138</v>
      </c>
      <c r="E7" s="92">
        <v>-1180</v>
      </c>
    </row>
    <row r="8" spans="1:8">
      <c r="A8" s="93" t="s">
        <v>12</v>
      </c>
      <c r="B8" s="92">
        <v>1366</v>
      </c>
      <c r="C8" s="92">
        <v>2071</v>
      </c>
      <c r="D8" s="92">
        <v>2869</v>
      </c>
      <c r="E8" s="92">
        <v>3472</v>
      </c>
    </row>
    <row r="9" spans="1:8">
      <c r="A9" s="89" t="s">
        <v>117</v>
      </c>
      <c r="B9" s="91" t="s">
        <v>106</v>
      </c>
      <c r="C9" s="91" t="s">
        <v>107</v>
      </c>
      <c r="D9" s="91" t="s">
        <v>108</v>
      </c>
      <c r="E9" s="91" t="s">
        <v>109</v>
      </c>
    </row>
    <row r="10" spans="1:8">
      <c r="A10" s="91" t="s">
        <v>118</v>
      </c>
      <c r="B10" s="91">
        <v>163.69999999999999</v>
      </c>
      <c r="C10" s="91">
        <v>148.5</v>
      </c>
      <c r="D10" s="91">
        <v>145</v>
      </c>
      <c r="E10" s="91">
        <v>150</v>
      </c>
    </row>
    <row r="11" spans="1:8">
      <c r="A11" s="91" t="s">
        <v>119</v>
      </c>
      <c r="B11" s="91">
        <v>5.9</v>
      </c>
      <c r="C11" s="91">
        <v>6.7</v>
      </c>
      <c r="D11" s="91">
        <v>6.5</v>
      </c>
      <c r="E11" s="91">
        <v>6.8</v>
      </c>
    </row>
    <row r="12" spans="1:8">
      <c r="A12" s="91" t="s">
        <v>120</v>
      </c>
      <c r="B12" s="91">
        <v>231.5</v>
      </c>
      <c r="C12" s="91">
        <v>242.2</v>
      </c>
      <c r="D12" s="91">
        <v>235</v>
      </c>
      <c r="E12" s="91">
        <v>245</v>
      </c>
    </row>
    <row r="13" spans="1:8">
      <c r="A13" s="89" t="s">
        <v>121</v>
      </c>
      <c r="B13" s="91" t="s">
        <v>106</v>
      </c>
      <c r="C13" s="91" t="s">
        <v>107</v>
      </c>
      <c r="D13" s="91" t="s">
        <v>108</v>
      </c>
      <c r="E13" s="91" t="s">
        <v>109</v>
      </c>
    </row>
    <row r="14" spans="1:8">
      <c r="A14" s="93" t="s">
        <v>122</v>
      </c>
      <c r="B14" s="91">
        <v>276</v>
      </c>
      <c r="C14" s="91">
        <v>735</v>
      </c>
      <c r="D14" s="92">
        <v>1100</v>
      </c>
      <c r="E14" s="91">
        <v>800</v>
      </c>
    </row>
    <row r="16" spans="1:8">
      <c r="A16" s="127" t="s">
        <v>123</v>
      </c>
      <c r="B16" s="79"/>
      <c r="C16" s="79"/>
      <c r="D16" s="79"/>
      <c r="E16" s="79"/>
      <c r="F16" s="79"/>
      <c r="G16" s="79"/>
      <c r="H16" s="79"/>
    </row>
    <row r="17" spans="1:8">
      <c r="A17" s="97" t="s">
        <v>124</v>
      </c>
      <c r="B17" s="98"/>
      <c r="C17" s="99">
        <f>C3/B3-1</f>
        <v>5.7057325409946014E-2</v>
      </c>
      <c r="D17" s="100">
        <f>D3/C3-1</f>
        <v>8.2509087834981898E-2</v>
      </c>
      <c r="E17" s="100">
        <f>E3/D3-1</f>
        <v>8.6255368996485782E-2</v>
      </c>
      <c r="F17" s="101">
        <f>AVERAGE(C17,D17,E17)</f>
        <v>7.5273927413804564E-2</v>
      </c>
      <c r="G17" s="101">
        <f t="shared" ref="G17:H19" si="0">F17</f>
        <v>7.5273927413804564E-2</v>
      </c>
      <c r="H17" s="101">
        <f t="shared" si="0"/>
        <v>7.5273927413804564E-2</v>
      </c>
    </row>
    <row r="18" spans="1:8">
      <c r="A18" s="97" t="s">
        <v>135</v>
      </c>
      <c r="B18" s="100">
        <f>B4/B3</f>
        <v>-0.66359858808811045</v>
      </c>
      <c r="C18" s="100">
        <f>C4/C3</f>
        <v>-0.62629977174740048</v>
      </c>
      <c r="D18" s="100">
        <f t="shared" ref="D18" si="1">D4/D3</f>
        <v>-0.6091370558375635</v>
      </c>
      <c r="E18" s="100">
        <f>E4/E3</f>
        <v>-0.59973399475178835</v>
      </c>
      <c r="F18" s="102">
        <f>AVERAGE(B18:E18)</f>
        <v>-0.6246923526062157</v>
      </c>
      <c r="G18" s="102">
        <f t="shared" si="0"/>
        <v>-0.6246923526062157</v>
      </c>
      <c r="H18" s="102">
        <f t="shared" si="0"/>
        <v>-0.6246923526062157</v>
      </c>
    </row>
    <row r="19" spans="1:8">
      <c r="A19" s="97" t="s">
        <v>136</v>
      </c>
      <c r="B19" s="100">
        <f>B5/B3</f>
        <v>-0.22519101023189311</v>
      </c>
      <c r="C19" s="100">
        <f>C5/C3</f>
        <v>-0.23979203652041592</v>
      </c>
      <c r="D19" s="100">
        <f>D5/D3</f>
        <v>-0.23440062475595472</v>
      </c>
      <c r="E19" s="100">
        <f>E5/E3</f>
        <v>-0.23304216542650708</v>
      </c>
      <c r="F19" s="102">
        <f>AVERAGE(B19:E19)</f>
        <v>-0.23310645923369272</v>
      </c>
      <c r="G19" s="102">
        <f t="shared" si="0"/>
        <v>-0.23310645923369272</v>
      </c>
      <c r="H19" s="102">
        <f t="shared" si="0"/>
        <v>-0.23310645923369272</v>
      </c>
    </row>
    <row r="20" spans="1:8">
      <c r="A20" s="97" t="s">
        <v>139</v>
      </c>
      <c r="B20" s="99">
        <f>B7/B3</f>
        <v>-5.0176488986193646E-2</v>
      </c>
      <c r="C20" s="99">
        <f>C7/C3</f>
        <v>-4.6369092907261815E-2</v>
      </c>
      <c r="D20" s="99">
        <f t="shared" ref="D20:E20" si="2">D7/D3</f>
        <v>-4.4435767278406875E-2</v>
      </c>
      <c r="E20" s="99">
        <f t="shared" si="2"/>
        <v>-4.2417053093209679E-2</v>
      </c>
      <c r="F20" s="103">
        <f>AVERAGE(B20:E20)</f>
        <v>-4.5849600566268002E-2</v>
      </c>
      <c r="G20" s="103">
        <f>F20</f>
        <v>-4.5849600566268002E-2</v>
      </c>
      <c r="H20" s="103">
        <f>G20</f>
        <v>-4.5849600566268002E-2</v>
      </c>
    </row>
    <row r="21" spans="1:8">
      <c r="A21" s="97" t="s">
        <v>138</v>
      </c>
      <c r="B21" s="104">
        <f>-B14/B3</f>
        <v>-1.2331888655556051E-2</v>
      </c>
      <c r="C21" s="104">
        <f>-C14/C3</f>
        <v>-3.106771493786457E-2</v>
      </c>
      <c r="D21" s="104">
        <f>-D14/D3</f>
        <v>-4.2951971885982036E-2</v>
      </c>
      <c r="E21" s="104">
        <f>-E14/E3</f>
        <v>-2.8757324130989612E-2</v>
      </c>
      <c r="F21" s="103">
        <f>AVERAGE($B$21:$E$21)</f>
        <v>-2.8777224902598066E-2</v>
      </c>
      <c r="G21" s="103">
        <f t="shared" ref="G21:H21" si="3">AVERAGE($B$21:$E$21)</f>
        <v>-2.8777224902598066E-2</v>
      </c>
      <c r="H21" s="103">
        <f t="shared" si="3"/>
        <v>-2.8777224902598066E-2</v>
      </c>
    </row>
    <row r="23" spans="1:8">
      <c r="A23" s="135" t="s">
        <v>201</v>
      </c>
      <c r="B23" s="135"/>
    </row>
    <row r="24" spans="1:8">
      <c r="A24" s="134" t="s">
        <v>202</v>
      </c>
      <c r="B24" s="153">
        <v>247.2</v>
      </c>
    </row>
    <row r="25" spans="1:8">
      <c r="A25" s="134" t="s">
        <v>203</v>
      </c>
      <c r="B25" s="153">
        <v>176.3</v>
      </c>
    </row>
  </sheetData>
  <pageMargins left="0.7" right="0.7" top="0.75" bottom="0.75" header="0.3" footer="0.3"/>
  <ignoredErrors>
    <ignoredError sqref="F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BEA1-7ED2-4A6B-AD90-23740CD0B9CF}">
  <dimension ref="A2:AF37"/>
  <sheetViews>
    <sheetView showGridLines="0" zoomScale="72" zoomScaleNormal="98" workbookViewId="0">
      <pane xSplit="1" topLeftCell="B1" activePane="topRight" state="frozen"/>
      <selection pane="topRight" activeCell="F29" sqref="F29"/>
    </sheetView>
  </sheetViews>
  <sheetFormatPr defaultRowHeight="14.4"/>
  <cols>
    <col min="1" max="1" width="23.33203125" customWidth="1"/>
    <col min="4" max="4" width="15.109375" customWidth="1"/>
    <col min="5" max="5" width="20.33203125" bestFit="1" customWidth="1"/>
    <col min="6" max="6" width="22.44140625" bestFit="1" customWidth="1"/>
    <col min="7" max="8" width="12.44140625" customWidth="1"/>
    <col min="9" max="9" width="18.77734375" bestFit="1" customWidth="1"/>
    <col min="10" max="10" width="16.88671875" customWidth="1"/>
    <col min="11" max="11" width="18.77734375" bestFit="1" customWidth="1"/>
    <col min="13" max="13" width="21.109375" bestFit="1" customWidth="1"/>
    <col min="14" max="14" width="11.77734375" customWidth="1"/>
    <col min="15" max="15" width="12.88671875" customWidth="1"/>
    <col min="16" max="16" width="11.109375" customWidth="1"/>
    <col min="17" max="17" width="10" customWidth="1"/>
    <col min="18" max="18" width="13.77734375" customWidth="1"/>
    <col min="19" max="20" width="11.77734375" customWidth="1"/>
    <col min="21" max="21" width="10.6640625" customWidth="1"/>
    <col min="22" max="22" width="10.77734375" customWidth="1"/>
    <col min="23" max="23" width="13.44140625" customWidth="1"/>
    <col min="24" max="24" width="15" customWidth="1"/>
    <col min="25" max="25" width="13.21875" customWidth="1"/>
  </cols>
  <sheetData>
    <row r="2" spans="1:27">
      <c r="A2" s="50" t="s">
        <v>35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>
      <c r="A3" s="212" t="s">
        <v>183</v>
      </c>
      <c r="B3" s="2"/>
      <c r="C3" s="2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</row>
    <row r="4" spans="1:27">
      <c r="A4" s="211"/>
      <c r="B4" s="211"/>
      <c r="C4" s="487" t="s">
        <v>36</v>
      </c>
      <c r="D4" s="487"/>
      <c r="E4" s="487"/>
      <c r="F4" s="487"/>
      <c r="G4" s="487"/>
      <c r="H4" s="211"/>
      <c r="I4" s="492" t="s">
        <v>186</v>
      </c>
      <c r="J4" s="492"/>
      <c r="K4" s="492"/>
      <c r="L4" s="492"/>
      <c r="M4" s="492"/>
      <c r="N4" s="492"/>
      <c r="O4" s="492"/>
      <c r="P4" s="492"/>
      <c r="Q4" s="492"/>
      <c r="R4" s="492"/>
      <c r="S4" s="213"/>
      <c r="T4" s="492" t="s">
        <v>187</v>
      </c>
      <c r="U4" s="492"/>
      <c r="V4" s="492"/>
      <c r="W4" s="492"/>
      <c r="X4" s="492"/>
      <c r="Y4" s="492"/>
      <c r="Z4" s="492"/>
      <c r="AA4" s="492"/>
    </row>
    <row r="5" spans="1:27" ht="27.6" customHeight="1" thickBot="1">
      <c r="A5" s="214" t="s">
        <v>10</v>
      </c>
      <c r="B5" s="215" t="s">
        <v>8</v>
      </c>
      <c r="C5" s="215" t="s">
        <v>23</v>
      </c>
      <c r="D5" s="215" t="s">
        <v>7</v>
      </c>
      <c r="E5" s="215" t="s">
        <v>11</v>
      </c>
      <c r="F5" s="215" t="s">
        <v>30</v>
      </c>
      <c r="G5" s="216" t="s">
        <v>13</v>
      </c>
      <c r="H5" s="217" t="s">
        <v>31</v>
      </c>
      <c r="I5" s="218" t="s">
        <v>29</v>
      </c>
      <c r="J5" s="219" t="s">
        <v>12</v>
      </c>
      <c r="K5" s="219" t="s">
        <v>14</v>
      </c>
      <c r="L5" s="219" t="s">
        <v>9</v>
      </c>
      <c r="M5" s="219" t="s">
        <v>1</v>
      </c>
      <c r="N5" s="219" t="s">
        <v>2</v>
      </c>
      <c r="O5" s="219" t="s">
        <v>3</v>
      </c>
      <c r="P5" s="219" t="s">
        <v>4</v>
      </c>
      <c r="Q5" s="219" t="s">
        <v>15</v>
      </c>
      <c r="R5" s="219"/>
      <c r="S5" s="218" t="s">
        <v>29</v>
      </c>
      <c r="T5" s="219" t="s">
        <v>12</v>
      </c>
      <c r="U5" s="219" t="s">
        <v>14</v>
      </c>
      <c r="V5" s="219" t="s">
        <v>9</v>
      </c>
      <c r="W5" s="219" t="s">
        <v>1</v>
      </c>
      <c r="X5" s="219" t="s">
        <v>2</v>
      </c>
      <c r="Y5" s="219" t="s">
        <v>3</v>
      </c>
      <c r="Z5" s="219" t="s">
        <v>5</v>
      </c>
      <c r="AA5" s="220" t="s">
        <v>6</v>
      </c>
    </row>
    <row r="6" spans="1:27">
      <c r="A6" s="211" t="s">
        <v>19</v>
      </c>
      <c r="B6" s="274">
        <v>24710</v>
      </c>
      <c r="C6" s="275">
        <v>7.0000000000000007E-2</v>
      </c>
      <c r="D6" s="221">
        <f>C6-$D$29</f>
        <v>5.3100000000000001E-2</v>
      </c>
      <c r="E6" s="279">
        <f>(943000000000)/1000000</f>
        <v>943000</v>
      </c>
      <c r="F6" s="279">
        <v>16140</v>
      </c>
      <c r="G6" s="280">
        <v>36.079470000000001</v>
      </c>
      <c r="H6" s="280">
        <v>0.28000000000000003</v>
      </c>
      <c r="I6" s="222">
        <f t="shared" ref="I6:I12" si="0">E6/N6</f>
        <v>50159.574468085106</v>
      </c>
      <c r="J6" s="223">
        <f t="shared" ref="J6:J12" si="1">I6-F6</f>
        <v>34019.574468085106</v>
      </c>
      <c r="K6" s="223">
        <f t="shared" ref="K6:K12" si="2">J6*(1-H6)</f>
        <v>24494.093617021274</v>
      </c>
      <c r="L6" s="224">
        <f>K6/G6</f>
        <v>678.89283343190107</v>
      </c>
      <c r="M6" s="283">
        <v>4.5999999999999996</v>
      </c>
      <c r="N6" s="283">
        <v>18.8</v>
      </c>
      <c r="O6" s="171">
        <f>E6/J6</f>
        <v>27.719335551497259</v>
      </c>
      <c r="P6" s="171">
        <f>B6/L6</f>
        <v>36.397497194199843</v>
      </c>
      <c r="Q6" s="171">
        <f>P6/(1+D6)</f>
        <v>34.562242136739002</v>
      </c>
      <c r="R6" s="211"/>
      <c r="S6" s="225">
        <f>E6/X6</f>
        <v>58209.876543209881</v>
      </c>
      <c r="T6" s="223">
        <f>S6-F6</f>
        <v>42069.876543209881</v>
      </c>
      <c r="U6" s="223">
        <f>T6*(1-H6)</f>
        <v>30290.311111111114</v>
      </c>
      <c r="V6" s="224">
        <f>U6/G6</f>
        <v>839.54423696110598</v>
      </c>
      <c r="W6" s="283">
        <v>4.0999999999999996</v>
      </c>
      <c r="X6" s="283">
        <v>16.2</v>
      </c>
      <c r="Y6" s="171">
        <f>E6/T6</f>
        <v>22.415088359754197</v>
      </c>
      <c r="Z6" s="171">
        <f>B6/V6</f>
        <v>29.432636080550875</v>
      </c>
      <c r="AA6" s="226">
        <f>Z6/(1+D6)</f>
        <v>27.948567164135294</v>
      </c>
    </row>
    <row r="7" spans="1:27">
      <c r="A7" s="211" t="s">
        <v>18</v>
      </c>
      <c r="B7" s="274">
        <v>2327</v>
      </c>
      <c r="C7" s="275">
        <v>0.08</v>
      </c>
      <c r="D7" s="221">
        <f t="shared" ref="D7:D12" si="3">C7-$D$29</f>
        <v>6.3099999999999989E-2</v>
      </c>
      <c r="E7" s="279">
        <v>447000</v>
      </c>
      <c r="F7" s="279">
        <v>8760</v>
      </c>
      <c r="G7" s="280">
        <v>187.799511</v>
      </c>
      <c r="H7" s="280">
        <v>0.28000000000000003</v>
      </c>
      <c r="I7" s="225">
        <f t="shared" si="0"/>
        <v>35196.850393700792</v>
      </c>
      <c r="J7" s="223">
        <f t="shared" si="1"/>
        <v>26436.850393700792</v>
      </c>
      <c r="K7" s="223">
        <f t="shared" si="2"/>
        <v>19034.53228346457</v>
      </c>
      <c r="L7" s="224">
        <f t="shared" ref="L7:L12" si="4">K7/G7</f>
        <v>101.35560088580087</v>
      </c>
      <c r="M7" s="283">
        <v>2.1</v>
      </c>
      <c r="N7" s="283">
        <v>12.7</v>
      </c>
      <c r="O7" s="171">
        <f t="shared" ref="O7:O12" si="5">E7/J7</f>
        <v>16.90821687694342</v>
      </c>
      <c r="P7" s="171">
        <f t="shared" ref="P7:P12" si="6">B7/L7</f>
        <v>22.958770701008142</v>
      </c>
      <c r="Q7" s="171">
        <f t="shared" ref="Q7:Q12" si="7">P7/(1+D7)</f>
        <v>21.596059355665641</v>
      </c>
      <c r="R7" s="211"/>
      <c r="S7" s="225">
        <f t="shared" ref="S7:S12" si="8">E7/X7</f>
        <v>41775.700934579443</v>
      </c>
      <c r="T7" s="223">
        <f t="shared" ref="T7:T12" si="9">S7-F7</f>
        <v>33015.700934579443</v>
      </c>
      <c r="U7" s="223">
        <f t="shared" ref="U7:U12" si="10">T7*(1-H7)</f>
        <v>23771.304672897197</v>
      </c>
      <c r="V7" s="224">
        <f t="shared" ref="V7:V12" si="11">U7/G7</f>
        <v>126.57809674966191</v>
      </c>
      <c r="W7" s="283">
        <v>2</v>
      </c>
      <c r="X7" s="283">
        <v>10.7</v>
      </c>
      <c r="Y7" s="171">
        <f t="shared" ref="Y7:Y12" si="12">E7/T7</f>
        <v>13.539012874078601</v>
      </c>
      <c r="Z7" s="171">
        <f t="shared" ref="Z7:Z12" si="13">B7/V7</f>
        <v>18.383907324836716</v>
      </c>
      <c r="AA7" s="226">
        <f t="shared" ref="AA7:AA12" si="14">Z7/(1+D7)</f>
        <v>17.292735702038112</v>
      </c>
    </row>
    <row r="8" spans="1:27">
      <c r="A8" s="211" t="s">
        <v>21</v>
      </c>
      <c r="B8" s="274">
        <v>4386</v>
      </c>
      <c r="C8" s="275">
        <v>0.1</v>
      </c>
      <c r="D8" s="221">
        <f t="shared" si="3"/>
        <v>8.3100000000000007E-2</v>
      </c>
      <c r="E8" s="279">
        <v>376000</v>
      </c>
      <c r="F8" s="279">
        <v>4850</v>
      </c>
      <c r="G8" s="280">
        <v>77.276897000000005</v>
      </c>
      <c r="H8" s="280">
        <v>0.28000000000000003</v>
      </c>
      <c r="I8" s="225">
        <f t="shared" si="0"/>
        <v>22380.952380952382</v>
      </c>
      <c r="J8" s="223">
        <f t="shared" si="1"/>
        <v>17530.952380952382</v>
      </c>
      <c r="K8" s="223">
        <f t="shared" si="2"/>
        <v>12622.285714285714</v>
      </c>
      <c r="L8" s="224">
        <f t="shared" si="4"/>
        <v>163.33841295783023</v>
      </c>
      <c r="M8" s="283">
        <v>3.1</v>
      </c>
      <c r="N8" s="283">
        <v>16.8</v>
      </c>
      <c r="O8" s="171">
        <f t="shared" si="5"/>
        <v>21.447779437729185</v>
      </c>
      <c r="P8" s="171">
        <f t="shared" si="6"/>
        <v>26.852226127190008</v>
      </c>
      <c r="Q8" s="171">
        <f t="shared" si="7"/>
        <v>24.792010088809906</v>
      </c>
      <c r="R8" s="211"/>
      <c r="S8" s="225">
        <f t="shared" si="8"/>
        <v>26666.666666666668</v>
      </c>
      <c r="T8" s="223">
        <f t="shared" si="9"/>
        <v>21816.666666666668</v>
      </c>
      <c r="U8" s="223">
        <f t="shared" si="10"/>
        <v>15708</v>
      </c>
      <c r="V8" s="224">
        <f t="shared" si="11"/>
        <v>203.26903136392755</v>
      </c>
      <c r="W8" s="283">
        <v>2.8</v>
      </c>
      <c r="X8" s="283">
        <v>14.1</v>
      </c>
      <c r="Y8" s="171">
        <f t="shared" si="12"/>
        <v>17.234530175706645</v>
      </c>
      <c r="Z8" s="171">
        <f t="shared" si="13"/>
        <v>21.577315396103899</v>
      </c>
      <c r="AA8" s="226">
        <f t="shared" si="14"/>
        <v>19.921812756074139</v>
      </c>
    </row>
    <row r="9" spans="1:27">
      <c r="A9" s="211" t="s">
        <v>22</v>
      </c>
      <c r="B9" s="274">
        <v>770</v>
      </c>
      <c r="C9" s="275">
        <v>0.09</v>
      </c>
      <c r="D9" s="221">
        <f t="shared" si="3"/>
        <v>7.3099999999999998E-2</v>
      </c>
      <c r="E9" s="279">
        <v>120000</v>
      </c>
      <c r="F9" s="279">
        <v>1940</v>
      </c>
      <c r="G9" s="280">
        <v>77.276897000000005</v>
      </c>
      <c r="H9" s="280">
        <v>0.28000000000000003</v>
      </c>
      <c r="I9" s="225">
        <f t="shared" si="0"/>
        <v>12371.134020618558</v>
      </c>
      <c r="J9" s="223">
        <f t="shared" si="1"/>
        <v>10431.134020618558</v>
      </c>
      <c r="K9" s="223">
        <f t="shared" si="2"/>
        <v>7510.4164948453617</v>
      </c>
      <c r="L9" s="224">
        <f t="shared" si="4"/>
        <v>97.188380828041801</v>
      </c>
      <c r="M9" s="283">
        <v>1.6</v>
      </c>
      <c r="N9" s="283">
        <v>9.6999999999999993</v>
      </c>
      <c r="O9" s="171">
        <f t="shared" si="5"/>
        <v>11.504022454586783</v>
      </c>
      <c r="P9" s="171">
        <f t="shared" si="6"/>
        <v>7.9227577765945414</v>
      </c>
      <c r="Q9" s="171">
        <f t="shared" si="7"/>
        <v>7.3830563569048007</v>
      </c>
      <c r="R9" s="211"/>
      <c r="S9" s="225">
        <f t="shared" si="8"/>
        <v>14117.64705882353</v>
      </c>
      <c r="T9" s="223">
        <f t="shared" si="9"/>
        <v>12177.64705882353</v>
      </c>
      <c r="U9" s="223">
        <f t="shared" si="10"/>
        <v>8767.9058823529413</v>
      </c>
      <c r="V9" s="224">
        <f t="shared" si="11"/>
        <v>113.46089481767029</v>
      </c>
      <c r="W9" s="283">
        <v>1.5</v>
      </c>
      <c r="X9" s="283">
        <v>8.5</v>
      </c>
      <c r="Y9" s="171">
        <f t="shared" si="12"/>
        <v>9.85412037484301</v>
      </c>
      <c r="Z9" s="171">
        <f t="shared" si="13"/>
        <v>6.786479176260479</v>
      </c>
      <c r="AA9" s="226">
        <f t="shared" si="14"/>
        <v>6.3241815080239299</v>
      </c>
    </row>
    <row r="10" spans="1:27">
      <c r="A10" s="227" t="s">
        <v>16</v>
      </c>
      <c r="B10" s="274">
        <v>167</v>
      </c>
      <c r="C10" s="276">
        <v>5.1999999999999998E-2</v>
      </c>
      <c r="D10" s="221">
        <f t="shared" si="3"/>
        <v>3.5099999999999992E-2</v>
      </c>
      <c r="E10" s="279">
        <v>99000</v>
      </c>
      <c r="F10" s="279">
        <v>3700</v>
      </c>
      <c r="G10" s="280">
        <v>117.67</v>
      </c>
      <c r="H10" s="280">
        <v>0.28000000000000003</v>
      </c>
      <c r="I10" s="225">
        <f t="shared" si="0"/>
        <v>6689.1891891891892</v>
      </c>
      <c r="J10" s="223">
        <f t="shared" si="1"/>
        <v>2989.1891891891892</v>
      </c>
      <c r="K10" s="223">
        <f t="shared" si="2"/>
        <v>2152.2162162162163</v>
      </c>
      <c r="L10" s="224">
        <f t="shared" si="4"/>
        <v>18.290271234947024</v>
      </c>
      <c r="M10" s="283">
        <v>1.2</v>
      </c>
      <c r="N10" s="283">
        <v>14.8</v>
      </c>
      <c r="O10" s="171">
        <f t="shared" si="5"/>
        <v>33.119349005424958</v>
      </c>
      <c r="P10" s="171">
        <f t="shared" si="6"/>
        <v>9.1305370956399425</v>
      </c>
      <c r="Q10" s="171">
        <f t="shared" si="7"/>
        <v>8.8209227085691655</v>
      </c>
      <c r="R10" s="211"/>
      <c r="S10" s="225">
        <f t="shared" si="8"/>
        <v>7500</v>
      </c>
      <c r="T10" s="223">
        <f t="shared" si="9"/>
        <v>3800</v>
      </c>
      <c r="U10" s="223">
        <f t="shared" si="10"/>
        <v>2736</v>
      </c>
      <c r="V10" s="224">
        <f t="shared" si="11"/>
        <v>23.251465964136994</v>
      </c>
      <c r="W10" s="283">
        <v>1.2</v>
      </c>
      <c r="X10" s="283">
        <v>13.2</v>
      </c>
      <c r="Y10" s="171">
        <f t="shared" si="12"/>
        <v>26.05263157894737</v>
      </c>
      <c r="Z10" s="171">
        <f t="shared" si="13"/>
        <v>7.1823428362573098</v>
      </c>
      <c r="AA10" s="226">
        <f t="shared" si="14"/>
        <v>6.9387912629285191</v>
      </c>
    </row>
    <row r="11" spans="1:27">
      <c r="A11" s="227" t="s">
        <v>17</v>
      </c>
      <c r="B11" s="274">
        <v>329.5</v>
      </c>
      <c r="C11" s="276">
        <v>9.0999999999999998E-2</v>
      </c>
      <c r="D11" s="221">
        <f t="shared" si="3"/>
        <v>7.4099999999999999E-2</v>
      </c>
      <c r="E11" s="279">
        <v>72000</v>
      </c>
      <c r="F11" s="279">
        <v>1490</v>
      </c>
      <c r="G11" s="280">
        <v>205.08715100000001</v>
      </c>
      <c r="H11" s="280">
        <v>0.28000000000000003</v>
      </c>
      <c r="I11" s="225">
        <f t="shared" si="0"/>
        <v>5333.333333333333</v>
      </c>
      <c r="J11" s="223">
        <f t="shared" si="1"/>
        <v>3843.333333333333</v>
      </c>
      <c r="K11" s="223">
        <f t="shared" si="2"/>
        <v>2767.2</v>
      </c>
      <c r="L11" s="224">
        <f t="shared" si="4"/>
        <v>13.492800433899438</v>
      </c>
      <c r="M11" s="283">
        <v>2.1</v>
      </c>
      <c r="N11" s="283">
        <v>13.5</v>
      </c>
      <c r="O11" s="171">
        <f t="shared" si="5"/>
        <v>18.733738074588032</v>
      </c>
      <c r="P11" s="171">
        <f t="shared" si="6"/>
        <v>24.420430852305582</v>
      </c>
      <c r="Q11" s="171">
        <f t="shared" si="7"/>
        <v>22.735714414212438</v>
      </c>
      <c r="R11" s="211"/>
      <c r="S11" s="225">
        <f t="shared" si="8"/>
        <v>6050.4201680672268</v>
      </c>
      <c r="T11" s="223">
        <f t="shared" si="9"/>
        <v>4560.4201680672268</v>
      </c>
      <c r="U11" s="223">
        <f t="shared" si="10"/>
        <v>3283.5025210084032</v>
      </c>
      <c r="V11" s="224">
        <f t="shared" si="11"/>
        <v>16.010279069157303</v>
      </c>
      <c r="W11" s="283">
        <v>1.9</v>
      </c>
      <c r="X11" s="283">
        <v>11.9</v>
      </c>
      <c r="Y11" s="171">
        <f t="shared" si="12"/>
        <v>15.788018942674455</v>
      </c>
      <c r="Z11" s="171">
        <f t="shared" si="13"/>
        <v>20.580528207953538</v>
      </c>
      <c r="AA11" s="226">
        <f t="shared" si="14"/>
        <v>19.160718934879004</v>
      </c>
    </row>
    <row r="12" spans="1:27" ht="15" thickBot="1">
      <c r="A12" s="228" t="s">
        <v>20</v>
      </c>
      <c r="B12" s="277">
        <v>231.75</v>
      </c>
      <c r="C12" s="278">
        <v>8.4000000000000005E-2</v>
      </c>
      <c r="D12" s="229">
        <f t="shared" si="3"/>
        <v>6.7099999999999993E-2</v>
      </c>
      <c r="E12" s="281">
        <v>50000</v>
      </c>
      <c r="F12" s="281">
        <v>1097</v>
      </c>
      <c r="G12" s="282">
        <v>226.40287799999999</v>
      </c>
      <c r="H12" s="282">
        <v>0.28000000000000003</v>
      </c>
      <c r="I12" s="230">
        <f t="shared" si="0"/>
        <v>4032.2580645161288</v>
      </c>
      <c r="J12" s="231">
        <f t="shared" si="1"/>
        <v>2935.2580645161288</v>
      </c>
      <c r="K12" s="231">
        <f t="shared" si="2"/>
        <v>2113.3858064516126</v>
      </c>
      <c r="L12" s="232">
        <f t="shared" si="4"/>
        <v>9.3346242994826802</v>
      </c>
      <c r="M12" s="284">
        <v>1.9</v>
      </c>
      <c r="N12" s="284">
        <v>12.4</v>
      </c>
      <c r="O12" s="233">
        <f t="shared" si="5"/>
        <v>17.034277361994882</v>
      </c>
      <c r="P12" s="233">
        <f t="shared" si="6"/>
        <v>24.826923137425407</v>
      </c>
      <c r="Q12" s="233">
        <f t="shared" si="7"/>
        <v>23.265788714670986</v>
      </c>
      <c r="R12" s="234"/>
      <c r="S12" s="230">
        <f t="shared" si="8"/>
        <v>4672.8971962616824</v>
      </c>
      <c r="T12" s="231">
        <f t="shared" si="9"/>
        <v>3575.8971962616824</v>
      </c>
      <c r="U12" s="231">
        <f t="shared" si="10"/>
        <v>2574.6459813084111</v>
      </c>
      <c r="V12" s="232">
        <f t="shared" si="11"/>
        <v>11.371966664259503</v>
      </c>
      <c r="W12" s="284">
        <v>1.8</v>
      </c>
      <c r="X12" s="284">
        <v>10.7</v>
      </c>
      <c r="Y12" s="233">
        <f t="shared" si="12"/>
        <v>13.982504880808946</v>
      </c>
      <c r="Z12" s="233">
        <f t="shared" si="13"/>
        <v>20.379060794150739</v>
      </c>
      <c r="AA12" s="235">
        <f t="shared" si="14"/>
        <v>19.097611090011</v>
      </c>
    </row>
    <row r="13" spans="1:27" ht="15" thickTop="1">
      <c r="A13" s="211"/>
      <c r="B13" s="211"/>
      <c r="C13" s="211"/>
      <c r="D13" s="211"/>
      <c r="E13" s="211"/>
      <c r="F13" s="211"/>
      <c r="G13" s="211"/>
      <c r="H13" s="211"/>
      <c r="I13" s="227" t="s">
        <v>74</v>
      </c>
      <c r="J13" s="211"/>
      <c r="K13" s="211"/>
      <c r="L13" s="211"/>
      <c r="M13" s="211"/>
      <c r="N13" s="211"/>
      <c r="O13" s="211"/>
      <c r="P13" s="211"/>
      <c r="Q13" s="211"/>
      <c r="R13" s="211"/>
      <c r="S13" s="227" t="s">
        <v>74</v>
      </c>
      <c r="T13" s="211"/>
      <c r="U13" s="211"/>
      <c r="V13" s="211"/>
      <c r="W13" s="211"/>
      <c r="X13" s="211"/>
      <c r="Y13" s="211"/>
      <c r="Z13" s="211"/>
      <c r="AA13" s="236"/>
    </row>
    <row r="14" spans="1:27">
      <c r="A14" s="237" t="s">
        <v>37</v>
      </c>
      <c r="B14" s="211"/>
      <c r="C14" s="211"/>
      <c r="D14" s="211"/>
      <c r="E14" s="211"/>
      <c r="F14" s="211"/>
      <c r="G14" s="211"/>
      <c r="H14" s="211"/>
      <c r="I14" s="227"/>
      <c r="J14" s="211"/>
      <c r="K14" s="211"/>
      <c r="L14" s="211"/>
      <c r="M14" s="171">
        <f>MAX(M6:M12)</f>
        <v>4.5999999999999996</v>
      </c>
      <c r="N14" s="171">
        <f t="shared" ref="N14:Q14" si="15">MAX(N6:N12)</f>
        <v>18.8</v>
      </c>
      <c r="O14" s="171">
        <f t="shared" si="15"/>
        <v>33.119349005424958</v>
      </c>
      <c r="P14" s="171">
        <f t="shared" si="15"/>
        <v>36.397497194199843</v>
      </c>
      <c r="Q14" s="171">
        <f t="shared" si="15"/>
        <v>34.562242136739002</v>
      </c>
      <c r="R14" s="211"/>
      <c r="S14" s="227"/>
      <c r="T14" s="211"/>
      <c r="U14" s="211"/>
      <c r="V14" s="211"/>
      <c r="W14" s="171">
        <f>MAX(W6:W12)</f>
        <v>4.0999999999999996</v>
      </c>
      <c r="X14" s="171">
        <f t="shared" ref="X14:AA14" si="16">MAX(X6:X12)</f>
        <v>16.2</v>
      </c>
      <c r="Y14" s="171">
        <f t="shared" si="16"/>
        <v>26.05263157894737</v>
      </c>
      <c r="Z14" s="171">
        <f t="shared" si="16"/>
        <v>29.432636080550875</v>
      </c>
      <c r="AA14" s="226">
        <f t="shared" si="16"/>
        <v>27.948567164135294</v>
      </c>
    </row>
    <row r="15" spans="1:27">
      <c r="A15" s="237" t="s">
        <v>38</v>
      </c>
      <c r="B15" s="211"/>
      <c r="C15" s="211"/>
      <c r="D15" s="211"/>
      <c r="E15" s="211"/>
      <c r="F15" s="211"/>
      <c r="G15" s="211"/>
      <c r="H15" s="211"/>
      <c r="I15" s="227"/>
      <c r="J15" s="211"/>
      <c r="K15" s="211"/>
      <c r="L15" s="211"/>
      <c r="M15" s="171">
        <f>MIN(M6:M12)</f>
        <v>1.2</v>
      </c>
      <c r="N15" s="171">
        <f t="shared" ref="N15:Q15" si="17">MIN(N6:N12)</f>
        <v>9.6999999999999993</v>
      </c>
      <c r="O15" s="171">
        <f t="shared" si="17"/>
        <v>11.504022454586783</v>
      </c>
      <c r="P15" s="171">
        <f t="shared" si="17"/>
        <v>7.9227577765945414</v>
      </c>
      <c r="Q15" s="171">
        <f t="shared" si="17"/>
        <v>7.3830563569048007</v>
      </c>
      <c r="R15" s="211"/>
      <c r="S15" s="227"/>
      <c r="T15" s="211"/>
      <c r="U15" s="211"/>
      <c r="V15" s="211"/>
      <c r="W15" s="171">
        <f>MIN(W6:W12)</f>
        <v>1.2</v>
      </c>
      <c r="X15" s="171">
        <f t="shared" ref="X15:AA15" si="18">MIN(X6:X12)</f>
        <v>8.5</v>
      </c>
      <c r="Y15" s="171">
        <f t="shared" si="18"/>
        <v>9.85412037484301</v>
      </c>
      <c r="Z15" s="171">
        <f t="shared" si="18"/>
        <v>6.786479176260479</v>
      </c>
      <c r="AA15" s="226">
        <f t="shared" si="18"/>
        <v>6.3241815080239299</v>
      </c>
    </row>
    <row r="16" spans="1:27">
      <c r="A16" s="237" t="s">
        <v>39</v>
      </c>
      <c r="B16" s="211"/>
      <c r="C16" s="211"/>
      <c r="D16" s="211"/>
      <c r="E16" s="211"/>
      <c r="F16" s="211"/>
      <c r="G16" s="211"/>
      <c r="H16" s="211"/>
      <c r="I16" s="227"/>
      <c r="J16" s="211"/>
      <c r="K16" s="211"/>
      <c r="L16" s="211"/>
      <c r="M16" s="171">
        <f>MEDIAN(M6:M12)</f>
        <v>2.1</v>
      </c>
      <c r="N16" s="171">
        <f t="shared" ref="N16:Q16" si="19">MEDIAN(N6:N12)</f>
        <v>13.5</v>
      </c>
      <c r="O16" s="171">
        <f t="shared" si="19"/>
        <v>18.733738074588032</v>
      </c>
      <c r="P16" s="171">
        <f t="shared" si="19"/>
        <v>24.420430852305582</v>
      </c>
      <c r="Q16" s="171">
        <f t="shared" si="19"/>
        <v>22.735714414212438</v>
      </c>
      <c r="R16" s="211"/>
      <c r="S16" s="227"/>
      <c r="T16" s="211"/>
      <c r="U16" s="211"/>
      <c r="V16" s="211"/>
      <c r="W16" s="171">
        <f>MEDIAN(W6:W12)</f>
        <v>1.9</v>
      </c>
      <c r="X16" s="171">
        <f t="shared" ref="X16:AA16" si="20">MEDIAN(X6:X12)</f>
        <v>11.9</v>
      </c>
      <c r="Y16" s="171">
        <f t="shared" si="20"/>
        <v>15.788018942674455</v>
      </c>
      <c r="Z16" s="171">
        <f t="shared" si="20"/>
        <v>20.379060794150739</v>
      </c>
      <c r="AA16" s="226">
        <f t="shared" si="20"/>
        <v>19.097611090011</v>
      </c>
    </row>
    <row r="17" spans="1:32" s="156" customFormat="1">
      <c r="A17" s="238" t="s">
        <v>40</v>
      </c>
      <c r="B17" s="239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40">
        <f>AVERAGE(M6:M12)</f>
        <v>2.371428571428571</v>
      </c>
      <c r="N17" s="240">
        <f t="shared" ref="N17:Q17" si="21">AVERAGE(N6:N12)</f>
        <v>14.1</v>
      </c>
      <c r="O17" s="240">
        <f t="shared" si="21"/>
        <v>20.923816966109218</v>
      </c>
      <c r="P17" s="240">
        <f t="shared" si="21"/>
        <v>21.787020412051923</v>
      </c>
      <c r="Q17" s="240">
        <f t="shared" si="21"/>
        <v>20.450827682224563</v>
      </c>
      <c r="R17" s="239"/>
      <c r="S17" s="241"/>
      <c r="T17" s="239"/>
      <c r="U17" s="239"/>
      <c r="V17" s="239"/>
      <c r="W17" s="240">
        <f>AVERAGE(W6:W12)</f>
        <v>2.1857142857142855</v>
      </c>
      <c r="X17" s="240">
        <f t="shared" ref="X17:AA17" si="22">AVERAGE(X6:X12)</f>
        <v>12.185714285714287</v>
      </c>
      <c r="Y17" s="240">
        <f t="shared" si="22"/>
        <v>16.980843883830463</v>
      </c>
      <c r="Z17" s="240">
        <f t="shared" si="22"/>
        <v>17.760324259444793</v>
      </c>
      <c r="AA17" s="242">
        <f t="shared" si="22"/>
        <v>16.669202631155713</v>
      </c>
      <c r="AB17"/>
      <c r="AC17"/>
      <c r="AD17"/>
      <c r="AE17"/>
      <c r="AF17"/>
    </row>
    <row r="18" spans="1:32" s="155" customFormat="1">
      <c r="A18" s="243" t="s">
        <v>20</v>
      </c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5">
        <f>M12</f>
        <v>1.9</v>
      </c>
      <c r="N18" s="245">
        <f t="shared" ref="N18:Q18" si="23">N12</f>
        <v>12.4</v>
      </c>
      <c r="O18" s="245">
        <f t="shared" si="23"/>
        <v>17.034277361994882</v>
      </c>
      <c r="P18" s="245">
        <f t="shared" si="23"/>
        <v>24.826923137425407</v>
      </c>
      <c r="Q18" s="245">
        <f t="shared" si="23"/>
        <v>23.265788714670986</v>
      </c>
      <c r="R18" s="244"/>
      <c r="S18" s="246"/>
      <c r="T18" s="244"/>
      <c r="U18" s="244"/>
      <c r="V18" s="244"/>
      <c r="W18" s="245">
        <f>W12</f>
        <v>1.8</v>
      </c>
      <c r="X18" s="245">
        <f t="shared" ref="X18:AA18" si="24">X12</f>
        <v>10.7</v>
      </c>
      <c r="Y18" s="245">
        <f t="shared" si="24"/>
        <v>13.982504880808946</v>
      </c>
      <c r="Z18" s="245">
        <f t="shared" si="24"/>
        <v>20.379060794150739</v>
      </c>
      <c r="AA18" s="247">
        <f t="shared" si="24"/>
        <v>19.097611090011</v>
      </c>
      <c r="AB18"/>
      <c r="AC18"/>
      <c r="AD18"/>
      <c r="AE18"/>
      <c r="AF18"/>
    </row>
    <row r="19" spans="1:32" s="155" customFormat="1">
      <c r="A19" s="248" t="s">
        <v>104</v>
      </c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9">
        <f>M17*'Transaction comp'!D7</f>
        <v>56103.257142857132</v>
      </c>
      <c r="N19" s="249">
        <f>N17*'Transaction comp'!D8</f>
        <v>44668.799999999996</v>
      </c>
      <c r="O19" s="249">
        <f>O17*J12</f>
        <v>61416.802490231479</v>
      </c>
      <c r="P19" s="244"/>
      <c r="Q19" s="244"/>
      <c r="R19" s="244"/>
      <c r="S19" s="246"/>
      <c r="T19" s="244"/>
      <c r="U19" s="244"/>
      <c r="V19" s="244"/>
      <c r="W19" s="249">
        <f>W17*'Transaction comp'!D7</f>
        <v>51709.62857142857</v>
      </c>
      <c r="X19" s="249">
        <f>X17*'Transaction comp'!D8</f>
        <v>38604.342857142859</v>
      </c>
      <c r="Y19" s="249">
        <f>Y17*T12</f>
        <v>60721.752034346689</v>
      </c>
      <c r="Z19" s="244"/>
      <c r="AA19" s="250"/>
      <c r="AB19"/>
      <c r="AC19"/>
      <c r="AD19"/>
      <c r="AE19"/>
      <c r="AF19"/>
    </row>
    <row r="20" spans="1:32" s="155" customFormat="1" ht="15" thickBot="1">
      <c r="A20" s="251" t="s">
        <v>200</v>
      </c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  <c r="M20" s="253">
        <f>M19/$G$12</f>
        <v>247.80275603588896</v>
      </c>
      <c r="N20" s="253">
        <f t="shared" ref="N20:O20" si="25">N19/$G$12</f>
        <v>197.29784530389227</v>
      </c>
      <c r="O20" s="253">
        <f t="shared" si="25"/>
        <v>271.27218095801538</v>
      </c>
      <c r="P20" s="253"/>
      <c r="Q20" s="253">
        <f>Q17*L12</f>
        <v>190.90079302702648</v>
      </c>
      <c r="R20" s="253"/>
      <c r="S20" s="254"/>
      <c r="T20" s="253"/>
      <c r="U20" s="253"/>
      <c r="V20" s="253"/>
      <c r="W20" s="253">
        <f t="shared" ref="W20" si="26">W19/$G$12</f>
        <v>228.3965161053676</v>
      </c>
      <c r="X20" s="253">
        <f t="shared" ref="X20:Y20" si="27">X19/$G$12</f>
        <v>170.51171433051687</v>
      </c>
      <c r="Y20" s="253">
        <f t="shared" si="27"/>
        <v>268.20220913599292</v>
      </c>
      <c r="Z20" s="253"/>
      <c r="AA20" s="255">
        <f>AA17*V12</f>
        <v>189.56161664128956</v>
      </c>
      <c r="AB20"/>
      <c r="AC20"/>
      <c r="AD20"/>
      <c r="AE20"/>
      <c r="AF20"/>
    </row>
    <row r="22" spans="1:32">
      <c r="A22" s="210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</row>
    <row r="23" spans="1:32">
      <c r="A23" s="210" t="s">
        <v>206</v>
      </c>
      <c r="B23" s="258"/>
      <c r="C23" s="259"/>
      <c r="D23" s="260"/>
      <c r="E23" s="211"/>
      <c r="F23" s="211"/>
      <c r="G23" s="211"/>
      <c r="H23" s="211"/>
      <c r="I23" s="211"/>
      <c r="J23" s="211"/>
      <c r="K23" s="211"/>
      <c r="L23" s="258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60"/>
      <c r="X23" s="211"/>
    </row>
    <row r="24" spans="1:32" ht="14.4" customHeight="1">
      <c r="A24" s="211" t="s">
        <v>23</v>
      </c>
      <c r="B24" s="227"/>
      <c r="C24" s="211"/>
      <c r="D24" s="236" t="s">
        <v>28</v>
      </c>
      <c r="E24" s="211"/>
      <c r="F24" s="211"/>
      <c r="G24" s="211"/>
      <c r="H24" s="211"/>
      <c r="I24" s="211"/>
      <c r="J24" s="211"/>
      <c r="K24" s="211"/>
      <c r="L24" s="227"/>
      <c r="M24" s="489" t="s">
        <v>249</v>
      </c>
      <c r="N24" s="488" t="s">
        <v>251</v>
      </c>
      <c r="O24" s="488"/>
      <c r="P24" s="488" t="s">
        <v>250</v>
      </c>
      <c r="Q24" s="488"/>
      <c r="R24" s="261"/>
      <c r="S24" s="491" t="s">
        <v>252</v>
      </c>
      <c r="T24" s="491"/>
      <c r="U24" s="491"/>
      <c r="V24" s="491"/>
      <c r="W24" s="236"/>
      <c r="X24" s="211"/>
    </row>
    <row r="25" spans="1:32">
      <c r="A25" s="211" t="s">
        <v>24</v>
      </c>
      <c r="B25" s="227"/>
      <c r="C25" s="211"/>
      <c r="D25" s="468">
        <v>6.7000000000000004E-2</v>
      </c>
      <c r="E25" s="211"/>
      <c r="F25" s="211"/>
      <c r="G25" s="211"/>
      <c r="H25" s="211"/>
      <c r="I25" s="211"/>
      <c r="J25" s="211"/>
      <c r="K25" s="211"/>
      <c r="L25" s="227"/>
      <c r="M25" s="490"/>
      <c r="N25" s="262" t="s">
        <v>37</v>
      </c>
      <c r="O25" s="263" t="s">
        <v>38</v>
      </c>
      <c r="P25" s="262" t="s">
        <v>37</v>
      </c>
      <c r="Q25" s="263" t="s">
        <v>38</v>
      </c>
      <c r="R25" s="264"/>
      <c r="S25" s="488" t="s">
        <v>251</v>
      </c>
      <c r="T25" s="488"/>
      <c r="U25" s="488" t="s">
        <v>250</v>
      </c>
      <c r="V25" s="488"/>
      <c r="W25" s="236"/>
      <c r="X25" s="211"/>
    </row>
    <row r="26" spans="1:32" ht="15" thickBot="1">
      <c r="A26" s="211" t="s">
        <v>32</v>
      </c>
      <c r="B26" s="227"/>
      <c r="C26" s="211"/>
      <c r="D26" s="469">
        <v>0.06</v>
      </c>
      <c r="E26" s="211"/>
      <c r="F26" s="211"/>
      <c r="G26" s="211"/>
      <c r="H26" s="211"/>
      <c r="I26" s="211"/>
      <c r="J26" s="211"/>
      <c r="K26" s="211"/>
      <c r="L26" s="227"/>
      <c r="M26" s="256" t="s">
        <v>1</v>
      </c>
      <c r="N26" s="265">
        <f>AVERAGE(M14,W14)*'Transaction comp'!D7</f>
        <v>102912.29999999999</v>
      </c>
      <c r="O26" s="265">
        <f>AVERAGE(M15,W15)*'Transaction comp'!D7</f>
        <v>28389.599999999999</v>
      </c>
      <c r="P26" s="266">
        <f>N26/'Transaction comp'!D6</f>
        <v>454.55385068029034</v>
      </c>
      <c r="Q26" s="266">
        <f>O26/'Transaction comp'!D6</f>
        <v>125.39416570490769</v>
      </c>
      <c r="R26" s="267"/>
      <c r="S26" s="483">
        <f>AVERAGE(M19,W19)</f>
        <v>53906.442857142851</v>
      </c>
      <c r="T26" s="484"/>
      <c r="U26" s="485">
        <f>S26/'Transaction comp'!D6</f>
        <v>238.09963607062829</v>
      </c>
      <c r="V26" s="486"/>
      <c r="W26" s="236"/>
      <c r="X26" s="211"/>
    </row>
    <row r="27" spans="1:32" ht="15" thickBot="1">
      <c r="A27" s="211" t="s">
        <v>25</v>
      </c>
      <c r="B27" s="227"/>
      <c r="C27" s="211"/>
      <c r="D27" s="468">
        <v>9.9000000000000008E-3</v>
      </c>
      <c r="E27" s="211"/>
      <c r="F27" s="211"/>
      <c r="G27" s="211"/>
      <c r="H27" s="211"/>
      <c r="I27" s="211"/>
      <c r="J27" s="211"/>
      <c r="K27" s="211"/>
      <c r="L27" s="227"/>
      <c r="M27" s="256" t="s">
        <v>2</v>
      </c>
      <c r="N27" s="265">
        <f>AVERAGE(N14,X14)*'Transaction comp'!D8</f>
        <v>55440</v>
      </c>
      <c r="O27" s="265">
        <f>AVERAGE(N15,Y15)*'Transaction comp'!D8</f>
        <v>30973.726673751327</v>
      </c>
      <c r="P27" s="266">
        <f>N27/'Transaction comp'!D6</f>
        <v>244.87321225660392</v>
      </c>
      <c r="Q27" s="266">
        <f>O27/'Transaction comp'!D6</f>
        <v>136.80800768686046</v>
      </c>
      <c r="R27" s="268"/>
      <c r="S27" s="483">
        <f>AVERAGE(N19,X19)</f>
        <v>41636.571428571428</v>
      </c>
      <c r="T27" s="484"/>
      <c r="U27" s="485">
        <f>S27/'Transaction comp'!D6</f>
        <v>183.90477981720457</v>
      </c>
      <c r="V27" s="486"/>
      <c r="W27" s="236"/>
      <c r="X27" s="211"/>
    </row>
    <row r="28" spans="1:32" ht="15" thickBot="1">
      <c r="A28" s="211" t="s">
        <v>26</v>
      </c>
      <c r="B28" s="227"/>
      <c r="C28" s="211"/>
      <c r="D28" s="470">
        <f>D25-D26</f>
        <v>7.0000000000000062E-3</v>
      </c>
      <c r="E28" s="211"/>
      <c r="F28" s="211"/>
      <c r="G28" s="211"/>
      <c r="H28" s="211"/>
      <c r="I28" s="211"/>
      <c r="J28" s="211"/>
      <c r="K28" s="211"/>
      <c r="L28" s="227"/>
      <c r="M28" s="256" t="s">
        <v>3</v>
      </c>
      <c r="N28" s="265">
        <f>AVERAGE(O14,Y14)*'Trading comps'!J12</f>
        <v>86842.516601835334</v>
      </c>
      <c r="O28" s="265">
        <f>AVERAGE(O15,Y15)*'Trading comps'!J12</f>
        <v>31345.830491585566</v>
      </c>
      <c r="P28" s="266">
        <f>N28/'Transaction comp'!D6</f>
        <v>383.57514431347175</v>
      </c>
      <c r="Q28" s="266">
        <f>O28/'Transaction comp'!D6</f>
        <v>138.45155489403967</v>
      </c>
      <c r="R28" s="268"/>
      <c r="S28" s="483">
        <f>AVERAGE(O19,Y19)</f>
        <v>61069.277262289084</v>
      </c>
      <c r="T28" s="484"/>
      <c r="U28" s="485">
        <f>S28/'Transaction comp'!D6</f>
        <v>269.73719504700415</v>
      </c>
      <c r="V28" s="486"/>
      <c r="W28" s="236"/>
      <c r="X28" s="211"/>
    </row>
    <row r="29" spans="1:32" ht="15" thickBot="1">
      <c r="A29" s="269" t="s">
        <v>27</v>
      </c>
      <c r="B29" s="471"/>
      <c r="C29" s="472"/>
      <c r="D29" s="473">
        <f>D28+D27</f>
        <v>1.6900000000000005E-2</v>
      </c>
      <c r="E29" s="211"/>
      <c r="F29" s="211"/>
      <c r="G29" s="211"/>
      <c r="H29" s="211"/>
      <c r="I29" s="211"/>
      <c r="J29" s="211"/>
      <c r="K29" s="211"/>
      <c r="L29" s="227"/>
      <c r="M29" s="257" t="s">
        <v>15</v>
      </c>
      <c r="N29" s="481"/>
      <c r="O29" s="482"/>
      <c r="P29" s="266">
        <f>AVERAGE(Q14,AA14)*AVERAGE(L12,V12)</f>
        <v>323.59643975142365</v>
      </c>
      <c r="Q29" s="266">
        <f>AVERAGE(Q15,AA15)*AVERAGE(L12,V12)</f>
        <v>70.957541927949492</v>
      </c>
      <c r="R29" s="270"/>
      <c r="S29" s="481"/>
      <c r="T29" s="482"/>
      <c r="U29" s="485">
        <f>AVERAGE(Q20,AA20)</f>
        <v>190.23120483415801</v>
      </c>
      <c r="V29" s="486"/>
      <c r="W29" s="236"/>
      <c r="X29" s="211"/>
    </row>
    <row r="30" spans="1:32" ht="15" thickTop="1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71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3"/>
      <c r="X30" s="211"/>
    </row>
    <row r="31" spans="1:32">
      <c r="A31" s="211"/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</row>
    <row r="32" spans="1:32" ht="15" thickBot="1">
      <c r="A32" s="451" t="s">
        <v>268</v>
      </c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</row>
    <row r="33" spans="1:24" ht="15" thickTop="1">
      <c r="A33" s="211" t="s">
        <v>0</v>
      </c>
      <c r="B33" s="211" t="s">
        <v>303</v>
      </c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</row>
    <row r="34" spans="1:24">
      <c r="A34" s="211" t="s">
        <v>33</v>
      </c>
      <c r="B34" s="211" t="s">
        <v>312</v>
      </c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</row>
    <row r="35" spans="1:24">
      <c r="A35" s="211" t="s">
        <v>34</v>
      </c>
      <c r="B35" s="211" t="s">
        <v>302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</row>
    <row r="36" spans="1:24">
      <c r="A36" s="211" t="s">
        <v>157</v>
      </c>
      <c r="B36" s="211" t="s">
        <v>304</v>
      </c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</row>
    <row r="37" spans="1:24">
      <c r="A37" s="211" t="s">
        <v>159</v>
      </c>
      <c r="B37" s="211" t="s">
        <v>316</v>
      </c>
    </row>
  </sheetData>
  <mergeCells count="18">
    <mergeCell ref="S26:T26"/>
    <mergeCell ref="U26:V26"/>
    <mergeCell ref="S24:V24"/>
    <mergeCell ref="I4:R4"/>
    <mergeCell ref="T4:AA4"/>
    <mergeCell ref="U25:V25"/>
    <mergeCell ref="C4:G4"/>
    <mergeCell ref="N24:O24"/>
    <mergeCell ref="P24:Q24"/>
    <mergeCell ref="M24:M25"/>
    <mergeCell ref="S25:T25"/>
    <mergeCell ref="N29:O29"/>
    <mergeCell ref="S27:T27"/>
    <mergeCell ref="S28:T28"/>
    <mergeCell ref="S29:T29"/>
    <mergeCell ref="U27:V27"/>
    <mergeCell ref="U28:V28"/>
    <mergeCell ref="U29:V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58B9-F174-478F-93A8-C54F35ECBDC7}">
  <dimension ref="A2:J43"/>
  <sheetViews>
    <sheetView showGridLines="0" topLeftCell="A16" zoomScale="79" zoomScaleNormal="79" workbookViewId="0">
      <selection activeCell="B47" sqref="B47"/>
    </sheetView>
  </sheetViews>
  <sheetFormatPr defaultColWidth="10.77734375" defaultRowHeight="14.4" customHeight="1"/>
  <cols>
    <col min="1" max="1" width="2.77734375" style="2" customWidth="1"/>
    <col min="2" max="3" width="16.77734375" style="2" customWidth="1"/>
    <col min="4" max="4" width="18.5546875" style="2" bestFit="1" customWidth="1"/>
    <col min="5" max="7" width="16.77734375" style="2" customWidth="1"/>
    <col min="8" max="8" width="18.109375" style="2" customWidth="1"/>
    <col min="9" max="10" width="16.77734375" style="2" customWidth="1"/>
    <col min="11" max="16384" width="10.77734375" style="2"/>
  </cols>
  <sheetData>
    <row r="2" spans="2:10" s="49" customFormat="1" ht="14.4" customHeight="1">
      <c r="B2" s="50" t="s">
        <v>56</v>
      </c>
      <c r="C2" s="50"/>
      <c r="D2" s="50"/>
      <c r="E2" s="50"/>
      <c r="F2" s="50"/>
      <c r="G2" s="50"/>
      <c r="H2" s="50"/>
      <c r="I2" s="50"/>
      <c r="J2" s="50"/>
    </row>
    <row r="3" spans="2:10" ht="14.4" customHeight="1">
      <c r="B3" s="212" t="s">
        <v>183</v>
      </c>
    </row>
    <row r="4" spans="2:10" ht="14.4" customHeight="1">
      <c r="B4" s="461" t="s">
        <v>301</v>
      </c>
      <c r="C4" s="462"/>
      <c r="D4" s="462"/>
      <c r="F4" s="48" t="s">
        <v>55</v>
      </c>
      <c r="G4" s="47"/>
      <c r="H4" s="47"/>
      <c r="I4" s="47"/>
      <c r="J4" s="47"/>
    </row>
    <row r="5" spans="2:10" ht="14.4" customHeight="1">
      <c r="B5" s="28" t="s">
        <v>54</v>
      </c>
      <c r="C5" s="25"/>
      <c r="D5" s="209">
        <v>232</v>
      </c>
      <c r="F5" s="21"/>
      <c r="G5" s="21"/>
      <c r="H5" s="33"/>
      <c r="I5" s="32"/>
      <c r="J5" s="32"/>
    </row>
    <row r="6" spans="2:10" ht="14.4" customHeight="1">
      <c r="B6" s="28" t="s">
        <v>88</v>
      </c>
      <c r="C6" s="25"/>
      <c r="D6" s="208">
        <v>226.40287799999999</v>
      </c>
      <c r="F6" s="24"/>
      <c r="G6" s="11"/>
      <c r="H6" s="29" t="s">
        <v>85</v>
      </c>
      <c r="I6" s="29" t="s">
        <v>2</v>
      </c>
      <c r="J6" s="29" t="s">
        <v>45</v>
      </c>
    </row>
    <row r="7" spans="2:10" ht="14.4" customHeight="1">
      <c r="B7" s="28" t="s">
        <v>80</v>
      </c>
      <c r="C7" s="25"/>
      <c r="D7" s="207">
        <v>23658</v>
      </c>
      <c r="F7" s="25" t="s">
        <v>86</v>
      </c>
      <c r="G7" s="41"/>
      <c r="H7" s="65">
        <f>+(H30*D7)</f>
        <v>35487</v>
      </c>
      <c r="I7" s="65">
        <f>+(I30*D8)</f>
        <v>28670.400000000001</v>
      </c>
      <c r="J7" s="46" t="s">
        <v>52</v>
      </c>
    </row>
    <row r="8" spans="2:10" ht="14.4" customHeight="1">
      <c r="B8" s="28" t="s">
        <v>81</v>
      </c>
      <c r="C8" s="25"/>
      <c r="D8" s="207">
        <v>3168</v>
      </c>
      <c r="F8" s="25" t="s">
        <v>53</v>
      </c>
      <c r="G8" s="41"/>
      <c r="H8" s="65">
        <f>-$D$10</f>
        <v>3888.5</v>
      </c>
      <c r="I8" s="65">
        <f>-$D$10</f>
        <v>3888.5</v>
      </c>
      <c r="J8" s="41" t="s">
        <v>52</v>
      </c>
    </row>
    <row r="9" spans="2:10" ht="14.4" customHeight="1">
      <c r="B9" s="28" t="s">
        <v>82</v>
      </c>
      <c r="C9" s="25"/>
      <c r="D9" s="207">
        <v>1678</v>
      </c>
      <c r="F9" s="45" t="s">
        <v>51</v>
      </c>
      <c r="G9" s="44"/>
      <c r="H9" s="66">
        <f>+H7+H8</f>
        <v>39375.5</v>
      </c>
      <c r="I9" s="66">
        <f>+I7+I8</f>
        <v>32558.9</v>
      </c>
      <c r="J9" s="87">
        <f>+D11*J30</f>
        <v>219.01179189073736</v>
      </c>
    </row>
    <row r="10" spans="2:10" ht="14.4" customHeight="1">
      <c r="B10" s="28" t="s">
        <v>50</v>
      </c>
      <c r="C10" s="25"/>
      <c r="D10" s="207">
        <f>'Net debt'!F13</f>
        <v>-3888.5</v>
      </c>
      <c r="F10" s="41"/>
      <c r="G10" s="41"/>
      <c r="H10" s="41"/>
      <c r="I10" s="41"/>
      <c r="J10" s="41" t="s">
        <v>87</v>
      </c>
    </row>
    <row r="11" spans="2:10" ht="14.4" customHeight="1">
      <c r="B11" s="28" t="s">
        <v>83</v>
      </c>
      <c r="C11" s="25"/>
      <c r="D11" s="43">
        <f>+D9/D6</f>
        <v>7.4115665614462731</v>
      </c>
      <c r="F11" s="41"/>
      <c r="G11" s="41"/>
      <c r="H11" s="41"/>
      <c r="I11" s="41"/>
      <c r="J11" s="41"/>
    </row>
    <row r="12" spans="2:10" ht="14.4" customHeight="1">
      <c r="B12" s="25"/>
      <c r="C12" s="25"/>
      <c r="D12" s="25"/>
      <c r="E12" s="42"/>
      <c r="F12" s="41"/>
      <c r="G12" s="41"/>
      <c r="H12" s="41"/>
      <c r="I12" s="41"/>
      <c r="J12" s="41"/>
    </row>
    <row r="13" spans="2:10" ht="14.4" customHeight="1">
      <c r="B13" s="40" t="s">
        <v>49</v>
      </c>
      <c r="C13" s="39"/>
      <c r="D13" s="39"/>
      <c r="E13" s="39"/>
      <c r="F13" s="38"/>
      <c r="G13" s="38"/>
      <c r="H13" s="37"/>
      <c r="I13" s="37"/>
      <c r="J13" s="37"/>
    </row>
    <row r="14" spans="2:10" ht="14.4" customHeight="1">
      <c r="B14" s="36"/>
      <c r="C14" s="35"/>
      <c r="D14" s="35"/>
      <c r="E14" s="35"/>
      <c r="F14" s="34"/>
      <c r="G14" s="34"/>
      <c r="H14" s="33"/>
      <c r="I14" s="32" t="s">
        <v>84</v>
      </c>
      <c r="J14" s="32"/>
    </row>
    <row r="15" spans="2:10" ht="14.4" customHeight="1">
      <c r="C15" s="31"/>
      <c r="D15" s="30"/>
      <c r="E15" s="29" t="s">
        <v>48</v>
      </c>
      <c r="F15" s="29" t="s">
        <v>47</v>
      </c>
      <c r="G15" s="29" t="s">
        <v>46</v>
      </c>
      <c r="H15" s="29" t="s">
        <v>85</v>
      </c>
      <c r="I15" s="29" t="s">
        <v>2</v>
      </c>
      <c r="J15" s="29" t="s">
        <v>45</v>
      </c>
    </row>
    <row r="16" spans="2:10" ht="14.4" customHeight="1">
      <c r="B16" s="28">
        <v>1</v>
      </c>
      <c r="C16" s="25"/>
      <c r="D16" s="25"/>
      <c r="E16" s="27" t="s">
        <v>73</v>
      </c>
      <c r="F16" s="27" t="s">
        <v>57</v>
      </c>
      <c r="G16" s="27" t="s">
        <v>58</v>
      </c>
      <c r="H16" s="26">
        <v>1.4</v>
      </c>
      <c r="I16" s="26">
        <v>6.3</v>
      </c>
      <c r="J16" s="26">
        <v>13.2</v>
      </c>
    </row>
    <row r="17" spans="2:10" ht="14.4" customHeight="1">
      <c r="B17" s="28">
        <f t="shared" ref="B17:B22" si="0">+B16+1</f>
        <v>2</v>
      </c>
      <c r="C17" s="25"/>
      <c r="D17" s="25"/>
      <c r="E17" s="51">
        <v>45477</v>
      </c>
      <c r="F17" s="27" t="s">
        <v>59</v>
      </c>
      <c r="G17" s="27" t="s">
        <v>60</v>
      </c>
      <c r="H17" s="26">
        <v>1.8</v>
      </c>
      <c r="I17" s="26">
        <v>12.3</v>
      </c>
      <c r="J17" s="26">
        <v>33.1</v>
      </c>
    </row>
    <row r="18" spans="2:10" ht="14.4" customHeight="1">
      <c r="B18" s="28">
        <f t="shared" si="0"/>
        <v>3</v>
      </c>
      <c r="C18" s="25"/>
      <c r="D18" s="25"/>
      <c r="E18" s="51">
        <v>45399</v>
      </c>
      <c r="F18" s="27" t="s">
        <v>63</v>
      </c>
      <c r="G18" s="27" t="s">
        <v>64</v>
      </c>
      <c r="H18" s="26">
        <v>1.6</v>
      </c>
      <c r="I18" s="26">
        <v>12.8</v>
      </c>
      <c r="J18" s="26">
        <v>20.100000000000001</v>
      </c>
    </row>
    <row r="19" spans="2:10" ht="14.4" customHeight="1">
      <c r="B19" s="28">
        <f t="shared" si="0"/>
        <v>4</v>
      </c>
      <c r="C19" s="25"/>
      <c r="D19" s="25"/>
      <c r="E19" s="51">
        <v>45359</v>
      </c>
      <c r="F19" s="27" t="s">
        <v>61</v>
      </c>
      <c r="G19" s="27" t="s">
        <v>62</v>
      </c>
      <c r="H19" s="26">
        <v>2.2999999999999998</v>
      </c>
      <c r="I19" s="26">
        <v>9.1</v>
      </c>
      <c r="J19" s="26">
        <v>37.6</v>
      </c>
    </row>
    <row r="20" spans="2:10" ht="14.4" customHeight="1">
      <c r="B20" s="28">
        <f t="shared" si="0"/>
        <v>5</v>
      </c>
      <c r="C20" s="25"/>
      <c r="D20" s="25"/>
      <c r="E20" s="51">
        <v>45164</v>
      </c>
      <c r="F20" s="27" t="s">
        <v>65</v>
      </c>
      <c r="G20" s="27" t="s">
        <v>66</v>
      </c>
      <c r="H20" s="26">
        <v>1.2</v>
      </c>
      <c r="I20" s="26">
        <v>8.3000000000000007</v>
      </c>
      <c r="J20" s="26">
        <v>38.4</v>
      </c>
    </row>
    <row r="21" spans="2:10" ht="14.4" customHeight="1">
      <c r="B21" s="28">
        <f t="shared" si="0"/>
        <v>6</v>
      </c>
      <c r="C21" s="25"/>
      <c r="D21" s="25"/>
      <c r="E21" s="51">
        <v>45106</v>
      </c>
      <c r="F21" s="27" t="s">
        <v>65</v>
      </c>
      <c r="G21" s="27" t="s">
        <v>66</v>
      </c>
      <c r="H21" s="26">
        <v>0.9</v>
      </c>
      <c r="I21" s="26">
        <v>6.1</v>
      </c>
      <c r="J21" s="26">
        <v>28.4</v>
      </c>
    </row>
    <row r="22" spans="2:10" ht="14.4" customHeight="1">
      <c r="B22" s="28">
        <f t="shared" si="0"/>
        <v>7</v>
      </c>
      <c r="C22" s="25"/>
      <c r="D22" s="25"/>
      <c r="E22" s="51">
        <v>45042</v>
      </c>
      <c r="F22" s="27" t="s">
        <v>71</v>
      </c>
      <c r="G22" s="27" t="s">
        <v>72</v>
      </c>
      <c r="H22" s="26">
        <v>0.5</v>
      </c>
      <c r="I22" s="26">
        <v>5.0999999999999996</v>
      </c>
      <c r="J22" s="26"/>
    </row>
    <row r="23" spans="2:10" ht="14.4" customHeight="1">
      <c r="B23" s="28">
        <f t="shared" ref="B23:B25" si="1">+B22+1</f>
        <v>8</v>
      </c>
      <c r="C23" s="25"/>
      <c r="D23" s="25"/>
      <c r="E23" s="51">
        <v>44910</v>
      </c>
      <c r="F23" s="27" t="s">
        <v>67</v>
      </c>
      <c r="G23" s="27" t="s">
        <v>68</v>
      </c>
      <c r="H23" s="26">
        <v>3.8</v>
      </c>
      <c r="I23" s="26">
        <v>12.8</v>
      </c>
      <c r="J23" s="26">
        <v>19.5</v>
      </c>
    </row>
    <row r="24" spans="2:10" ht="14.4" customHeight="1">
      <c r="B24" s="28">
        <f t="shared" si="1"/>
        <v>9</v>
      </c>
      <c r="C24" s="25"/>
      <c r="D24" s="25"/>
      <c r="E24" s="51">
        <v>44820</v>
      </c>
      <c r="F24" s="27" t="s">
        <v>18</v>
      </c>
      <c r="G24" s="27" t="s">
        <v>70</v>
      </c>
      <c r="H24" s="26">
        <v>0.5</v>
      </c>
      <c r="I24" s="26">
        <v>9</v>
      </c>
      <c r="J24" s="26"/>
    </row>
    <row r="25" spans="2:10" ht="14.4" customHeight="1">
      <c r="B25" s="28">
        <f t="shared" si="1"/>
        <v>10</v>
      </c>
      <c r="C25" s="25"/>
      <c r="D25" s="25"/>
      <c r="E25" s="51">
        <v>44820</v>
      </c>
      <c r="F25" s="27" t="s">
        <v>69</v>
      </c>
      <c r="G25" s="27" t="s">
        <v>70</v>
      </c>
      <c r="H25" s="26">
        <v>2.2999999999999998</v>
      </c>
      <c r="I25" s="26">
        <v>14.2</v>
      </c>
      <c r="J25" s="26">
        <v>30.7</v>
      </c>
    </row>
    <row r="26" spans="2:10" ht="14.4" customHeight="1">
      <c r="B26" s="28"/>
      <c r="C26" s="25"/>
      <c r="D26" s="25"/>
      <c r="H26" s="26"/>
      <c r="I26" s="26"/>
      <c r="J26" s="26"/>
    </row>
    <row r="27" spans="2:10" ht="14.4" customHeight="1">
      <c r="B27" s="25"/>
      <c r="C27" s="25"/>
      <c r="D27" s="25"/>
      <c r="E27" s="25"/>
      <c r="F27" s="24"/>
      <c r="G27" s="11"/>
      <c r="H27" s="24"/>
      <c r="I27" s="24"/>
      <c r="J27" s="24"/>
    </row>
    <row r="28" spans="2:10" ht="14.4" customHeight="1">
      <c r="B28" s="23" t="s">
        <v>44</v>
      </c>
      <c r="C28" s="22"/>
      <c r="D28" s="22"/>
      <c r="E28" s="22"/>
      <c r="F28" s="21"/>
      <c r="G28" s="21"/>
      <c r="H28" s="20">
        <f>+MIN(H16:H25)</f>
        <v>0.5</v>
      </c>
      <c r="I28" s="20">
        <f>+MIN(I16:I25)</f>
        <v>5.0999999999999996</v>
      </c>
      <c r="J28" s="19">
        <f>+MIN(J16:J25)</f>
        <v>13.2</v>
      </c>
    </row>
    <row r="29" spans="2:10" ht="14.4" customHeight="1">
      <c r="B29" s="13" t="s">
        <v>43</v>
      </c>
      <c r="C29" s="12"/>
      <c r="D29" s="12"/>
      <c r="E29" s="12"/>
      <c r="F29" s="11"/>
      <c r="G29" s="11"/>
      <c r="H29" s="10">
        <f>+QUARTILE(H16:H25,1)</f>
        <v>0.97499999999999998</v>
      </c>
      <c r="I29" s="10">
        <f>+QUARTILE(I16:I25,1)</f>
        <v>6.8</v>
      </c>
      <c r="J29" s="9">
        <f>+QUARTILE(J16:J25,1)</f>
        <v>19.950000000000003</v>
      </c>
    </row>
    <row r="30" spans="2:10" ht="14.4" customHeight="1">
      <c r="B30" s="60" t="s">
        <v>39</v>
      </c>
      <c r="C30" s="61"/>
      <c r="D30" s="61"/>
      <c r="E30" s="61"/>
      <c r="F30" s="62"/>
      <c r="G30" s="62"/>
      <c r="H30" s="63">
        <f>+MEDIAN(H16:H25)</f>
        <v>1.5</v>
      </c>
      <c r="I30" s="63">
        <f>+MEDIAN(I16:I25)</f>
        <v>9.0500000000000007</v>
      </c>
      <c r="J30" s="64">
        <f>+MEDIAN(J16:J25)</f>
        <v>29.549999999999997</v>
      </c>
    </row>
    <row r="31" spans="2:10" ht="14.4" customHeight="1">
      <c r="B31" s="18" t="s">
        <v>40</v>
      </c>
      <c r="C31" s="17"/>
      <c r="D31" s="17"/>
      <c r="E31" s="17"/>
      <c r="F31" s="16"/>
      <c r="G31" s="16"/>
      <c r="H31" s="15">
        <f>+AVERAGE(H16:H25)</f>
        <v>1.6300000000000001</v>
      </c>
      <c r="I31" s="15">
        <f>+AVERAGE(I16:I25)</f>
        <v>9.6</v>
      </c>
      <c r="J31" s="14">
        <f>+AVERAGE(J16:J25)</f>
        <v>27.625</v>
      </c>
    </row>
    <row r="32" spans="2:10" ht="14.4" customHeight="1">
      <c r="B32" s="13" t="s">
        <v>42</v>
      </c>
      <c r="C32" s="12"/>
      <c r="D32" s="12"/>
      <c r="E32" s="12"/>
      <c r="F32" s="11"/>
      <c r="G32" s="11"/>
      <c r="H32" s="10">
        <f>+QUARTILE(H16:H25,3)</f>
        <v>2.1749999999999998</v>
      </c>
      <c r="I32" s="10">
        <f>+QUARTILE(I16:I25,3)</f>
        <v>12.675000000000001</v>
      </c>
      <c r="J32" s="9">
        <f>+QUARTILE(J16:J25,3)</f>
        <v>34.225000000000001</v>
      </c>
    </row>
    <row r="33" spans="1:10" ht="14.4" customHeight="1">
      <c r="B33" s="8" t="s">
        <v>41</v>
      </c>
      <c r="C33" s="7"/>
      <c r="D33" s="7"/>
      <c r="E33" s="7"/>
      <c r="F33" s="6"/>
      <c r="G33" s="6"/>
      <c r="H33" s="5">
        <f>+MAX(H16:H25)</f>
        <v>3.8</v>
      </c>
      <c r="I33" s="5">
        <f>+MAX(I16:I25)</f>
        <v>14.2</v>
      </c>
      <c r="J33" s="4">
        <f>+MAX(J16:J25)</f>
        <v>38.4</v>
      </c>
    </row>
    <row r="34" spans="1:10" ht="14.4" customHeight="1">
      <c r="B34" s="133"/>
      <c r="C34" s="493" t="s">
        <v>253</v>
      </c>
      <c r="D34" s="157"/>
      <c r="E34" s="161" t="s">
        <v>197</v>
      </c>
      <c r="F34" s="162" t="s">
        <v>198</v>
      </c>
      <c r="G34" s="162" t="s">
        <v>254</v>
      </c>
      <c r="H34" s="10"/>
      <c r="I34" s="10"/>
      <c r="J34" s="10"/>
    </row>
    <row r="35" spans="1:10" ht="14.4" customHeight="1">
      <c r="B35" s="133"/>
      <c r="C35" s="494"/>
      <c r="D35" s="158" t="s">
        <v>196</v>
      </c>
      <c r="E35" s="159">
        <f>(I33*$D$8)/$D$6</f>
        <v>198.69712080250147</v>
      </c>
      <c r="F35" s="160">
        <f>(I28*D8)/D6</f>
        <v>71.363050429067428</v>
      </c>
      <c r="G35" s="160">
        <f>(I30*$D$8)/$D$6</f>
        <v>126.63443262412946</v>
      </c>
      <c r="H35" s="10"/>
      <c r="I35" s="10"/>
      <c r="J35" s="10"/>
    </row>
    <row r="36" spans="1:10" ht="14.4" customHeight="1">
      <c r="B36" s="133"/>
      <c r="C36" s="495"/>
      <c r="D36" s="158" t="s">
        <v>199</v>
      </c>
      <c r="E36" s="159">
        <f>(H33*D7)/D6</f>
        <v>397.0815247322077</v>
      </c>
      <c r="F36" s="160">
        <f>(H28*D7)/D6</f>
        <v>52.247569043711543</v>
      </c>
      <c r="G36" s="160">
        <f>(H30*$D$7)/$D$6</f>
        <v>156.74270713113464</v>
      </c>
      <c r="H36" s="10"/>
      <c r="I36" s="10"/>
      <c r="J36" s="10"/>
    </row>
    <row r="38" spans="1:10" ht="14.4" customHeight="1" thickBot="1">
      <c r="B38" s="451" t="s">
        <v>268</v>
      </c>
      <c r="C38" s="452"/>
    </row>
    <row r="39" spans="1:10" ht="14.4" customHeight="1" thickTop="1">
      <c r="A39" t="s">
        <v>0</v>
      </c>
      <c r="B39" s="2" t="s">
        <v>297</v>
      </c>
      <c r="D39" s="3"/>
    </row>
    <row r="40" spans="1:10" ht="14.4" customHeight="1">
      <c r="A40" t="s">
        <v>33</v>
      </c>
      <c r="B40" s="2" t="s">
        <v>298</v>
      </c>
    </row>
    <row r="41" spans="1:10" ht="14.4" customHeight="1">
      <c r="A41" t="s">
        <v>34</v>
      </c>
      <c r="B41" s="2" t="s">
        <v>299</v>
      </c>
    </row>
    <row r="42" spans="1:10" ht="14.4" customHeight="1">
      <c r="A42" t="s">
        <v>157</v>
      </c>
      <c r="B42" s="2" t="s">
        <v>300</v>
      </c>
    </row>
    <row r="43" spans="1:10" ht="14.4" customHeight="1">
      <c r="A43"/>
    </row>
  </sheetData>
  <mergeCells count="1">
    <mergeCell ref="C34:C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C7A1-F539-4FFE-A071-02BC7B7F6497}">
  <dimension ref="B2:T52"/>
  <sheetViews>
    <sheetView showGridLines="0" topLeftCell="A28" zoomScale="88" zoomScaleNormal="88" workbookViewId="0">
      <selection activeCell="O34" sqref="O34"/>
    </sheetView>
  </sheetViews>
  <sheetFormatPr defaultColWidth="9.109375" defaultRowHeight="14.4"/>
  <cols>
    <col min="1" max="1" width="1.6640625" style="81" customWidth="1"/>
    <col min="2" max="2" width="2.88671875" style="81" customWidth="1"/>
    <col min="3" max="3" width="28.77734375" style="81" customWidth="1"/>
    <col min="4" max="10" width="11.6640625" style="81" customWidth="1"/>
    <col min="11" max="11" width="2.77734375" style="81" customWidth="1"/>
    <col min="12" max="12" width="3.6640625" style="81" customWidth="1"/>
    <col min="13" max="16384" width="9.109375" style="81"/>
  </cols>
  <sheetData>
    <row r="2" spans="3:20">
      <c r="C2" s="50" t="s">
        <v>295</v>
      </c>
      <c r="D2" s="50"/>
      <c r="E2" s="50"/>
      <c r="F2" s="50"/>
      <c r="G2" s="50"/>
      <c r="H2" s="50"/>
      <c r="I2" s="50"/>
      <c r="J2" s="50"/>
    </row>
    <row r="3" spans="3:20">
      <c r="C3" s="212" t="s">
        <v>262</v>
      </c>
      <c r="D3" s="212"/>
      <c r="E3" s="126"/>
      <c r="F3"/>
      <c r="G3"/>
      <c r="H3"/>
    </row>
    <row r="4" spans="3:20" ht="15" thickBot="1">
      <c r="C4" s="80"/>
    </row>
    <row r="5" spans="3:20" ht="15" thickBot="1">
      <c r="C5" s="286" t="s">
        <v>89</v>
      </c>
      <c r="D5" s="286"/>
      <c r="E5" s="287">
        <v>2024</v>
      </c>
      <c r="F5" s="288">
        <f>E5+1</f>
        <v>2025</v>
      </c>
      <c r="G5" s="288">
        <f t="shared" ref="G5:J5" si="0">F5+1</f>
        <v>2026</v>
      </c>
      <c r="H5" s="286">
        <f t="shared" si="0"/>
        <v>2027</v>
      </c>
      <c r="I5" s="286">
        <f t="shared" si="0"/>
        <v>2028</v>
      </c>
      <c r="J5" s="286">
        <f t="shared" si="0"/>
        <v>2029</v>
      </c>
      <c r="K5" s="211"/>
      <c r="L5" s="211"/>
      <c r="M5" s="210"/>
      <c r="N5" s="211"/>
      <c r="O5" s="211"/>
      <c r="P5" s="211"/>
      <c r="Q5" s="211"/>
      <c r="R5" s="211"/>
      <c r="S5" s="211"/>
      <c r="T5" s="211"/>
    </row>
    <row r="6" spans="3:20">
      <c r="C6" s="211" t="s">
        <v>113</v>
      </c>
      <c r="D6" s="289"/>
      <c r="E6" s="274">
        <v>23658</v>
      </c>
      <c r="F6" s="274">
        <v>25610</v>
      </c>
      <c r="G6" s="274">
        <v>27819</v>
      </c>
      <c r="H6" s="290">
        <f>G6*(1+'Ref. sheet'!F17)</f>
        <v>29913.045386724629</v>
      </c>
      <c r="I6" s="290">
        <f>H6*(1+('Ref. sheet'!G17))</f>
        <v>32164.717793890781</v>
      </c>
      <c r="J6" s="290">
        <f>I6*(1+('Ref. sheet'!H17))</f>
        <v>34585.882426393626</v>
      </c>
      <c r="K6" s="211"/>
      <c r="L6" s="211"/>
      <c r="M6" s="210"/>
      <c r="N6" s="211"/>
      <c r="O6" s="211"/>
      <c r="P6" s="211"/>
      <c r="Q6" s="211"/>
      <c r="R6" s="211"/>
      <c r="S6" s="211"/>
      <c r="T6" s="211"/>
    </row>
    <row r="7" spans="3:20">
      <c r="C7" s="211" t="s">
        <v>114</v>
      </c>
      <c r="D7" s="289"/>
      <c r="E7" s="291">
        <v>-14817</v>
      </c>
      <c r="F7" s="291">
        <v>-15600</v>
      </c>
      <c r="G7" s="291">
        <v>-16684</v>
      </c>
      <c r="H7" s="291">
        <f>('Ref. sheet'!F18)*H6</f>
        <v>-18686.450696249514</v>
      </c>
      <c r="I7" s="291">
        <f>('Ref. sheet'!G18)*I6</f>
        <v>-20093.053229580641</v>
      </c>
      <c r="J7" s="291">
        <f>('Ref. sheet'!H18)*J6</f>
        <v>-21605.536259905806</v>
      </c>
      <c r="K7" s="211"/>
      <c r="L7" s="211"/>
      <c r="M7" s="211"/>
      <c r="N7" s="211"/>
      <c r="O7" s="211"/>
      <c r="P7" s="211"/>
      <c r="Q7" s="211"/>
      <c r="R7" s="211"/>
      <c r="S7" s="211"/>
      <c r="T7" s="211"/>
    </row>
    <row r="8" spans="3:20">
      <c r="C8" s="211" t="s">
        <v>115</v>
      </c>
      <c r="D8" s="289"/>
      <c r="E8" s="291">
        <v>-5673</v>
      </c>
      <c r="F8" s="291">
        <v>-6003</v>
      </c>
      <c r="G8" s="291">
        <v>-6483</v>
      </c>
      <c r="H8" s="291">
        <f>H6*('Ref. sheet'!F19)</f>
        <v>-6972.9240949961249</v>
      </c>
      <c r="I8" s="291">
        <f>I6*('Ref. sheet'!G19)</f>
        <v>-7497.8034771848324</v>
      </c>
      <c r="J8" s="291">
        <f>J6*('Ref. sheet'!H19)</f>
        <v>-8062.1925918894149</v>
      </c>
      <c r="K8" s="211"/>
      <c r="L8" s="211"/>
      <c r="M8" s="211"/>
      <c r="N8" s="211"/>
      <c r="O8" s="211"/>
      <c r="P8" s="211"/>
      <c r="Q8" s="211"/>
      <c r="R8" s="211"/>
      <c r="S8" s="211"/>
      <c r="T8" s="211"/>
    </row>
    <row r="9" spans="3:20">
      <c r="C9" s="289" t="s">
        <v>29</v>
      </c>
      <c r="D9" s="289"/>
      <c r="E9" s="290">
        <f>SUM(E6:E8)</f>
        <v>3168</v>
      </c>
      <c r="F9" s="290">
        <f>SUM(F6:F8)</f>
        <v>4007</v>
      </c>
      <c r="G9" s="290">
        <f t="shared" ref="G9:J9" si="1">SUM(G6:G8)</f>
        <v>4652</v>
      </c>
      <c r="H9" s="290">
        <f t="shared" si="1"/>
        <v>4253.6705954789895</v>
      </c>
      <c r="I9" s="290">
        <f t="shared" si="1"/>
        <v>4573.8610871253077</v>
      </c>
      <c r="J9" s="290">
        <f t="shared" si="1"/>
        <v>4918.1535745984047</v>
      </c>
      <c r="K9" s="211"/>
      <c r="L9" s="211"/>
      <c r="M9" s="211"/>
      <c r="N9" s="211"/>
      <c r="O9" s="211"/>
      <c r="P9" s="211"/>
      <c r="Q9" s="211"/>
      <c r="R9" s="211"/>
      <c r="S9" s="211"/>
      <c r="T9" s="211"/>
    </row>
    <row r="10" spans="3:20">
      <c r="C10" s="211" t="s">
        <v>137</v>
      </c>
      <c r="D10" s="289"/>
      <c r="E10" s="291">
        <v>-1097</v>
      </c>
      <c r="F10" s="291">
        <v>-1138</v>
      </c>
      <c r="G10" s="291">
        <v>-1180</v>
      </c>
      <c r="H10" s="291">
        <f>H6*('Ref. sheet'!F20)</f>
        <v>-1371.50118270197</v>
      </c>
      <c r="I10" s="291">
        <f>I6*('Ref. sheet'!G20)</f>
        <v>-1474.7394631766251</v>
      </c>
      <c r="J10" s="291">
        <f>J6*('Ref. sheet'!H20)</f>
        <v>-1585.7488944820557</v>
      </c>
      <c r="K10" s="211"/>
      <c r="L10" s="211"/>
      <c r="M10" s="211"/>
      <c r="N10" s="211"/>
      <c r="O10" s="211"/>
      <c r="P10" s="211"/>
      <c r="Q10" s="211"/>
      <c r="R10" s="211"/>
      <c r="S10" s="211"/>
      <c r="T10" s="211"/>
    </row>
    <row r="11" spans="3:20">
      <c r="C11" s="289" t="s">
        <v>12</v>
      </c>
      <c r="D11" s="211"/>
      <c r="E11" s="292">
        <f>SUM(E9:E10)</f>
        <v>2071</v>
      </c>
      <c r="F11" s="292">
        <f>SUM(F9:F10)</f>
        <v>2869</v>
      </c>
      <c r="G11" s="292">
        <f t="shared" ref="G11:J11" si="2">SUM(G9:G10)</f>
        <v>3472</v>
      </c>
      <c r="H11" s="292">
        <f t="shared" si="2"/>
        <v>2882.1694127770197</v>
      </c>
      <c r="I11" s="292">
        <f t="shared" si="2"/>
        <v>3099.1216239486826</v>
      </c>
      <c r="J11" s="292">
        <f t="shared" si="2"/>
        <v>3332.404680116349</v>
      </c>
      <c r="K11" s="211"/>
      <c r="L11" s="211"/>
      <c r="M11" s="211"/>
      <c r="N11" s="211"/>
      <c r="O11" s="211"/>
      <c r="P11" s="211"/>
      <c r="Q11" s="211"/>
      <c r="R11" s="211"/>
      <c r="S11" s="211"/>
      <c r="T11" s="211"/>
    </row>
    <row r="12" spans="3:20">
      <c r="C12" s="272" t="s">
        <v>31</v>
      </c>
      <c r="D12" s="272"/>
      <c r="E12" s="301">
        <v>0.28000000000000003</v>
      </c>
      <c r="F12" s="302">
        <f>E12</f>
        <v>0.28000000000000003</v>
      </c>
      <c r="G12" s="302">
        <f t="shared" ref="G12:J12" si="3">F12</f>
        <v>0.28000000000000003</v>
      </c>
      <c r="H12" s="302">
        <f t="shared" si="3"/>
        <v>0.28000000000000003</v>
      </c>
      <c r="I12" s="302">
        <f t="shared" si="3"/>
        <v>0.28000000000000003</v>
      </c>
      <c r="J12" s="302">
        <f t="shared" si="3"/>
        <v>0.28000000000000003</v>
      </c>
      <c r="K12" s="211"/>
      <c r="L12" s="211"/>
      <c r="M12" s="211"/>
      <c r="N12" s="211"/>
      <c r="O12" s="211"/>
      <c r="P12" s="211"/>
      <c r="Q12" s="211"/>
      <c r="R12" s="211"/>
      <c r="S12" s="211"/>
      <c r="T12" s="211"/>
    </row>
    <row r="13" spans="3:20">
      <c r="C13" s="211"/>
      <c r="D13" s="211"/>
      <c r="E13" s="293"/>
      <c r="F13" s="294"/>
      <c r="G13" s="294"/>
      <c r="H13" s="294"/>
      <c r="I13" s="294"/>
      <c r="J13" s="294"/>
      <c r="K13" s="211"/>
      <c r="L13" s="211"/>
      <c r="M13" s="211"/>
      <c r="N13" s="211"/>
      <c r="O13" s="211"/>
      <c r="P13" s="211"/>
      <c r="Q13" s="211"/>
      <c r="R13" s="211"/>
      <c r="S13" s="211"/>
      <c r="T13" s="211"/>
    </row>
    <row r="14" spans="3:20">
      <c r="C14" s="211" t="s">
        <v>91</v>
      </c>
      <c r="D14" s="211"/>
      <c r="E14" s="295">
        <f>E11*(1-E12)</f>
        <v>1491.12</v>
      </c>
      <c r="F14" s="295">
        <f t="shared" ref="F14:J14" si="4">F11*(1-F12)</f>
        <v>2065.6799999999998</v>
      </c>
      <c r="G14" s="295">
        <f t="shared" si="4"/>
        <v>2499.8399999999997</v>
      </c>
      <c r="H14" s="295">
        <f t="shared" si="4"/>
        <v>2075.1619771994542</v>
      </c>
      <c r="I14" s="295">
        <f t="shared" si="4"/>
        <v>2231.3675692430515</v>
      </c>
      <c r="J14" s="295">
        <f t="shared" si="4"/>
        <v>2399.3313696837713</v>
      </c>
      <c r="K14" s="211"/>
      <c r="L14" s="211"/>
      <c r="M14" s="211"/>
      <c r="N14" s="211"/>
      <c r="O14" s="211"/>
      <c r="P14" s="211"/>
      <c r="Q14" s="211"/>
      <c r="R14" s="211"/>
      <c r="S14" s="211"/>
      <c r="T14" s="211"/>
    </row>
    <row r="15" spans="3:20">
      <c r="C15" s="211" t="s">
        <v>92</v>
      </c>
      <c r="D15" s="211"/>
      <c r="E15" s="295">
        <f>-E10</f>
        <v>1097</v>
      </c>
      <c r="F15" s="295">
        <f>-F10</f>
        <v>1138</v>
      </c>
      <c r="G15" s="295">
        <f t="shared" ref="G15:J15" si="5">-G10</f>
        <v>1180</v>
      </c>
      <c r="H15" s="295">
        <f t="shared" si="5"/>
        <v>1371.50118270197</v>
      </c>
      <c r="I15" s="295">
        <f t="shared" si="5"/>
        <v>1474.7394631766251</v>
      </c>
      <c r="J15" s="295">
        <f t="shared" si="5"/>
        <v>1585.7488944820557</v>
      </c>
      <c r="K15" s="211"/>
      <c r="L15" s="211"/>
      <c r="M15" s="211"/>
      <c r="N15" s="211"/>
      <c r="O15" s="211"/>
      <c r="P15" s="211"/>
      <c r="Q15" s="211"/>
      <c r="R15" s="211"/>
      <c r="S15" s="211"/>
      <c r="T15" s="211"/>
    </row>
    <row r="16" spans="3:20">
      <c r="C16" s="211" t="s">
        <v>93</v>
      </c>
      <c r="D16" s="211"/>
      <c r="E16" s="291">
        <f>-NWC!F15</f>
        <v>-565.49753424657411</v>
      </c>
      <c r="F16" s="291">
        <f>-NWC!G15</f>
        <v>-21.070410958905086</v>
      </c>
      <c r="G16" s="291">
        <f>-NWC!H15</f>
        <v>-433.632328767123</v>
      </c>
      <c r="H16" s="296">
        <f>-NWC!I15</f>
        <v>-195.87341983264469</v>
      </c>
      <c r="I16" s="291">
        <f>-NWC!J15</f>
        <v>-302.60213649802336</v>
      </c>
      <c r="J16" s="291">
        <f>-NWC!K15</f>
        <v>-325.38018775603632</v>
      </c>
      <c r="K16" s="211"/>
      <c r="L16" s="211"/>
      <c r="M16" s="211"/>
      <c r="N16" s="211"/>
      <c r="O16" s="211"/>
      <c r="P16" s="211"/>
      <c r="Q16" s="211"/>
      <c r="R16" s="211"/>
      <c r="S16" s="211"/>
      <c r="T16" s="211"/>
    </row>
    <row r="17" spans="2:20">
      <c r="C17" s="211" t="s">
        <v>94</v>
      </c>
      <c r="D17" s="211"/>
      <c r="E17" s="291">
        <v>-735</v>
      </c>
      <c r="F17" s="291">
        <v>-1100</v>
      </c>
      <c r="G17" s="291">
        <v>-800</v>
      </c>
      <c r="H17" s="291">
        <f>H6*('Ref. sheet'!F21)</f>
        <v>-860.81443461539823</v>
      </c>
      <c r="I17" s="291">
        <f>I6*('Ref. sheet'!G21)</f>
        <v>-925.61131788339287</v>
      </c>
      <c r="J17" s="291">
        <f>J6*('Ref. sheet'!H21)</f>
        <v>-995.28571703914349</v>
      </c>
      <c r="K17" s="211"/>
      <c r="L17" s="211"/>
      <c r="M17" s="211"/>
      <c r="N17" s="211"/>
      <c r="O17" s="211"/>
      <c r="P17" s="211"/>
      <c r="Q17" s="211"/>
      <c r="R17" s="211"/>
      <c r="S17" s="211"/>
      <c r="T17" s="211"/>
    </row>
    <row r="18" spans="2:20" ht="15" thickBot="1">
      <c r="C18" s="299" t="s">
        <v>95</v>
      </c>
      <c r="D18" s="299"/>
      <c r="E18" s="300">
        <f>SUM(E14:E17)</f>
        <v>1287.6224657534258</v>
      </c>
      <c r="F18" s="300">
        <f t="shared" ref="F18:J18" si="6">SUM(F14:F17)</f>
        <v>2082.6095890410948</v>
      </c>
      <c r="G18" s="300">
        <f t="shared" si="6"/>
        <v>2446.2076712328767</v>
      </c>
      <c r="H18" s="300">
        <f t="shared" si="6"/>
        <v>2389.9753054533817</v>
      </c>
      <c r="I18" s="300">
        <f t="shared" si="6"/>
        <v>2477.8935780382603</v>
      </c>
      <c r="J18" s="300">
        <f t="shared" si="6"/>
        <v>2664.4143593706472</v>
      </c>
      <c r="K18" s="211"/>
      <c r="L18" s="211"/>
      <c r="M18" s="211"/>
      <c r="N18" s="211"/>
      <c r="O18" s="211"/>
      <c r="P18" s="211"/>
      <c r="Q18" s="211"/>
      <c r="R18" s="211"/>
      <c r="S18" s="211"/>
      <c r="T18" s="211"/>
    </row>
    <row r="19" spans="2:20" ht="15" thickTop="1">
      <c r="C19" s="289"/>
      <c r="D19" s="289"/>
      <c r="E19" s="297"/>
      <c r="F19" s="297"/>
      <c r="G19" s="297"/>
      <c r="H19" s="297"/>
      <c r="I19" s="297"/>
      <c r="J19" s="297"/>
      <c r="K19" s="211"/>
      <c r="L19" s="211"/>
      <c r="M19" s="211"/>
      <c r="N19" s="211"/>
      <c r="O19" s="211"/>
      <c r="P19" s="211"/>
      <c r="Q19" s="211"/>
      <c r="R19" s="211"/>
      <c r="S19" s="211"/>
      <c r="T19" s="211"/>
    </row>
    <row r="20" spans="2:20">
      <c r="C20" s="298" t="s">
        <v>180</v>
      </c>
      <c r="D20" s="289"/>
      <c r="E20" s="289"/>
      <c r="F20" s="289"/>
      <c r="G20" s="289"/>
      <c r="H20" s="289"/>
      <c r="I20" s="289"/>
      <c r="J20" s="289"/>
      <c r="K20" s="211"/>
      <c r="L20" s="211"/>
      <c r="M20" s="211"/>
      <c r="N20" s="211"/>
      <c r="O20" s="211"/>
      <c r="P20" s="211"/>
      <c r="Q20" s="211"/>
      <c r="R20" s="211"/>
      <c r="S20" s="211"/>
      <c r="T20" s="211"/>
    </row>
    <row r="21" spans="2:20">
      <c r="C21" s="211" t="s">
        <v>90</v>
      </c>
      <c r="D21" s="211"/>
      <c r="E21" s="275"/>
      <c r="F21" s="276">
        <f>'Discount rate'!G16</f>
        <v>8.8217124297807939E-2</v>
      </c>
      <c r="G21" s="276">
        <f>F21</f>
        <v>8.8217124297807939E-2</v>
      </c>
      <c r="H21" s="276">
        <f t="shared" ref="H21:J21" si="7">G21</f>
        <v>8.8217124297807939E-2</v>
      </c>
      <c r="I21" s="276">
        <f t="shared" si="7"/>
        <v>8.8217124297807939E-2</v>
      </c>
      <c r="J21" s="276">
        <f t="shared" si="7"/>
        <v>8.8217124297807939E-2</v>
      </c>
      <c r="K21" s="211"/>
      <c r="L21" s="211"/>
      <c r="M21" s="211"/>
      <c r="N21" s="211"/>
      <c r="O21" s="211"/>
      <c r="P21" s="211"/>
      <c r="Q21" s="211"/>
      <c r="R21" s="211"/>
      <c r="S21" s="211"/>
      <c r="T21" s="211"/>
    </row>
    <row r="22" spans="2:20">
      <c r="C22" s="211" t="s">
        <v>96</v>
      </c>
      <c r="D22" s="211"/>
      <c r="E22" s="292"/>
      <c r="F22" s="292">
        <f>F$18/(1+F21)^(F$5-$E$5)</f>
        <v>1913.781305715931</v>
      </c>
      <c r="G22" s="292">
        <f>G$18/(1+G21)^(G$5-$E$5)</f>
        <v>2065.6760409700591</v>
      </c>
      <c r="H22" s="292">
        <f t="shared" ref="H22:J22" si="8">H$18/(1+H21)^(H$5-$E$5)</f>
        <v>1854.5850152029172</v>
      </c>
      <c r="I22" s="292">
        <f t="shared" si="8"/>
        <v>1766.9344049498436</v>
      </c>
      <c r="J22" s="292">
        <f t="shared" si="8"/>
        <v>1745.9185806499449</v>
      </c>
      <c r="K22" s="211"/>
      <c r="L22" s="211"/>
      <c r="M22" s="211"/>
      <c r="N22" s="211"/>
      <c r="O22" s="211"/>
      <c r="P22" s="211"/>
      <c r="Q22" s="211"/>
      <c r="R22" s="211"/>
      <c r="S22" s="211"/>
      <c r="T22" s="211"/>
    </row>
    <row r="23" spans="2:20">
      <c r="C23" s="298" t="s">
        <v>181</v>
      </c>
      <c r="D23" s="211"/>
      <c r="E23" s="292"/>
      <c r="F23" s="292"/>
      <c r="G23" s="292"/>
      <c r="H23" s="292"/>
      <c r="I23" s="292"/>
      <c r="J23" s="292"/>
      <c r="K23" s="211"/>
      <c r="L23" s="211"/>
      <c r="M23" s="211"/>
      <c r="N23" s="211"/>
      <c r="O23" s="211"/>
      <c r="P23" s="211"/>
      <c r="Q23" s="211"/>
      <c r="R23" s="211"/>
      <c r="S23" s="211"/>
      <c r="T23" s="211"/>
    </row>
    <row r="24" spans="2:20">
      <c r="C24" s="211" t="s">
        <v>90</v>
      </c>
      <c r="D24" s="211"/>
      <c r="E24" s="292"/>
      <c r="F24" s="276">
        <f>'Discount rate'!M16</f>
        <v>0.16317241566735427</v>
      </c>
      <c r="G24" s="276">
        <f>F24</f>
        <v>0.16317241566735427</v>
      </c>
      <c r="H24" s="276">
        <f t="shared" ref="H24:J24" si="9">G24</f>
        <v>0.16317241566735427</v>
      </c>
      <c r="I24" s="276">
        <f t="shared" si="9"/>
        <v>0.16317241566735427</v>
      </c>
      <c r="J24" s="276">
        <f t="shared" si="9"/>
        <v>0.16317241566735427</v>
      </c>
      <c r="K24" s="211"/>
      <c r="L24" s="211"/>
      <c r="M24" s="211"/>
      <c r="N24" s="211"/>
      <c r="O24" s="211"/>
      <c r="P24" s="211"/>
      <c r="Q24" s="211"/>
      <c r="R24" s="211"/>
      <c r="S24" s="211"/>
      <c r="T24" s="211"/>
    </row>
    <row r="25" spans="2:20">
      <c r="C25" s="211" t="s">
        <v>96</v>
      </c>
      <c r="D25" s="211"/>
      <c r="E25" s="292"/>
      <c r="F25" s="292">
        <f>F$18/(1+F24)^(F$5-$E$5)</f>
        <v>1790.4564800449004</v>
      </c>
      <c r="G25" s="292">
        <f>G$18/(1+G24)^(G$5-$E$5)</f>
        <v>1808.0279291170059</v>
      </c>
      <c r="H25" s="292">
        <f t="shared" ref="H25:J25" si="10">H$18/(1+H24)^(H$5-$E$5)</f>
        <v>1518.6620142615222</v>
      </c>
      <c r="I25" s="292">
        <f t="shared" si="10"/>
        <v>1353.6496406033173</v>
      </c>
      <c r="J25" s="292">
        <f t="shared" si="10"/>
        <v>1251.3571898614159</v>
      </c>
      <c r="K25" s="211"/>
      <c r="L25" s="211"/>
      <c r="M25" s="211"/>
      <c r="N25" s="211"/>
      <c r="O25" s="211"/>
      <c r="P25" s="211"/>
      <c r="Q25" s="211"/>
      <c r="R25" s="211"/>
      <c r="S25" s="211"/>
      <c r="T25" s="211"/>
    </row>
    <row r="26" spans="2:20" ht="15" thickBot="1">
      <c r="C26" s="211"/>
      <c r="D26" s="211"/>
      <c r="E26" s="292"/>
      <c r="F26" s="292"/>
      <c r="G26" s="292"/>
      <c r="H26" s="292"/>
      <c r="I26" s="292"/>
      <c r="J26" s="292"/>
      <c r="K26" s="211"/>
      <c r="L26" s="211"/>
      <c r="M26" s="211"/>
      <c r="N26" s="211"/>
      <c r="O26" s="211"/>
      <c r="P26" s="211"/>
      <c r="Q26" s="211"/>
      <c r="R26" s="211"/>
      <c r="S26" s="211"/>
      <c r="T26" s="211"/>
    </row>
    <row r="27" spans="2:20">
      <c r="B27" s="303"/>
      <c r="C27" s="304"/>
      <c r="D27" s="304"/>
      <c r="E27" s="305"/>
      <c r="F27" s="305"/>
      <c r="G27" s="305"/>
      <c r="H27" s="305"/>
      <c r="I27" s="305"/>
      <c r="J27" s="305"/>
      <c r="K27" s="306"/>
      <c r="L27" s="211"/>
      <c r="M27" s="211"/>
      <c r="N27" s="211"/>
      <c r="O27" s="211"/>
      <c r="P27" s="211"/>
      <c r="Q27" s="211"/>
      <c r="R27" s="211"/>
      <c r="S27" s="211"/>
      <c r="T27" s="211"/>
    </row>
    <row r="28" spans="2:20">
      <c r="B28" s="307"/>
      <c r="C28" s="308" t="str">
        <f>C20</f>
        <v>Devloped India</v>
      </c>
      <c r="D28" s="309"/>
      <c r="E28" s="309"/>
      <c r="F28" s="211"/>
      <c r="G28" s="310" t="str">
        <f>C23</f>
        <v>Emerging India</v>
      </c>
      <c r="H28" s="311"/>
      <c r="I28" s="311"/>
      <c r="J28" s="311"/>
      <c r="K28" s="312"/>
      <c r="L28" s="211"/>
      <c r="M28" s="211"/>
      <c r="N28" s="211"/>
      <c r="O28" s="211"/>
      <c r="P28" s="211"/>
      <c r="Q28" s="211"/>
      <c r="R28" s="211"/>
      <c r="S28" s="211"/>
      <c r="T28" s="211"/>
    </row>
    <row r="29" spans="2:20">
      <c r="B29" s="307"/>
      <c r="C29" s="313" t="s">
        <v>97</v>
      </c>
      <c r="D29" s="313"/>
      <c r="E29" s="314">
        <f>SUM(F22:J22)</f>
        <v>9346.8953474886948</v>
      </c>
      <c r="F29" s="211"/>
      <c r="G29" s="315" t="s">
        <v>97</v>
      </c>
      <c r="H29" s="311"/>
      <c r="I29" s="311"/>
      <c r="J29" s="316">
        <f>SUM(F25:J25)</f>
        <v>7722.153253888162</v>
      </c>
      <c r="K29" s="312"/>
      <c r="L29" s="211"/>
      <c r="M29" s="211"/>
      <c r="N29" s="211"/>
      <c r="O29" s="211"/>
      <c r="P29" s="211"/>
      <c r="Q29" s="211"/>
      <c r="R29" s="211"/>
      <c r="S29" s="211"/>
      <c r="T29" s="211"/>
    </row>
    <row r="30" spans="2:20">
      <c r="B30" s="307"/>
      <c r="C30" s="309"/>
      <c r="D30" s="309"/>
      <c r="E30" s="309"/>
      <c r="F30" s="211"/>
      <c r="G30" s="311"/>
      <c r="H30" s="311"/>
      <c r="I30" s="311"/>
      <c r="J30" s="311"/>
      <c r="K30" s="312"/>
      <c r="L30" s="211"/>
      <c r="M30" s="211"/>
      <c r="N30" s="211"/>
      <c r="O30" s="211"/>
      <c r="P30" s="211"/>
      <c r="Q30" s="211"/>
      <c r="R30" s="211"/>
      <c r="S30" s="211"/>
      <c r="T30" s="211"/>
    </row>
    <row r="31" spans="2:20">
      <c r="B31" s="307"/>
      <c r="C31" s="313" t="s">
        <v>98</v>
      </c>
      <c r="D31" s="309"/>
      <c r="E31" s="309"/>
      <c r="F31" s="211"/>
      <c r="G31" s="315" t="s">
        <v>98</v>
      </c>
      <c r="H31" s="311"/>
      <c r="I31" s="311"/>
      <c r="J31" s="311"/>
      <c r="K31" s="312"/>
      <c r="L31" s="211"/>
      <c r="M31" s="211"/>
      <c r="N31" s="211"/>
      <c r="O31" s="211"/>
      <c r="P31" s="211"/>
      <c r="Q31" s="211"/>
      <c r="R31" s="211"/>
      <c r="S31" s="211"/>
      <c r="T31" s="211"/>
    </row>
    <row r="32" spans="2:20">
      <c r="B32" s="307"/>
      <c r="C32" s="309" t="s">
        <v>313</v>
      </c>
      <c r="D32" s="309"/>
      <c r="E32" s="458">
        <v>0.03</v>
      </c>
      <c r="F32" s="211"/>
      <c r="G32" s="311" t="s">
        <v>313</v>
      </c>
      <c r="H32" s="311"/>
      <c r="I32" s="311"/>
      <c r="J32" s="459">
        <v>0.06</v>
      </c>
      <c r="K32" s="312"/>
      <c r="L32" s="211"/>
      <c r="M32" s="211"/>
      <c r="N32" s="211"/>
      <c r="O32" s="211"/>
      <c r="P32" s="211"/>
      <c r="Q32" s="211"/>
      <c r="R32" s="211"/>
      <c r="S32" s="211"/>
      <c r="T32" s="211"/>
    </row>
    <row r="33" spans="2:20">
      <c r="B33" s="307"/>
      <c r="C33" s="309" t="s">
        <v>184</v>
      </c>
      <c r="D33" s="309"/>
      <c r="E33" s="317">
        <f>J18*(1+E32)</f>
        <v>2744.3467901517665</v>
      </c>
      <c r="F33" s="211"/>
      <c r="G33" s="311" t="s">
        <v>184</v>
      </c>
      <c r="H33" s="311"/>
      <c r="I33" s="311"/>
      <c r="J33" s="318">
        <f>J18*(1+J32)</f>
        <v>2824.2792209328863</v>
      </c>
      <c r="K33" s="312"/>
      <c r="L33" s="211"/>
      <c r="M33" s="211"/>
      <c r="N33" s="211"/>
      <c r="O33" s="211"/>
      <c r="P33" s="211"/>
      <c r="Q33" s="211"/>
      <c r="R33" s="211"/>
      <c r="S33" s="211"/>
      <c r="T33" s="211"/>
    </row>
    <row r="34" spans="2:20">
      <c r="B34" s="307"/>
      <c r="C34" s="309" t="s">
        <v>185</v>
      </c>
      <c r="D34" s="309"/>
      <c r="E34" s="317">
        <f>E33/(J21-E32)</f>
        <v>47139.854866639296</v>
      </c>
      <c r="F34" s="211"/>
      <c r="G34" s="311" t="s">
        <v>185</v>
      </c>
      <c r="H34" s="311"/>
      <c r="I34" s="311"/>
      <c r="J34" s="319">
        <f>J33/(J24-J32)</f>
        <v>27374.363609347402</v>
      </c>
      <c r="K34" s="312"/>
      <c r="L34" s="211"/>
      <c r="M34" s="211"/>
      <c r="N34" s="211"/>
      <c r="O34" s="211"/>
      <c r="P34" s="211"/>
      <c r="Q34" s="211"/>
      <c r="R34" s="211"/>
      <c r="S34" s="211"/>
      <c r="T34" s="211"/>
    </row>
    <row r="35" spans="2:20">
      <c r="B35" s="307"/>
      <c r="C35" s="313" t="s">
        <v>99</v>
      </c>
      <c r="D35" s="313"/>
      <c r="E35" s="320">
        <f>E34/(1+J21)^(J5-E5)</f>
        <v>30889.470405139109</v>
      </c>
      <c r="F35" s="211"/>
      <c r="G35" s="315" t="s">
        <v>99</v>
      </c>
      <c r="H35" s="311"/>
      <c r="I35" s="311"/>
      <c r="J35" s="319">
        <f>J34/(1+J24)^(J5-E5)</f>
        <v>12856.523836078133</v>
      </c>
      <c r="K35" s="312"/>
      <c r="L35" s="211"/>
      <c r="M35" s="211"/>
      <c r="N35" s="211"/>
      <c r="O35" s="211"/>
      <c r="P35" s="211"/>
      <c r="Q35" s="211"/>
      <c r="R35" s="211"/>
      <c r="S35" s="211"/>
      <c r="T35" s="211"/>
    </row>
    <row r="36" spans="2:20">
      <c r="B36" s="307"/>
      <c r="C36" s="309"/>
      <c r="D36" s="309"/>
      <c r="E36" s="309"/>
      <c r="F36" s="211"/>
      <c r="G36" s="311"/>
      <c r="H36" s="311"/>
      <c r="I36" s="311"/>
      <c r="J36" s="311"/>
      <c r="K36" s="312"/>
      <c r="L36" s="211"/>
      <c r="M36" s="211"/>
      <c r="N36" s="211"/>
      <c r="O36" s="211"/>
      <c r="P36" s="211"/>
      <c r="Q36" s="211"/>
      <c r="R36" s="211"/>
      <c r="S36" s="211"/>
      <c r="T36" s="211"/>
    </row>
    <row r="37" spans="2:20">
      <c r="B37" s="307"/>
      <c r="C37" s="313" t="s">
        <v>100</v>
      </c>
      <c r="D37" s="309"/>
      <c r="E37" s="320">
        <f>E29+E35</f>
        <v>40236.365752627804</v>
      </c>
      <c r="F37" s="211"/>
      <c r="G37" s="315" t="s">
        <v>100</v>
      </c>
      <c r="H37" s="311"/>
      <c r="I37" s="311"/>
      <c r="J37" s="319">
        <f>J29+J35</f>
        <v>20578.677089966295</v>
      </c>
      <c r="K37" s="312"/>
      <c r="L37" s="211"/>
      <c r="M37" s="211"/>
      <c r="N37" s="211"/>
      <c r="O37" s="211"/>
      <c r="P37" s="211"/>
      <c r="Q37" s="211"/>
      <c r="R37" s="211"/>
      <c r="S37" s="211"/>
      <c r="T37" s="211"/>
    </row>
    <row r="38" spans="2:20">
      <c r="B38" s="307"/>
      <c r="C38" s="211"/>
      <c r="D38" s="211"/>
      <c r="E38" s="211"/>
      <c r="F38" s="211"/>
      <c r="G38" s="211"/>
      <c r="H38" s="211"/>
      <c r="I38" s="211"/>
      <c r="J38" s="211"/>
      <c r="K38" s="312"/>
      <c r="L38" s="211"/>
      <c r="M38" s="211"/>
      <c r="N38" s="211"/>
      <c r="O38" s="211"/>
      <c r="P38" s="211"/>
      <c r="Q38" s="211"/>
      <c r="R38" s="211"/>
      <c r="S38" s="211"/>
      <c r="T38" s="211"/>
    </row>
    <row r="39" spans="2:20">
      <c r="B39" s="307"/>
      <c r="C39" s="289" t="s">
        <v>103</v>
      </c>
      <c r="D39" s="239"/>
      <c r="E39" s="321">
        <f>(E37-E41)/J41</f>
        <v>194.89533941625868</v>
      </c>
      <c r="F39" s="211"/>
      <c r="G39" s="289" t="s">
        <v>103</v>
      </c>
      <c r="H39" s="289"/>
      <c r="I39" s="239"/>
      <c r="J39" s="321">
        <f>(J37-E41)/J41</f>
        <v>108.06919640821128</v>
      </c>
      <c r="K39" s="312"/>
      <c r="L39" s="211"/>
      <c r="M39" s="211"/>
      <c r="N39" s="211"/>
      <c r="O39" s="211"/>
      <c r="P39" s="211"/>
      <c r="Q39" s="211"/>
      <c r="R39" s="211"/>
      <c r="S39" s="211"/>
      <c r="T39" s="211"/>
    </row>
    <row r="40" spans="2:20">
      <c r="B40" s="307"/>
      <c r="C40" s="211"/>
      <c r="D40" s="211"/>
      <c r="E40" s="211"/>
      <c r="F40" s="211"/>
      <c r="G40" s="211"/>
      <c r="H40" s="211"/>
      <c r="I40" s="211"/>
      <c r="J40" s="211"/>
      <c r="K40" s="312"/>
      <c r="L40" s="211"/>
      <c r="M40" s="211"/>
      <c r="N40" s="211"/>
      <c r="O40" s="211"/>
      <c r="P40" s="211"/>
      <c r="Q40" s="211"/>
      <c r="R40" s="211"/>
      <c r="S40" s="211"/>
      <c r="T40" s="211"/>
    </row>
    <row r="41" spans="2:20">
      <c r="B41" s="307"/>
      <c r="C41" s="322" t="s">
        <v>101</v>
      </c>
      <c r="D41" s="323"/>
      <c r="E41" s="324">
        <f>'Net debt'!F13</f>
        <v>-3888.5</v>
      </c>
      <c r="F41" s="211"/>
      <c r="G41" s="323" t="s">
        <v>102</v>
      </c>
      <c r="H41" s="323"/>
      <c r="I41" s="325"/>
      <c r="J41" s="326">
        <f>'Transaction comp'!D6</f>
        <v>226.40287799999999</v>
      </c>
      <c r="K41" s="312"/>
      <c r="L41" s="211"/>
      <c r="M41" s="211"/>
      <c r="N41" s="211"/>
      <c r="O41" s="211"/>
      <c r="P41" s="211"/>
      <c r="Q41" s="211"/>
      <c r="R41" s="211"/>
      <c r="S41" s="211"/>
      <c r="T41" s="211"/>
    </row>
    <row r="42" spans="2:20" ht="15" thickBot="1">
      <c r="B42" s="327"/>
      <c r="C42" s="328"/>
      <c r="D42" s="328"/>
      <c r="E42" s="329"/>
      <c r="F42" s="328"/>
      <c r="G42" s="328"/>
      <c r="H42" s="328"/>
      <c r="I42" s="328"/>
      <c r="J42" s="330"/>
      <c r="K42" s="331"/>
    </row>
    <row r="43" spans="2:20">
      <c r="E43" s="82"/>
    </row>
    <row r="44" spans="2:20" ht="15" thickBot="1">
      <c r="C44" s="451" t="s">
        <v>268</v>
      </c>
      <c r="D44" s="452"/>
      <c r="E44" s="82"/>
    </row>
    <row r="45" spans="2:20" ht="15" thickTop="1">
      <c r="B45" s="81" t="s">
        <v>0</v>
      </c>
      <c r="C45" s="211" t="s">
        <v>285</v>
      </c>
      <c r="E45" s="83"/>
    </row>
    <row r="46" spans="2:20">
      <c r="B46" s="2" t="s">
        <v>33</v>
      </c>
      <c r="C46" s="455" t="s">
        <v>286</v>
      </c>
      <c r="E46" s="84"/>
    </row>
    <row r="47" spans="2:20">
      <c r="B47" s="2" t="s">
        <v>34</v>
      </c>
      <c r="C47" s="456" t="s">
        <v>287</v>
      </c>
      <c r="E47" s="85"/>
    </row>
    <row r="48" spans="2:20">
      <c r="B48" s="2" t="s">
        <v>157</v>
      </c>
      <c r="C48" s="467" t="s">
        <v>314</v>
      </c>
      <c r="E48" s="82"/>
    </row>
    <row r="49" spans="2:5">
      <c r="B49" s="2" t="s">
        <v>159</v>
      </c>
      <c r="C49" s="457" t="s">
        <v>288</v>
      </c>
      <c r="E49" s="82"/>
    </row>
    <row r="50" spans="2:5">
      <c r="B50" s="2" t="s">
        <v>176</v>
      </c>
      <c r="C50" s="463" t="s">
        <v>306</v>
      </c>
      <c r="E50" s="83"/>
    </row>
    <row r="51" spans="2:5">
      <c r="C51" s="86"/>
      <c r="E51" s="84"/>
    </row>
    <row r="52" spans="2:5">
      <c r="C52" s="86"/>
      <c r="E52" s="85"/>
    </row>
  </sheetData>
  <pageMargins left="0.7" right="0.7" top="0.75" bottom="0.75" header="0.3" footer="0.3"/>
  <pageSetup orientation="portrait" r:id="rId1"/>
  <ignoredErrors>
    <ignoredError sqref="E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13C3-C58D-49BA-B443-3AD89D017A47}">
  <dimension ref="B2:K35"/>
  <sheetViews>
    <sheetView showGridLines="0" topLeftCell="A13" zoomScaleNormal="100" workbookViewId="0">
      <selection activeCell="D40" sqref="D40"/>
    </sheetView>
  </sheetViews>
  <sheetFormatPr defaultColWidth="10.6640625" defaultRowHeight="13.35" customHeight="1"/>
  <cols>
    <col min="1" max="1" width="2.6640625" style="375" customWidth="1"/>
    <col min="2" max="2" width="10.6640625" style="375" customWidth="1"/>
    <col min="3" max="4" width="10.6640625" style="375"/>
    <col min="5" max="7" width="11.44140625" style="375" bestFit="1" customWidth="1"/>
    <col min="8" max="8" width="8.33203125" style="375" customWidth="1"/>
    <col min="9" max="9" width="8.6640625" style="375" customWidth="1"/>
    <col min="10" max="11" width="11.44140625" style="375" bestFit="1" customWidth="1"/>
    <col min="12" max="16384" width="10.6640625" style="375"/>
  </cols>
  <sheetData>
    <row r="2" spans="2:11" s="371" customFormat="1" ht="13.35" customHeight="1">
      <c r="B2" s="370" t="s">
        <v>140</v>
      </c>
      <c r="C2" s="370"/>
      <c r="D2" s="370"/>
      <c r="E2" s="370"/>
      <c r="F2" s="370"/>
      <c r="G2" s="370"/>
      <c r="H2" s="370"/>
      <c r="I2" s="370"/>
      <c r="J2" s="370"/>
      <c r="K2" s="370"/>
    </row>
    <row r="3" spans="2:11" ht="13.35" customHeight="1">
      <c r="B3" s="372" t="s">
        <v>183</v>
      </c>
      <c r="C3" s="373"/>
      <c r="D3" s="373"/>
    </row>
    <row r="4" spans="2:11" ht="13.35" customHeight="1">
      <c r="B4" s="409"/>
      <c r="E4" s="374" t="s">
        <v>106</v>
      </c>
      <c r="F4" s="374" t="s">
        <v>107</v>
      </c>
      <c r="G4" s="374" t="s">
        <v>108</v>
      </c>
      <c r="H4" s="374" t="s">
        <v>109</v>
      </c>
      <c r="I4" s="374" t="s">
        <v>110</v>
      </c>
      <c r="J4" s="374" t="s">
        <v>111</v>
      </c>
      <c r="K4" s="374" t="s">
        <v>112</v>
      </c>
    </row>
    <row r="5" spans="2:11" ht="13.35" customHeight="1">
      <c r="E5" s="376"/>
    </row>
    <row r="6" spans="2:11" ht="13.35" customHeight="1">
      <c r="B6" s="377" t="s">
        <v>141</v>
      </c>
      <c r="E6" s="378">
        <f>E28</f>
        <v>361.77506849315068</v>
      </c>
      <c r="F6" s="378">
        <f>F28</f>
        <v>434.2701369863014</v>
      </c>
      <c r="G6" s="378">
        <f>G28</f>
        <v>456.06849315068496</v>
      </c>
      <c r="H6" s="378">
        <f>H28</f>
        <v>518.27178082191779</v>
      </c>
      <c r="I6" s="378">
        <f t="shared" ref="I6:K6" si="0">I28</f>
        <v>530.64922980559436</v>
      </c>
      <c r="J6" s="378">
        <f>J28</f>
        <v>570.59328141217202</v>
      </c>
      <c r="K6" s="378">
        <f t="shared" si="0"/>
        <v>613.54407865999644</v>
      </c>
    </row>
    <row r="7" spans="2:11" ht="13.35" customHeight="1">
      <c r="B7" s="377" t="s">
        <v>118</v>
      </c>
      <c r="E7" s="378">
        <f>E26</f>
        <v>6254.1161643835612</v>
      </c>
      <c r="F7" s="378">
        <f>F26</f>
        <v>6028.2863013698634</v>
      </c>
      <c r="G7" s="378">
        <f>G26</f>
        <v>6197.2602739726026</v>
      </c>
      <c r="H7" s="378">
        <f>H26</f>
        <v>6856.4383561643835</v>
      </c>
      <c r="I7" s="378">
        <f>I26</f>
        <v>7648.0197519477342</v>
      </c>
      <c r="J7" s="378">
        <f t="shared" ref="J7:K7" si="1">J26</f>
        <v>8223.7162356151912</v>
      </c>
      <c r="K7" s="378">
        <f t="shared" si="1"/>
        <v>8842.7476546066155</v>
      </c>
    </row>
    <row r="8" spans="2:11" ht="13.35" customHeight="1">
      <c r="B8" s="379" t="s">
        <v>142</v>
      </c>
      <c r="C8" s="380"/>
      <c r="D8" s="380"/>
      <c r="E8" s="407">
        <f>SUM(E6:E7)</f>
        <v>6615.8912328767119</v>
      </c>
      <c r="F8" s="408">
        <f t="shared" ref="F8:K8" si="2">SUM(F6:F7)</f>
        <v>6462.556438356165</v>
      </c>
      <c r="G8" s="408">
        <f t="shared" si="2"/>
        <v>6653.3287671232874</v>
      </c>
      <c r="H8" s="408">
        <f>SUM(H6:H7)</f>
        <v>7374.7101369863012</v>
      </c>
      <c r="I8" s="408">
        <f t="shared" si="2"/>
        <v>8178.6689817533288</v>
      </c>
      <c r="J8" s="408">
        <f t="shared" si="2"/>
        <v>8794.3095170273627</v>
      </c>
      <c r="K8" s="408">
        <f t="shared" si="2"/>
        <v>9456.2917332666111</v>
      </c>
    </row>
    <row r="9" spans="2:11" ht="13.35" customHeight="1">
      <c r="E9" s="376"/>
    </row>
    <row r="10" spans="2:11" ht="13.35" customHeight="1">
      <c r="B10" s="377" t="s">
        <v>143</v>
      </c>
      <c r="E10" s="378">
        <f>E30</f>
        <v>9419.830136986302</v>
      </c>
      <c r="F10" s="378">
        <f>F30</f>
        <v>9831.9928767123292</v>
      </c>
      <c r="G10" s="378">
        <f>G30</f>
        <v>10043.835616438357</v>
      </c>
      <c r="H10" s="378">
        <f>H30</f>
        <v>11198.849315068494</v>
      </c>
      <c r="I10" s="378">
        <f>I30</f>
        <v>12198.681579668166</v>
      </c>
      <c r="J10" s="378">
        <f t="shared" ref="J10:K10" si="3">J30</f>
        <v>13116.924251440223</v>
      </c>
      <c r="K10" s="378">
        <f t="shared" si="3"/>
        <v>14104.286655435508</v>
      </c>
    </row>
    <row r="11" spans="2:11" ht="13.35" customHeight="1">
      <c r="B11" s="377" t="s">
        <v>144</v>
      </c>
      <c r="E11" s="381"/>
      <c r="F11" s="378"/>
      <c r="G11" s="378"/>
    </row>
    <row r="12" spans="2:11" ht="13.35" customHeight="1">
      <c r="B12" s="379" t="s">
        <v>145</v>
      </c>
      <c r="C12" s="380"/>
      <c r="D12" s="380"/>
      <c r="E12" s="407">
        <f>SUM(E10:E11)</f>
        <v>9419.830136986302</v>
      </c>
      <c r="F12" s="408">
        <f t="shared" ref="F12:K12" si="4">SUM(F10:F11)</f>
        <v>9831.9928767123292</v>
      </c>
      <c r="G12" s="408">
        <f t="shared" si="4"/>
        <v>10043.835616438357</v>
      </c>
      <c r="H12" s="408">
        <f>SUM(H10:H11)</f>
        <v>11198.849315068494</v>
      </c>
      <c r="I12" s="408">
        <f t="shared" si="4"/>
        <v>12198.681579668166</v>
      </c>
      <c r="J12" s="408">
        <f t="shared" si="4"/>
        <v>13116.924251440223</v>
      </c>
      <c r="K12" s="408">
        <f t="shared" si="4"/>
        <v>14104.286655435508</v>
      </c>
    </row>
    <row r="13" spans="2:11" ht="13.35" customHeight="1">
      <c r="E13" s="376"/>
    </row>
    <row r="14" spans="2:11" s="371" customFormat="1" ht="13.35" customHeight="1">
      <c r="B14" s="382" t="s">
        <v>140</v>
      </c>
      <c r="C14" s="383"/>
      <c r="D14" s="383"/>
      <c r="E14" s="407">
        <f>E8-E12</f>
        <v>-2803.9389041095901</v>
      </c>
      <c r="F14" s="407">
        <f>F8-F12</f>
        <v>-3369.4364383561642</v>
      </c>
      <c r="G14" s="407">
        <f t="shared" ref="G14:K14" si="5">G8-G12</f>
        <v>-3390.5068493150693</v>
      </c>
      <c r="H14" s="407">
        <f t="shared" si="5"/>
        <v>-3824.1391780821923</v>
      </c>
      <c r="I14" s="407">
        <f t="shared" si="5"/>
        <v>-4020.012597914837</v>
      </c>
      <c r="J14" s="407">
        <f t="shared" si="5"/>
        <v>-4322.6147344128603</v>
      </c>
      <c r="K14" s="407">
        <f t="shared" si="5"/>
        <v>-4647.9949221688967</v>
      </c>
    </row>
    <row r="15" spans="2:11" ht="13.35" customHeight="1">
      <c r="B15" s="403" t="s">
        <v>146</v>
      </c>
      <c r="C15" s="404"/>
      <c r="D15" s="404"/>
      <c r="E15" s="405"/>
      <c r="F15" s="406">
        <f>+E14-F14</f>
        <v>565.49753424657411</v>
      </c>
      <c r="G15" s="406">
        <f>+F14-G14</f>
        <v>21.070410958905086</v>
      </c>
      <c r="H15" s="406">
        <f>+G14-H14</f>
        <v>433.632328767123</v>
      </c>
      <c r="I15" s="406">
        <f t="shared" ref="I15:K15" si="6">+H14-I14</f>
        <v>195.87341983264469</v>
      </c>
      <c r="J15" s="406">
        <f t="shared" si="6"/>
        <v>302.60213649802336</v>
      </c>
      <c r="K15" s="406">
        <f t="shared" si="6"/>
        <v>325.38018775603632</v>
      </c>
    </row>
    <row r="17" spans="2:11" ht="13.35" customHeight="1">
      <c r="B17" s="384" t="s">
        <v>155</v>
      </c>
    </row>
    <row r="18" spans="2:11" ht="13.35" customHeight="1">
      <c r="B18" s="375">
        <v>365</v>
      </c>
    </row>
    <row r="20" spans="2:11" ht="13.35" customHeight="1">
      <c r="B20" s="370" t="s">
        <v>147</v>
      </c>
      <c r="C20" s="370"/>
      <c r="D20" s="370"/>
      <c r="E20" s="370"/>
      <c r="F20" s="370"/>
      <c r="G20" s="370"/>
      <c r="H20" s="370"/>
      <c r="I20" s="370"/>
    </row>
    <row r="21" spans="2:11" ht="13.35" customHeight="1">
      <c r="B21" s="385"/>
      <c r="C21" s="386"/>
      <c r="D21" s="386"/>
      <c r="E21" s="374" t="s">
        <v>106</v>
      </c>
      <c r="F21" s="374" t="s">
        <v>107</v>
      </c>
      <c r="G21" s="374" t="s">
        <v>108</v>
      </c>
      <c r="H21" s="374" t="s">
        <v>109</v>
      </c>
      <c r="I21" s="374" t="s">
        <v>110</v>
      </c>
      <c r="J21" s="374" t="s">
        <v>111</v>
      </c>
      <c r="K21" s="374" t="s">
        <v>112</v>
      </c>
    </row>
    <row r="22" spans="2:11" ht="13.35" customHeight="1">
      <c r="B22" s="387"/>
      <c r="K22" s="388"/>
    </row>
    <row r="23" spans="2:11" ht="13.35" customHeight="1">
      <c r="B23" s="387" t="s">
        <v>151</v>
      </c>
      <c r="E23" s="375">
        <f>'Ref. sheet'!B3</f>
        <v>22381</v>
      </c>
      <c r="F23" s="375">
        <f>'Ref. sheet'!C3</f>
        <v>23658</v>
      </c>
      <c r="G23" s="375">
        <f>'Ref. sheet'!D3</f>
        <v>25610</v>
      </c>
      <c r="H23" s="375">
        <f>'Ref. sheet'!E3</f>
        <v>27819</v>
      </c>
      <c r="I23" s="375">
        <f>DCF!H6</f>
        <v>29913.045386724629</v>
      </c>
      <c r="J23" s="375">
        <f>DCF!I6</f>
        <v>32164.717793890781</v>
      </c>
      <c r="K23" s="388">
        <f>DCF!J6</f>
        <v>34585.882426393626</v>
      </c>
    </row>
    <row r="24" spans="2:11" ht="13.35" customHeight="1" thickBot="1">
      <c r="B24" s="389" t="s">
        <v>152</v>
      </c>
      <c r="C24" s="390"/>
      <c r="D24" s="390"/>
      <c r="E24" s="390">
        <f>'Ref. sheet'!B4</f>
        <v>-14852</v>
      </c>
      <c r="F24" s="390">
        <f>'Ref. sheet'!C4</f>
        <v>-14817</v>
      </c>
      <c r="G24" s="390">
        <f>'Ref. sheet'!D4</f>
        <v>-15600</v>
      </c>
      <c r="H24" s="391">
        <f>'Ref. sheet'!E4</f>
        <v>-16684</v>
      </c>
      <c r="I24" s="389">
        <f>-DCF!H7</f>
        <v>18686.450696249514</v>
      </c>
      <c r="J24" s="390">
        <f>-DCF!I7</f>
        <v>20093.053229580641</v>
      </c>
      <c r="K24" s="391">
        <f>-DCF!J7</f>
        <v>21605.536259905806</v>
      </c>
    </row>
    <row r="25" spans="2:11" ht="13.35" customHeight="1" thickTop="1">
      <c r="B25" s="387" t="s">
        <v>148</v>
      </c>
      <c r="E25" s="392">
        <v>153.69999999999999</v>
      </c>
      <c r="F25" s="392">
        <v>148.5</v>
      </c>
      <c r="G25" s="392">
        <v>145</v>
      </c>
      <c r="H25" s="392">
        <v>150</v>
      </c>
      <c r="K25" s="388"/>
    </row>
    <row r="26" spans="2:11" ht="13.35" customHeight="1">
      <c r="B26" s="387" t="s">
        <v>156</v>
      </c>
      <c r="E26" s="375">
        <f>-(E24*E25)/$B$18</f>
        <v>6254.1161643835612</v>
      </c>
      <c r="F26" s="375">
        <f>-(F24*F25)/$B$18</f>
        <v>6028.2863013698634</v>
      </c>
      <c r="G26" s="375">
        <f>-(G24*G25)/$B$18</f>
        <v>6197.2602739726026</v>
      </c>
      <c r="H26" s="375">
        <f>-(H24*H25)/$B$18</f>
        <v>6856.4383561643835</v>
      </c>
      <c r="I26" s="375">
        <f>I33*I23</f>
        <v>7648.0197519477342</v>
      </c>
      <c r="J26" s="375">
        <f>J33*J23</f>
        <v>8223.7162356151912</v>
      </c>
      <c r="K26" s="388">
        <f>K33*K23</f>
        <v>8842.7476546066155</v>
      </c>
    </row>
    <row r="27" spans="2:11" ht="13.35" customHeight="1">
      <c r="B27" s="387" t="s">
        <v>149</v>
      </c>
      <c r="E27" s="393">
        <v>5.9</v>
      </c>
      <c r="F27" s="393">
        <v>6.7</v>
      </c>
      <c r="G27" s="393">
        <v>6.5</v>
      </c>
      <c r="H27" s="393">
        <v>6.8</v>
      </c>
      <c r="K27" s="388"/>
    </row>
    <row r="28" spans="2:11" ht="13.35" customHeight="1">
      <c r="B28" s="387" t="s">
        <v>154</v>
      </c>
      <c r="E28" s="375">
        <f>(E23*E27)/$B$18</f>
        <v>361.77506849315068</v>
      </c>
      <c r="F28" s="375">
        <f>(F23*F27)/$B$18</f>
        <v>434.2701369863014</v>
      </c>
      <c r="G28" s="375">
        <f>(G23*G27)/$B$18</f>
        <v>456.06849315068496</v>
      </c>
      <c r="H28" s="375">
        <f>(H23*H27)/$B$18</f>
        <v>518.27178082191779</v>
      </c>
      <c r="I28" s="375">
        <f>I34*I23</f>
        <v>530.64922980559436</v>
      </c>
      <c r="J28" s="375">
        <f>J34*J23</f>
        <v>570.59328141217202</v>
      </c>
      <c r="K28" s="388">
        <f t="shared" ref="K28" si="7">K34*K23</f>
        <v>613.54407865999644</v>
      </c>
    </row>
    <row r="29" spans="2:11" ht="13.35" customHeight="1">
      <c r="B29" s="387" t="s">
        <v>150</v>
      </c>
      <c r="E29" s="393">
        <v>231.5</v>
      </c>
      <c r="F29" s="393">
        <v>242.2</v>
      </c>
      <c r="G29" s="393">
        <v>235</v>
      </c>
      <c r="H29" s="393">
        <v>245</v>
      </c>
      <c r="K29" s="388"/>
    </row>
    <row r="30" spans="2:11" ht="13.35" customHeight="1">
      <c r="B30" s="394" t="s">
        <v>153</v>
      </c>
      <c r="C30" s="395"/>
      <c r="D30" s="395"/>
      <c r="E30" s="395">
        <f>-(E24*E29)/365</f>
        <v>9419.830136986302</v>
      </c>
      <c r="F30" s="395">
        <f>-(F24*F29)/365</f>
        <v>9831.9928767123292</v>
      </c>
      <c r="G30" s="395">
        <f t="shared" ref="G30:H30" si="8">-(G24*G29)/365</f>
        <v>10043.835616438357</v>
      </c>
      <c r="H30" s="395">
        <f t="shared" si="8"/>
        <v>11198.849315068494</v>
      </c>
      <c r="I30" s="395">
        <f>I35*I23</f>
        <v>12198.681579668166</v>
      </c>
      <c r="J30" s="395">
        <f>J35*J23</f>
        <v>13116.924251440223</v>
      </c>
      <c r="K30" s="396">
        <f>K35*K23</f>
        <v>14104.286655435508</v>
      </c>
    </row>
    <row r="32" spans="2:11" ht="13.35" customHeight="1">
      <c r="B32" s="384" t="s">
        <v>158</v>
      </c>
      <c r="E32" s="374" t="s">
        <v>106</v>
      </c>
      <c r="F32" s="374" t="s">
        <v>107</v>
      </c>
      <c r="G32" s="374" t="s">
        <v>108</v>
      </c>
      <c r="H32" s="374" t="s">
        <v>109</v>
      </c>
      <c r="I32" s="374" t="s">
        <v>110</v>
      </c>
      <c r="J32" s="374" t="s">
        <v>111</v>
      </c>
      <c r="K32" s="374" t="s">
        <v>112</v>
      </c>
    </row>
    <row r="33" spans="2:11" ht="13.35" customHeight="1">
      <c r="B33" s="385" t="s">
        <v>156</v>
      </c>
      <c r="C33" s="386"/>
      <c r="D33" s="386"/>
      <c r="E33" s="397">
        <f>E26/E23</f>
        <v>0.27943863832641802</v>
      </c>
      <c r="F33" s="397">
        <f>F26/F23</f>
        <v>0.2548096331629835</v>
      </c>
      <c r="G33" s="397">
        <f t="shared" ref="G33:H33" si="9">G26/G23</f>
        <v>0.24198595368889506</v>
      </c>
      <c r="H33" s="397">
        <f t="shared" si="9"/>
        <v>0.24646602524046096</v>
      </c>
      <c r="I33" s="397">
        <f>AVERAGE(E33:H33)</f>
        <v>0.25567506260468936</v>
      </c>
      <c r="J33" s="397">
        <f>I33</f>
        <v>0.25567506260468936</v>
      </c>
      <c r="K33" s="398">
        <f>J33</f>
        <v>0.25567506260468936</v>
      </c>
    </row>
    <row r="34" spans="2:11" ht="13.35" customHeight="1">
      <c r="B34" s="387" t="s">
        <v>154</v>
      </c>
      <c r="E34" s="399">
        <f>E28/E23</f>
        <v>1.6164383561643837E-2</v>
      </c>
      <c r="F34" s="399">
        <f>F28/F23</f>
        <v>1.8356164383561645E-2</v>
      </c>
      <c r="G34" s="399">
        <f t="shared" ref="G34:H34" si="10">G28/G23</f>
        <v>1.7808219178082191E-2</v>
      </c>
      <c r="H34" s="399">
        <f t="shared" si="10"/>
        <v>1.8630136986301369E-2</v>
      </c>
      <c r="I34" s="399">
        <f>AVERAGE(E34:H34)</f>
        <v>1.7739726027397259E-2</v>
      </c>
      <c r="J34" s="399">
        <f t="shared" ref="J34:K35" si="11">I34</f>
        <v>1.7739726027397259E-2</v>
      </c>
      <c r="K34" s="400">
        <f t="shared" si="11"/>
        <v>1.7739726027397259E-2</v>
      </c>
    </row>
    <row r="35" spans="2:11" ht="13.35" customHeight="1">
      <c r="B35" s="394" t="s">
        <v>153</v>
      </c>
      <c r="C35" s="395"/>
      <c r="D35" s="395"/>
      <c r="E35" s="401">
        <f>E30/E23</f>
        <v>0.42088513189697968</v>
      </c>
      <c r="F35" s="401">
        <f>F30/F23</f>
        <v>0.41558850607457642</v>
      </c>
      <c r="G35" s="401">
        <f t="shared" ref="G35:H35" si="12">G30/G23</f>
        <v>0.39218413184062306</v>
      </c>
      <c r="H35" s="401">
        <f t="shared" si="12"/>
        <v>0.40256117455941959</v>
      </c>
      <c r="I35" s="401">
        <f t="shared" ref="I35" si="13">AVERAGE(E35:H35)</f>
        <v>0.40780473609289963</v>
      </c>
      <c r="J35" s="401">
        <f t="shared" si="11"/>
        <v>0.40780473609289963</v>
      </c>
      <c r="K35" s="402">
        <f t="shared" si="11"/>
        <v>0.40780473609289963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0BAC-AE9D-41FF-BC30-83E3F484048C}">
  <dimension ref="B2:N36"/>
  <sheetViews>
    <sheetView showGridLines="0" topLeftCell="A10" zoomScaleNormal="100" workbookViewId="0">
      <selection activeCell="C33" sqref="C33"/>
    </sheetView>
  </sheetViews>
  <sheetFormatPr defaultColWidth="10.77734375" defaultRowHeight="14.4" customHeight="1"/>
  <cols>
    <col min="1" max="1" width="2.5546875" style="2" customWidth="1"/>
    <col min="2" max="2" width="2.33203125" style="2" customWidth="1"/>
    <col min="3" max="4" width="10.77734375" style="2" customWidth="1"/>
    <col min="5" max="16384" width="10.77734375" style="2"/>
  </cols>
  <sheetData>
    <row r="2" spans="3:13" s="49" customFormat="1" ht="14.4" customHeight="1">
      <c r="C2" s="50" t="s">
        <v>320</v>
      </c>
      <c r="D2" s="50"/>
      <c r="E2" s="50"/>
      <c r="F2" s="50"/>
      <c r="G2" s="50"/>
      <c r="I2" s="50" t="s">
        <v>175</v>
      </c>
      <c r="J2" s="50"/>
      <c r="K2" s="50"/>
      <c r="L2" s="50"/>
      <c r="M2" s="50"/>
    </row>
    <row r="3" spans="3:13" ht="14.4" customHeight="1">
      <c r="C3" s="36"/>
      <c r="D3" s="36"/>
      <c r="E3" s="36"/>
      <c r="F3" s="36"/>
      <c r="G3" s="36"/>
      <c r="I3" s="36"/>
      <c r="J3" s="36"/>
      <c r="K3" s="36"/>
      <c r="L3" s="36"/>
      <c r="M3" s="36"/>
    </row>
    <row r="4" spans="3:13" ht="14.4" customHeight="1">
      <c r="C4" s="332" t="s">
        <v>125</v>
      </c>
      <c r="D4" s="25"/>
      <c r="E4" s="41"/>
      <c r="F4" s="41"/>
      <c r="G4" s="106">
        <f>K27</f>
        <v>0.23845516670118039</v>
      </c>
      <c r="I4" s="332" t="s">
        <v>125</v>
      </c>
      <c r="J4" s="25"/>
      <c r="K4" s="41"/>
      <c r="L4" s="41"/>
      <c r="M4" s="106">
        <f>K27</f>
        <v>0.23845516670118039</v>
      </c>
    </row>
    <row r="5" spans="3:13" ht="14.4" customHeight="1">
      <c r="C5" s="332" t="s">
        <v>126</v>
      </c>
      <c r="D5" s="25"/>
      <c r="E5" s="41"/>
      <c r="F5" s="41"/>
      <c r="G5" s="106">
        <v>0.28000000000000003</v>
      </c>
      <c r="I5" s="332" t="s">
        <v>126</v>
      </c>
      <c r="J5" s="25"/>
      <c r="K5" s="41"/>
      <c r="L5" s="41"/>
      <c r="M5" s="106">
        <v>0.28000000000000003</v>
      </c>
    </row>
    <row r="6" spans="3:13" ht="14.4" customHeight="1">
      <c r="C6" s="107" t="s">
        <v>127</v>
      </c>
      <c r="D6" s="108"/>
      <c r="E6" s="109"/>
      <c r="F6" s="109"/>
      <c r="G6" s="110">
        <f>+G4*(1-G5)</f>
        <v>0.17168772002484986</v>
      </c>
      <c r="I6" s="107" t="s">
        <v>127</v>
      </c>
      <c r="J6" s="108"/>
      <c r="K6" s="109"/>
      <c r="L6" s="109"/>
      <c r="M6" s="110">
        <f>+M4*(1-M5)</f>
        <v>0.17168772002484986</v>
      </c>
    </row>
    <row r="7" spans="3:13" ht="14.4" customHeight="1">
      <c r="C7" s="30"/>
      <c r="D7" s="30"/>
      <c r="E7" s="41"/>
      <c r="F7" s="41"/>
      <c r="G7" s="41"/>
      <c r="I7" s="30"/>
      <c r="J7" s="30"/>
      <c r="K7" s="41"/>
      <c r="L7" s="41"/>
      <c r="M7" s="41"/>
    </row>
    <row r="8" spans="3:13" ht="14.4" customHeight="1">
      <c r="C8" s="111" t="s">
        <v>130</v>
      </c>
      <c r="D8" s="112"/>
      <c r="E8" s="113"/>
      <c r="F8" s="113"/>
      <c r="G8" s="114">
        <f>F27</f>
        <v>7.8293000000000001E-2</v>
      </c>
      <c r="I8" s="111" t="s">
        <v>130</v>
      </c>
      <c r="J8" s="112"/>
      <c r="K8" s="113"/>
      <c r="L8" s="113"/>
      <c r="M8" s="114">
        <f>G27</f>
        <v>0.16216</v>
      </c>
    </row>
    <row r="9" spans="3:13" ht="14.4" customHeight="1">
      <c r="C9" s="30"/>
      <c r="D9" s="30"/>
      <c r="E9" s="41"/>
      <c r="F9" s="41"/>
      <c r="G9" s="41"/>
      <c r="I9" s="30"/>
      <c r="J9" s="30"/>
      <c r="K9" s="41"/>
      <c r="L9" s="41"/>
      <c r="M9" s="41"/>
    </row>
    <row r="10" spans="3:13" ht="14.4" customHeight="1">
      <c r="C10" s="115" t="s">
        <v>131</v>
      </c>
      <c r="D10" s="39"/>
      <c r="E10" s="333"/>
      <c r="F10" s="334"/>
      <c r="G10" s="334"/>
      <c r="I10" s="115" t="s">
        <v>131</v>
      </c>
      <c r="J10" s="39"/>
      <c r="K10" s="333"/>
      <c r="L10" s="334"/>
      <c r="M10" s="334"/>
    </row>
    <row r="11" spans="3:13" ht="14.4" customHeight="1">
      <c r="C11" s="35"/>
      <c r="D11" s="35"/>
      <c r="E11" s="34"/>
      <c r="F11" s="116" t="s">
        <v>178</v>
      </c>
      <c r="G11" s="116" t="s">
        <v>160</v>
      </c>
      <c r="I11" s="35"/>
      <c r="J11" s="35"/>
      <c r="K11" s="34"/>
      <c r="L11" s="116" t="s">
        <v>178</v>
      </c>
      <c r="M11" s="116" t="s">
        <v>160</v>
      </c>
    </row>
    <row r="12" spans="3:13" ht="14.4" customHeight="1">
      <c r="C12" s="332" t="s">
        <v>179</v>
      </c>
      <c r="D12" s="25"/>
      <c r="E12" s="41"/>
      <c r="F12" s="454">
        <v>14613.9</v>
      </c>
      <c r="G12" s="335">
        <f>+F12/$F$14</f>
        <v>0.89373998556698508</v>
      </c>
      <c r="I12" s="332" t="s">
        <v>132</v>
      </c>
      <c r="J12" s="25"/>
      <c r="K12" s="41"/>
      <c r="L12" s="454">
        <f>F12</f>
        <v>14613.9</v>
      </c>
      <c r="M12" s="335">
        <f>+L12/$F$14</f>
        <v>0.89373998556698508</v>
      </c>
    </row>
    <row r="13" spans="3:13" ht="14.4" customHeight="1">
      <c r="C13" s="332" t="s">
        <v>177</v>
      </c>
      <c r="D13" s="25"/>
      <c r="E13" s="41"/>
      <c r="F13" s="454">
        <f>('Net debt'!F7)</f>
        <v>1737.5</v>
      </c>
      <c r="G13" s="335">
        <f>+F13/$F$14</f>
        <v>0.10626001443301492</v>
      </c>
      <c r="I13" s="332" t="s">
        <v>50</v>
      </c>
      <c r="J13" s="25"/>
      <c r="K13" s="41"/>
      <c r="L13" s="454">
        <f>F13</f>
        <v>1737.5</v>
      </c>
      <c r="M13" s="335">
        <f>+L13/$F$14</f>
        <v>0.10626001443301492</v>
      </c>
    </row>
    <row r="14" spans="3:13" ht="14.4" customHeight="1">
      <c r="C14" s="117" t="s">
        <v>133</v>
      </c>
      <c r="D14" s="118"/>
      <c r="E14" s="119"/>
      <c r="F14" s="120">
        <f>SUM(F12:F13)</f>
        <v>16351.4</v>
      </c>
      <c r="G14" s="121">
        <f>SUM(G12:G13)</f>
        <v>1</v>
      </c>
      <c r="I14" s="117" t="s">
        <v>133</v>
      </c>
      <c r="J14" s="118"/>
      <c r="K14" s="119"/>
      <c r="L14" s="120">
        <f>SUM(L12:L13)</f>
        <v>16351.4</v>
      </c>
      <c r="M14" s="121">
        <f>SUM(M12:M13)</f>
        <v>1</v>
      </c>
    </row>
    <row r="15" spans="3:13" ht="14.4" customHeight="1">
      <c r="C15" s="30"/>
      <c r="D15" s="30"/>
      <c r="E15" s="41"/>
      <c r="F15" s="41"/>
      <c r="G15" s="41"/>
      <c r="I15" s="30"/>
      <c r="J15" s="30"/>
      <c r="K15" s="41"/>
      <c r="L15" s="41"/>
      <c r="M15" s="41"/>
    </row>
    <row r="16" spans="3:13" ht="14.4" customHeight="1">
      <c r="C16" s="122" t="s">
        <v>134</v>
      </c>
      <c r="D16" s="123"/>
      <c r="E16" s="124"/>
      <c r="F16" s="124"/>
      <c r="G16" s="125">
        <f>+(G6*G13)+(G8*G12)</f>
        <v>8.8217124297807939E-2</v>
      </c>
      <c r="I16" s="122" t="s">
        <v>134</v>
      </c>
      <c r="J16" s="123"/>
      <c r="K16" s="124"/>
      <c r="L16" s="124"/>
      <c r="M16" s="125">
        <f>+(M6*M13)+(M8*M12)</f>
        <v>0.16317241566735427</v>
      </c>
    </row>
    <row r="17" spans="2:14" ht="14.4" customHeight="1" thickBot="1"/>
    <row r="18" spans="2:14" ht="13.2">
      <c r="B18" s="345"/>
      <c r="C18" s="346"/>
      <c r="D18" s="346"/>
      <c r="E18" s="346"/>
      <c r="F18" s="346"/>
      <c r="G18" s="346"/>
      <c r="H18" s="346"/>
      <c r="I18" s="347" t="s">
        <v>170</v>
      </c>
      <c r="J18" s="346"/>
      <c r="K18" s="347"/>
    </row>
    <row r="19" spans="2:14" ht="13.8">
      <c r="B19" s="348"/>
      <c r="C19" s="367" t="s">
        <v>166</v>
      </c>
      <c r="D19" s="368"/>
      <c r="E19" s="368"/>
      <c r="F19" s="369"/>
      <c r="G19" s="369"/>
      <c r="I19" s="367" t="s">
        <v>167</v>
      </c>
      <c r="J19" s="212"/>
      <c r="K19" s="349"/>
      <c r="N19" s="336"/>
    </row>
    <row r="20" spans="2:14" ht="16.8">
      <c r="B20" s="348"/>
      <c r="C20" s="350" t="s">
        <v>161</v>
      </c>
      <c r="D20" s="351"/>
      <c r="E20" s="352"/>
      <c r="F20" s="353" t="s">
        <v>162</v>
      </c>
      <c r="G20" s="353" t="s">
        <v>163</v>
      </c>
      <c r="K20" s="349"/>
    </row>
    <row r="21" spans="2:14" ht="14.4" customHeight="1">
      <c r="B21" s="348"/>
      <c r="C21" s="354" t="s">
        <v>264</v>
      </c>
      <c r="D21" s="355"/>
      <c r="E21" s="355"/>
      <c r="F21" s="356">
        <v>3.9100000000000003E-2</v>
      </c>
      <c r="G21" s="356">
        <v>7.0000000000000007E-2</v>
      </c>
      <c r="I21" s="2" t="s">
        <v>172</v>
      </c>
      <c r="K21" s="357">
        <v>460.6</v>
      </c>
    </row>
    <row r="22" spans="2:14" ht="14.4" customHeight="1">
      <c r="B22" s="348"/>
      <c r="C22" s="354" t="s">
        <v>128</v>
      </c>
      <c r="D22" s="355"/>
      <c r="E22" s="355"/>
      <c r="F22" s="358">
        <v>0.77</v>
      </c>
      <c r="G22" s="358">
        <v>0.77</v>
      </c>
      <c r="I22" s="2" t="s">
        <v>168</v>
      </c>
      <c r="K22" s="357">
        <v>629.5</v>
      </c>
    </row>
    <row r="23" spans="2:14" ht="14.4" customHeight="1">
      <c r="B23" s="348"/>
      <c r="C23" s="354" t="s">
        <v>164</v>
      </c>
      <c r="D23" s="359"/>
      <c r="E23" s="359"/>
      <c r="F23" s="360">
        <v>0.09</v>
      </c>
      <c r="G23" s="360">
        <v>0.14799999999999999</v>
      </c>
      <c r="I23" s="2" t="s">
        <v>169</v>
      </c>
      <c r="K23" s="357">
        <v>1108.3</v>
      </c>
    </row>
    <row r="24" spans="2:14" ht="14.4" customHeight="1">
      <c r="B24" s="348"/>
      <c r="C24" s="354" t="s">
        <v>265</v>
      </c>
      <c r="D24" s="359"/>
      <c r="E24" s="359"/>
      <c r="F24" s="361">
        <f>-F21</f>
        <v>-3.9100000000000003E-2</v>
      </c>
      <c r="G24" s="361">
        <f>-G21</f>
        <v>-7.0000000000000007E-2</v>
      </c>
      <c r="I24" s="2" t="s">
        <v>173</v>
      </c>
      <c r="K24" s="357">
        <v>79</v>
      </c>
    </row>
    <row r="25" spans="2:14" ht="14.4" customHeight="1">
      <c r="B25" s="348"/>
      <c r="C25" s="337" t="s">
        <v>129</v>
      </c>
      <c r="D25" s="338"/>
      <c r="E25" s="338"/>
      <c r="F25" s="339">
        <f>+SUM(F23:F24)</f>
        <v>5.0899999999999994E-2</v>
      </c>
      <c r="G25" s="339">
        <f>+SUM(G23:G24)</f>
        <v>7.7999999999999986E-2</v>
      </c>
      <c r="I25" s="340" t="s">
        <v>174</v>
      </c>
      <c r="J25" s="340"/>
      <c r="K25" s="362">
        <v>114.8</v>
      </c>
    </row>
    <row r="26" spans="2:14" ht="14.4" customHeight="1">
      <c r="B26" s="348"/>
      <c r="C26" s="354" t="s">
        <v>165</v>
      </c>
      <c r="D26" s="359"/>
      <c r="E26" s="359"/>
      <c r="F26" s="360">
        <v>0</v>
      </c>
      <c r="G26" s="360">
        <v>3.2099999999999997E-2</v>
      </c>
      <c r="I26" s="2" t="s">
        <v>171</v>
      </c>
      <c r="K26" s="349">
        <f>SUM(K22:K25)</f>
        <v>1931.6</v>
      </c>
    </row>
    <row r="27" spans="2:14" ht="14.4" customHeight="1">
      <c r="B27" s="348"/>
      <c r="C27" s="341" t="s">
        <v>166</v>
      </c>
      <c r="D27" s="342"/>
      <c r="E27" s="342"/>
      <c r="F27" s="343">
        <f>+F21+(F22*F25)+F26</f>
        <v>7.8293000000000001E-2</v>
      </c>
      <c r="G27" s="344">
        <f>+G21+(G22*G25)+G26</f>
        <v>0.16216</v>
      </c>
      <c r="I27" s="341" t="s">
        <v>125</v>
      </c>
      <c r="J27" s="343"/>
      <c r="K27" s="363">
        <f>K21/K26</f>
        <v>0.23845516670118039</v>
      </c>
    </row>
    <row r="28" spans="2:14" ht="14.4" customHeight="1" thickBot="1">
      <c r="B28" s="364"/>
      <c r="C28" s="365"/>
      <c r="D28" s="365"/>
      <c r="E28" s="365"/>
      <c r="F28" s="365"/>
      <c r="G28" s="365"/>
      <c r="H28" s="365"/>
      <c r="I28" s="365"/>
      <c r="J28" s="365"/>
      <c r="K28" s="366"/>
    </row>
    <row r="30" spans="2:14" ht="14.4" customHeight="1" thickBot="1">
      <c r="C30" s="451" t="s">
        <v>268</v>
      </c>
      <c r="D30" s="452"/>
    </row>
    <row r="31" spans="2:14" ht="14.4" customHeight="1" thickTop="1">
      <c r="B31" s="2" t="s">
        <v>0</v>
      </c>
      <c r="C31" s="2" t="s">
        <v>284</v>
      </c>
    </row>
    <row r="32" spans="2:14" ht="14.4" customHeight="1">
      <c r="B32" s="2" t="s">
        <v>33</v>
      </c>
      <c r="C32" s="2" t="s">
        <v>321</v>
      </c>
    </row>
    <row r="33" spans="2:3" ht="14.4" customHeight="1">
      <c r="B33" s="2" t="s">
        <v>34</v>
      </c>
      <c r="C33" s="2" t="s">
        <v>318</v>
      </c>
    </row>
    <row r="34" spans="2:3" ht="14.4" customHeight="1">
      <c r="B34" s="2" t="s">
        <v>157</v>
      </c>
      <c r="C34" s="2" t="s">
        <v>317</v>
      </c>
    </row>
    <row r="35" spans="2:3" ht="14.4" customHeight="1">
      <c r="B35" s="2" t="s">
        <v>159</v>
      </c>
      <c r="C35" s="2" t="s">
        <v>315</v>
      </c>
    </row>
    <row r="36" spans="2:3" ht="14.4" customHeight="1">
      <c r="B36" s="2" t="s">
        <v>296</v>
      </c>
    </row>
  </sheetData>
  <pageMargins left="0.7" right="0.7" top="0.75" bottom="0.75" header="0.3" footer="0.3"/>
  <pageSetup orientation="portrait" r:id="rId1"/>
  <ignoredErrors>
    <ignoredError sqref="K2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34F1-BE2F-4260-97E9-13B35614FB53}">
  <dimension ref="A2:G21"/>
  <sheetViews>
    <sheetView showGridLines="0" workbookViewId="0">
      <selection activeCell="H23" sqref="H23"/>
    </sheetView>
  </sheetViews>
  <sheetFormatPr defaultRowHeight="14.4"/>
  <cols>
    <col min="1" max="1" width="2.77734375" customWidth="1"/>
    <col min="6" max="6" width="15.109375" bestFit="1" customWidth="1"/>
  </cols>
  <sheetData>
    <row r="2" spans="2:7">
      <c r="B2" s="50" t="s">
        <v>263</v>
      </c>
      <c r="C2" s="50"/>
      <c r="D2" s="50"/>
      <c r="E2" s="50"/>
      <c r="F2" s="50"/>
      <c r="G2" s="50"/>
    </row>
    <row r="3" spans="2:7">
      <c r="B3" s="212" t="s">
        <v>262</v>
      </c>
      <c r="C3" s="212"/>
      <c r="D3" s="126"/>
    </row>
    <row r="4" spans="2:7">
      <c r="B4" s="67"/>
      <c r="C4" s="68"/>
      <c r="D4" s="68"/>
      <c r="E4" s="68"/>
      <c r="F4" s="68"/>
      <c r="G4" s="69"/>
    </row>
    <row r="5" spans="2:7">
      <c r="B5" s="70" t="s">
        <v>75</v>
      </c>
      <c r="C5" s="71"/>
      <c r="D5" s="71"/>
      <c r="E5" s="71"/>
      <c r="F5" s="56">
        <v>629.5</v>
      </c>
      <c r="G5" s="1"/>
    </row>
    <row r="6" spans="2:7">
      <c r="B6" s="70" t="s">
        <v>182</v>
      </c>
      <c r="C6" s="71"/>
      <c r="D6" s="72"/>
      <c r="E6" s="72"/>
      <c r="F6" s="56">
        <v>1108</v>
      </c>
      <c r="G6" s="1"/>
    </row>
    <row r="7" spans="2:7">
      <c r="B7" s="73" t="s">
        <v>76</v>
      </c>
      <c r="C7" s="52"/>
      <c r="D7" s="52"/>
      <c r="E7" s="52"/>
      <c r="F7" s="57">
        <f>SUM(F5:F6)</f>
        <v>1737.5</v>
      </c>
      <c r="G7" s="1"/>
    </row>
    <row r="8" spans="2:7">
      <c r="B8" s="74"/>
      <c r="C8" s="72"/>
      <c r="D8" s="72"/>
      <c r="E8" s="72"/>
      <c r="F8" s="58"/>
      <c r="G8" s="1"/>
    </row>
    <row r="9" spans="2:7">
      <c r="B9" s="70" t="s">
        <v>77</v>
      </c>
      <c r="C9" s="72"/>
      <c r="D9" s="72"/>
      <c r="E9" s="72"/>
      <c r="F9" s="56">
        <v>4916</v>
      </c>
      <c r="G9" s="1"/>
    </row>
    <row r="10" spans="2:7">
      <c r="B10" s="70" t="s">
        <v>78</v>
      </c>
      <c r="C10" s="72"/>
      <c r="D10" s="72"/>
      <c r="E10" s="72"/>
      <c r="F10" s="56">
        <v>710</v>
      </c>
      <c r="G10" s="1"/>
    </row>
    <row r="11" spans="2:7">
      <c r="B11" s="75" t="s">
        <v>79</v>
      </c>
      <c r="C11" s="53"/>
      <c r="D11" s="53"/>
      <c r="E11" s="53"/>
      <c r="F11" s="57">
        <f>SUM(F9:F10)</f>
        <v>5626</v>
      </c>
      <c r="G11" s="1"/>
    </row>
    <row r="12" spans="2:7">
      <c r="B12" s="74"/>
      <c r="C12" s="72"/>
      <c r="D12" s="72"/>
      <c r="E12" s="72"/>
      <c r="F12" s="58"/>
      <c r="G12" s="1"/>
    </row>
    <row r="13" spans="2:7">
      <c r="B13" s="55" t="s">
        <v>50</v>
      </c>
      <c r="C13" s="54"/>
      <c r="D13" s="54"/>
      <c r="E13" s="54"/>
      <c r="F13" s="59">
        <f>+F7-F11</f>
        <v>-3888.5</v>
      </c>
      <c r="G13" s="1"/>
    </row>
    <row r="14" spans="2:7">
      <c r="B14" s="76"/>
      <c r="C14" s="77"/>
      <c r="D14" s="77"/>
      <c r="E14" s="77"/>
      <c r="F14" s="77"/>
      <c r="G14" s="78"/>
    </row>
    <row r="16" spans="2:7" ht="15" thickBot="1">
      <c r="B16" s="451" t="s">
        <v>268</v>
      </c>
      <c r="C16" s="452"/>
    </row>
    <row r="17" spans="1:2" ht="15" thickTop="1">
      <c r="A17" t="s">
        <v>0</v>
      </c>
      <c r="B17" s="211" t="s">
        <v>289</v>
      </c>
    </row>
    <row r="18" spans="1:2">
      <c r="A18" t="s">
        <v>33</v>
      </c>
      <c r="B18" s="211" t="s">
        <v>290</v>
      </c>
    </row>
    <row r="19" spans="1:2">
      <c r="A19" t="s">
        <v>34</v>
      </c>
      <c r="B19" s="211" t="s">
        <v>291</v>
      </c>
    </row>
    <row r="20" spans="1:2">
      <c r="A20" t="s">
        <v>157</v>
      </c>
      <c r="B20" s="211" t="s">
        <v>292</v>
      </c>
    </row>
    <row r="21" spans="1:2">
      <c r="A21" t="s">
        <v>159</v>
      </c>
      <c r="B21" s="466" t="s">
        <v>294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3367-8F05-4EA0-BAA1-68527115ED25}">
  <dimension ref="A1:N32"/>
  <sheetViews>
    <sheetView showGridLines="0" zoomScaleNormal="100" workbookViewId="0">
      <selection activeCell="M19" sqref="M19"/>
    </sheetView>
  </sheetViews>
  <sheetFormatPr defaultColWidth="10.77734375" defaultRowHeight="13.2" customHeight="1"/>
  <cols>
    <col min="1" max="1" width="2.77734375" style="375" customWidth="1"/>
    <col min="2" max="2" width="17.77734375" style="375" customWidth="1"/>
    <col min="3" max="5" width="10.77734375" style="375" customWidth="1"/>
    <col min="6" max="16384" width="10.77734375" style="375"/>
  </cols>
  <sheetData>
    <row r="1" spans="2:14" ht="13.2" customHeight="1">
      <c r="B1" s="384"/>
    </row>
    <row r="2" spans="2:14" s="371" customFormat="1" ht="13.2" customHeight="1">
      <c r="B2" s="370" t="s">
        <v>266</v>
      </c>
      <c r="C2" s="370"/>
      <c r="D2" s="370"/>
      <c r="E2" s="370"/>
      <c r="F2" s="370"/>
      <c r="G2" s="370"/>
      <c r="H2" s="370"/>
      <c r="I2" s="370"/>
      <c r="J2" s="370"/>
      <c r="K2" s="370"/>
    </row>
    <row r="3" spans="2:14" s="371" customFormat="1" ht="13.2" customHeight="1" thickBot="1">
      <c r="B3" s="410" t="s">
        <v>183</v>
      </c>
      <c r="C3" s="411"/>
      <c r="D3" s="411"/>
      <c r="E3" s="411"/>
      <c r="F3" s="411"/>
      <c r="G3" s="411"/>
      <c r="H3" s="411"/>
      <c r="I3" s="411"/>
      <c r="J3" s="411"/>
      <c r="K3" s="411"/>
    </row>
    <row r="4" spans="2:14" ht="13.2" customHeight="1" thickTop="1"/>
    <row r="5" spans="2:14" s="371" customFormat="1" ht="13.2" customHeight="1">
      <c r="B5" s="412" t="s">
        <v>219</v>
      </c>
      <c r="C5" s="412"/>
      <c r="D5" s="413"/>
      <c r="E5" s="413"/>
      <c r="G5" s="412" t="s">
        <v>220</v>
      </c>
      <c r="H5" s="413"/>
      <c r="I5" s="413"/>
      <c r="J5" s="413"/>
      <c r="K5" s="413"/>
    </row>
    <row r="6" spans="2:14" ht="13.2" customHeight="1">
      <c r="B6" s="414" t="s">
        <v>81</v>
      </c>
      <c r="C6" s="414"/>
      <c r="D6" s="386"/>
      <c r="E6" s="453">
        <f>'Transaction comp'!D8</f>
        <v>3168</v>
      </c>
      <c r="G6" s="414" t="s">
        <v>221</v>
      </c>
      <c r="H6" s="386"/>
      <c r="I6" s="386"/>
      <c r="J6" s="386"/>
      <c r="K6" s="415">
        <v>0.02</v>
      </c>
    </row>
    <row r="7" spans="2:14" ht="13.2" customHeight="1">
      <c r="B7" s="416" t="s">
        <v>222</v>
      </c>
      <c r="C7" s="416"/>
      <c r="E7" s="424">
        <f>'Transaction comp'!I30</f>
        <v>9.0500000000000007</v>
      </c>
      <c r="G7" s="416" t="s">
        <v>223</v>
      </c>
      <c r="K7" s="418">
        <v>972</v>
      </c>
    </row>
    <row r="8" spans="2:14" ht="13.2" customHeight="1">
      <c r="B8" s="419" t="s">
        <v>224</v>
      </c>
      <c r="C8" s="419"/>
      <c r="D8" s="380"/>
      <c r="E8" s="420">
        <f>+E6*E7</f>
        <v>28670.400000000001</v>
      </c>
      <c r="G8" s="416" t="s">
        <v>225</v>
      </c>
      <c r="K8" s="421">
        <v>0</v>
      </c>
    </row>
    <row r="9" spans="2:14" ht="13.2" customHeight="1">
      <c r="B9" s="496" t="s">
        <v>244</v>
      </c>
      <c r="C9" s="496"/>
      <c r="D9" s="496"/>
      <c r="E9" s="496"/>
      <c r="F9" s="371"/>
    </row>
    <row r="10" spans="2:14" s="371" customFormat="1" ht="13.2" customHeight="1">
      <c r="B10" s="496"/>
      <c r="C10" s="496"/>
      <c r="D10" s="496"/>
      <c r="E10" s="496"/>
      <c r="G10" s="412" t="s">
        <v>226</v>
      </c>
      <c r="H10" s="413"/>
      <c r="I10" s="413"/>
      <c r="J10" s="413"/>
      <c r="K10" s="413"/>
    </row>
    <row r="11" spans="2:14" ht="13.2" customHeight="1">
      <c r="G11" s="414" t="s">
        <v>227</v>
      </c>
      <c r="H11" s="386"/>
      <c r="I11" s="386"/>
      <c r="J11" s="386"/>
      <c r="K11" s="422">
        <f>C13*E7</f>
        <v>6.335</v>
      </c>
    </row>
    <row r="12" spans="2:14" ht="13.2" customHeight="1">
      <c r="B12" s="412" t="s">
        <v>245</v>
      </c>
      <c r="C12" s="423"/>
      <c r="G12" s="416" t="s">
        <v>228</v>
      </c>
      <c r="K12" s="424">
        <f>C15*E7</f>
        <v>5.8825000000000003</v>
      </c>
    </row>
    <row r="13" spans="2:14" ht="13.2" customHeight="1">
      <c r="B13" s="375" t="s">
        <v>246</v>
      </c>
      <c r="C13" s="415">
        <v>0.7</v>
      </c>
      <c r="G13" s="416" t="s">
        <v>229</v>
      </c>
      <c r="K13" s="421">
        <v>3.5000000000000003E-2</v>
      </c>
      <c r="N13" s="447"/>
    </row>
    <row r="14" spans="2:14" ht="13.2" customHeight="1">
      <c r="B14" s="375" t="s">
        <v>248</v>
      </c>
      <c r="C14" s="425">
        <f>1-C13</f>
        <v>0.30000000000000004</v>
      </c>
      <c r="G14" s="416"/>
      <c r="K14" s="421"/>
    </row>
    <row r="15" spans="2:14" ht="13.2" customHeight="1" thickBot="1">
      <c r="B15" s="375" t="s">
        <v>247</v>
      </c>
      <c r="C15" s="426">
        <v>0.65</v>
      </c>
      <c r="H15" s="416"/>
    </row>
    <row r="16" spans="2:14" ht="13.2" customHeight="1" thickTop="1">
      <c r="H16" s="416"/>
    </row>
    <row r="17" spans="1:14" ht="13.2" customHeight="1">
      <c r="H17" s="416"/>
    </row>
    <row r="18" spans="1:14" s="371" customFormat="1" ht="13.2" customHeight="1">
      <c r="B18" s="427" t="s">
        <v>230</v>
      </c>
      <c r="C18" s="427"/>
      <c r="D18" s="428"/>
      <c r="E18" s="428"/>
      <c r="F18" s="428"/>
      <c r="G18" s="428"/>
      <c r="H18" s="428"/>
      <c r="I18" s="428"/>
      <c r="J18" s="428"/>
      <c r="K18" s="428"/>
    </row>
    <row r="19" spans="1:14" ht="13.2" customHeight="1">
      <c r="B19" s="429" t="s">
        <v>231</v>
      </c>
      <c r="C19" s="429"/>
      <c r="D19" s="430" t="s">
        <v>232</v>
      </c>
      <c r="E19" s="440" t="s">
        <v>267</v>
      </c>
      <c r="F19" s="430" t="s">
        <v>160</v>
      </c>
      <c r="G19" s="373"/>
      <c r="H19" s="429" t="s">
        <v>233</v>
      </c>
      <c r="I19" s="429"/>
      <c r="J19" s="430" t="s">
        <v>267</v>
      </c>
      <c r="K19" s="430" t="s">
        <v>160</v>
      </c>
    </row>
    <row r="20" spans="1:14" ht="13.2" customHeight="1">
      <c r="B20" s="416" t="s">
        <v>234</v>
      </c>
      <c r="C20" s="416"/>
      <c r="D20" s="417">
        <v>0</v>
      </c>
      <c r="E20" s="431">
        <f>+D20*$E$6</f>
        <v>0</v>
      </c>
      <c r="F20" s="432">
        <f>+E20/$E$24</f>
        <v>0</v>
      </c>
      <c r="H20" s="416" t="s">
        <v>235</v>
      </c>
      <c r="J20" s="441">
        <f>+E8</f>
        <v>28670.400000000001</v>
      </c>
      <c r="K20" s="432">
        <f>+J20/$J$24</f>
        <v>0.92729750065146022</v>
      </c>
    </row>
    <row r="21" spans="1:14" ht="13.2" customHeight="1">
      <c r="B21" s="416" t="s">
        <v>236</v>
      </c>
      <c r="C21" s="416"/>
      <c r="D21" s="424">
        <f>K12</f>
        <v>5.8825000000000003</v>
      </c>
      <c r="E21" s="441">
        <f>+D21*$E$6</f>
        <v>18635.760000000002</v>
      </c>
      <c r="F21" s="432">
        <f>+E21/$E$24</f>
        <v>0.60274337542344925</v>
      </c>
      <c r="H21" s="416" t="s">
        <v>237</v>
      </c>
      <c r="J21" s="441">
        <f>+K6*E8</f>
        <v>573.40800000000002</v>
      </c>
      <c r="K21" s="432">
        <f>+J21/$J$24</f>
        <v>1.8545950013029205E-2</v>
      </c>
    </row>
    <row r="22" spans="1:14" ht="13.2" customHeight="1">
      <c r="B22" s="416" t="s">
        <v>238</v>
      </c>
      <c r="C22" s="416"/>
      <c r="D22" s="424">
        <f>+K11-K12</f>
        <v>0.45249999999999968</v>
      </c>
      <c r="E22" s="441">
        <f>+D22*$E$6</f>
        <v>1433.5199999999991</v>
      </c>
      <c r="F22" s="432">
        <f>+E22/$E$24</f>
        <v>4.6364875032572979E-2</v>
      </c>
      <c r="H22" s="416" t="s">
        <v>239</v>
      </c>
      <c r="J22" s="441">
        <f>+SUM(E20:E22)*K13</f>
        <v>702.42480000000012</v>
      </c>
      <c r="K22" s="432">
        <f>+J22/$J$24</f>
        <v>2.2718788765960778E-2</v>
      </c>
    </row>
    <row r="23" spans="1:14" ht="13.2" customHeight="1">
      <c r="B23" s="416" t="s">
        <v>240</v>
      </c>
      <c r="C23" s="416"/>
      <c r="D23" s="433">
        <f>C14*E7</f>
        <v>2.7150000000000007</v>
      </c>
      <c r="E23" s="441">
        <f>+J24-SUM(E20:E22)</f>
        <v>10848.952799999999</v>
      </c>
      <c r="F23" s="432">
        <f>+E23/$E$24</f>
        <v>0.35089174954397778</v>
      </c>
      <c r="H23" s="416" t="s">
        <v>223</v>
      </c>
      <c r="J23" s="441">
        <f>+K7</f>
        <v>972</v>
      </c>
      <c r="K23" s="432">
        <f>+J23/$J$24</f>
        <v>3.1437760569549757E-2</v>
      </c>
      <c r="N23" s="443"/>
    </row>
    <row r="24" spans="1:14" ht="13.2" customHeight="1">
      <c r="B24" s="434" t="s">
        <v>242</v>
      </c>
      <c r="C24" s="435"/>
      <c r="D24" s="436">
        <f>SUM(D20:D23)</f>
        <v>9.0500000000000007</v>
      </c>
      <c r="E24" s="442">
        <f>SUM(E20:E23)</f>
        <v>30918.232800000002</v>
      </c>
      <c r="F24" s="437">
        <f>SUM(F20:F23)</f>
        <v>1</v>
      </c>
      <c r="H24" s="434" t="s">
        <v>241</v>
      </c>
      <c r="I24" s="438"/>
      <c r="J24" s="442">
        <f>+SUM(J20:J23)</f>
        <v>30918.232800000002</v>
      </c>
      <c r="K24" s="437">
        <f>+SUM(K20:K23)</f>
        <v>0.99999999999999989</v>
      </c>
    </row>
    <row r="26" spans="1:14" ht="13.2" customHeight="1" thickBot="1">
      <c r="A26" s="136"/>
      <c r="B26" s="451" t="s">
        <v>268</v>
      </c>
      <c r="C26" s="452"/>
      <c r="H26" s="416"/>
      <c r="J26" s="439"/>
      <c r="K26" s="439"/>
    </row>
    <row r="27" spans="1:14" ht="13.2" customHeight="1" thickTop="1">
      <c r="A27" s="136" t="s">
        <v>0</v>
      </c>
      <c r="B27" s="172" t="s">
        <v>272</v>
      </c>
    </row>
    <row r="28" spans="1:14" ht="13.2" customHeight="1">
      <c r="A28" s="136" t="s">
        <v>33</v>
      </c>
      <c r="B28" s="172" t="s">
        <v>273</v>
      </c>
    </row>
    <row r="29" spans="1:14" ht="13.2" customHeight="1">
      <c r="A29" s="375" t="s">
        <v>34</v>
      </c>
      <c r="B29" s="375" t="s">
        <v>274</v>
      </c>
    </row>
    <row r="30" spans="1:14" ht="13.2" customHeight="1">
      <c r="A30" s="375" t="s">
        <v>157</v>
      </c>
      <c r="B30" s="375" t="s">
        <v>275</v>
      </c>
    </row>
    <row r="31" spans="1:14" ht="13.2" customHeight="1">
      <c r="A31" s="375" t="s">
        <v>159</v>
      </c>
      <c r="B31" s="375" t="s">
        <v>276</v>
      </c>
    </row>
    <row r="32" spans="1:14" ht="13.2" customHeight="1">
      <c r="A32" s="375" t="s">
        <v>176</v>
      </c>
      <c r="B32" s="375" t="s">
        <v>277</v>
      </c>
    </row>
  </sheetData>
  <mergeCells count="1">
    <mergeCell ref="B9:E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BBD8-6AC6-4CEE-8D00-5D18039652B9}">
  <sheetPr>
    <pageSetUpPr fitToPage="1"/>
  </sheetPr>
  <dimension ref="A1:Q41"/>
  <sheetViews>
    <sheetView showGridLines="0" topLeftCell="A12" zoomScale="102" zoomScaleNormal="102" workbookViewId="0">
      <selection activeCell="O24" sqref="O24"/>
    </sheetView>
  </sheetViews>
  <sheetFormatPr defaultColWidth="8.77734375" defaultRowHeight="13.2"/>
  <cols>
    <col min="1" max="1" width="2.109375" style="136" customWidth="1"/>
    <col min="2" max="2" width="1.77734375" style="136" customWidth="1"/>
    <col min="3" max="3" width="31.77734375" style="136" customWidth="1"/>
    <col min="4" max="4" width="13.109375" style="136" customWidth="1"/>
    <col min="5" max="5" width="6.77734375" style="136" customWidth="1"/>
    <col min="6" max="6" width="1.109375" style="136" customWidth="1"/>
    <col min="7" max="7" width="13.33203125" style="136" customWidth="1"/>
    <col min="8" max="8" width="6.33203125" style="136" customWidth="1"/>
    <col min="9" max="9" width="15.44140625" style="136" customWidth="1"/>
    <col min="10" max="10" width="6.88671875" style="136" customWidth="1"/>
    <col min="11" max="11" width="12" style="136" customWidth="1"/>
    <col min="12" max="12" width="1.33203125" style="136" customWidth="1"/>
    <col min="13" max="13" width="3.109375" style="136" customWidth="1"/>
    <col min="14" max="14" width="10.33203125" style="136" customWidth="1"/>
    <col min="15" max="256" width="8.77734375" style="136"/>
    <col min="257" max="257" width="2.109375" style="136" customWidth="1"/>
    <col min="258" max="258" width="1.77734375" style="136" customWidth="1"/>
    <col min="259" max="259" width="31.77734375" style="136" customWidth="1"/>
    <col min="260" max="260" width="13.109375" style="136" customWidth="1"/>
    <col min="261" max="261" width="6.77734375" style="136" customWidth="1"/>
    <col min="262" max="262" width="1.109375" style="136" customWidth="1"/>
    <col min="263" max="263" width="13.33203125" style="136" customWidth="1"/>
    <col min="264" max="264" width="6.6640625" style="136" customWidth="1"/>
    <col min="265" max="265" width="13.109375" style="136" customWidth="1"/>
    <col min="266" max="266" width="7" style="136" customWidth="1"/>
    <col min="267" max="267" width="13.33203125" style="136" customWidth="1"/>
    <col min="268" max="268" width="1.33203125" style="136" customWidth="1"/>
    <col min="269" max="269" width="3.109375" style="136" customWidth="1"/>
    <col min="270" max="270" width="10.33203125" style="136" customWidth="1"/>
    <col min="271" max="512" width="8.77734375" style="136"/>
    <col min="513" max="513" width="2.109375" style="136" customWidth="1"/>
    <col min="514" max="514" width="1.77734375" style="136" customWidth="1"/>
    <col min="515" max="515" width="31.77734375" style="136" customWidth="1"/>
    <col min="516" max="516" width="13.109375" style="136" customWidth="1"/>
    <col min="517" max="517" width="6.77734375" style="136" customWidth="1"/>
    <col min="518" max="518" width="1.109375" style="136" customWidth="1"/>
    <col min="519" max="519" width="13.33203125" style="136" customWidth="1"/>
    <col min="520" max="520" width="6.6640625" style="136" customWidth="1"/>
    <col min="521" max="521" width="13.109375" style="136" customWidth="1"/>
    <col min="522" max="522" width="7" style="136" customWidth="1"/>
    <col min="523" max="523" width="13.33203125" style="136" customWidth="1"/>
    <col min="524" max="524" width="1.33203125" style="136" customWidth="1"/>
    <col min="525" max="525" width="3.109375" style="136" customWidth="1"/>
    <col min="526" max="526" width="10.33203125" style="136" customWidth="1"/>
    <col min="527" max="768" width="8.77734375" style="136"/>
    <col min="769" max="769" width="2.109375" style="136" customWidth="1"/>
    <col min="770" max="770" width="1.77734375" style="136" customWidth="1"/>
    <col min="771" max="771" width="31.77734375" style="136" customWidth="1"/>
    <col min="772" max="772" width="13.109375" style="136" customWidth="1"/>
    <col min="773" max="773" width="6.77734375" style="136" customWidth="1"/>
    <col min="774" max="774" width="1.109375" style="136" customWidth="1"/>
    <col min="775" max="775" width="13.33203125" style="136" customWidth="1"/>
    <col min="776" max="776" width="6.6640625" style="136" customWidth="1"/>
    <col min="777" max="777" width="13.109375" style="136" customWidth="1"/>
    <col min="778" max="778" width="7" style="136" customWidth="1"/>
    <col min="779" max="779" width="13.33203125" style="136" customWidth="1"/>
    <col min="780" max="780" width="1.33203125" style="136" customWidth="1"/>
    <col min="781" max="781" width="3.109375" style="136" customWidth="1"/>
    <col min="782" max="782" width="10.33203125" style="136" customWidth="1"/>
    <col min="783" max="1024" width="8.77734375" style="136"/>
    <col min="1025" max="1025" width="2.109375" style="136" customWidth="1"/>
    <col min="1026" max="1026" width="1.77734375" style="136" customWidth="1"/>
    <col min="1027" max="1027" width="31.77734375" style="136" customWidth="1"/>
    <col min="1028" max="1028" width="13.109375" style="136" customWidth="1"/>
    <col min="1029" max="1029" width="6.77734375" style="136" customWidth="1"/>
    <col min="1030" max="1030" width="1.109375" style="136" customWidth="1"/>
    <col min="1031" max="1031" width="13.33203125" style="136" customWidth="1"/>
    <col min="1032" max="1032" width="6.6640625" style="136" customWidth="1"/>
    <col min="1033" max="1033" width="13.109375" style="136" customWidth="1"/>
    <col min="1034" max="1034" width="7" style="136" customWidth="1"/>
    <col min="1035" max="1035" width="13.33203125" style="136" customWidth="1"/>
    <col min="1036" max="1036" width="1.33203125" style="136" customWidth="1"/>
    <col min="1037" max="1037" width="3.109375" style="136" customWidth="1"/>
    <col min="1038" max="1038" width="10.33203125" style="136" customWidth="1"/>
    <col min="1039" max="1280" width="8.77734375" style="136"/>
    <col min="1281" max="1281" width="2.109375" style="136" customWidth="1"/>
    <col min="1282" max="1282" width="1.77734375" style="136" customWidth="1"/>
    <col min="1283" max="1283" width="31.77734375" style="136" customWidth="1"/>
    <col min="1284" max="1284" width="13.109375" style="136" customWidth="1"/>
    <col min="1285" max="1285" width="6.77734375" style="136" customWidth="1"/>
    <col min="1286" max="1286" width="1.109375" style="136" customWidth="1"/>
    <col min="1287" max="1287" width="13.33203125" style="136" customWidth="1"/>
    <col min="1288" max="1288" width="6.6640625" style="136" customWidth="1"/>
    <col min="1289" max="1289" width="13.109375" style="136" customWidth="1"/>
    <col min="1290" max="1290" width="7" style="136" customWidth="1"/>
    <col min="1291" max="1291" width="13.33203125" style="136" customWidth="1"/>
    <col min="1292" max="1292" width="1.33203125" style="136" customWidth="1"/>
    <col min="1293" max="1293" width="3.109375" style="136" customWidth="1"/>
    <col min="1294" max="1294" width="10.33203125" style="136" customWidth="1"/>
    <col min="1295" max="1536" width="8.77734375" style="136"/>
    <col min="1537" max="1537" width="2.109375" style="136" customWidth="1"/>
    <col min="1538" max="1538" width="1.77734375" style="136" customWidth="1"/>
    <col min="1539" max="1539" width="31.77734375" style="136" customWidth="1"/>
    <col min="1540" max="1540" width="13.109375" style="136" customWidth="1"/>
    <col min="1541" max="1541" width="6.77734375" style="136" customWidth="1"/>
    <col min="1542" max="1542" width="1.109375" style="136" customWidth="1"/>
    <col min="1543" max="1543" width="13.33203125" style="136" customWidth="1"/>
    <col min="1544" max="1544" width="6.6640625" style="136" customWidth="1"/>
    <col min="1545" max="1545" width="13.109375" style="136" customWidth="1"/>
    <col min="1546" max="1546" width="7" style="136" customWidth="1"/>
    <col min="1547" max="1547" width="13.33203125" style="136" customWidth="1"/>
    <col min="1548" max="1548" width="1.33203125" style="136" customWidth="1"/>
    <col min="1549" max="1549" width="3.109375" style="136" customWidth="1"/>
    <col min="1550" max="1550" width="10.33203125" style="136" customWidth="1"/>
    <col min="1551" max="1792" width="8.77734375" style="136"/>
    <col min="1793" max="1793" width="2.109375" style="136" customWidth="1"/>
    <col min="1794" max="1794" width="1.77734375" style="136" customWidth="1"/>
    <col min="1795" max="1795" width="31.77734375" style="136" customWidth="1"/>
    <col min="1796" max="1796" width="13.109375" style="136" customWidth="1"/>
    <col min="1797" max="1797" width="6.77734375" style="136" customWidth="1"/>
    <col min="1798" max="1798" width="1.109375" style="136" customWidth="1"/>
    <col min="1799" max="1799" width="13.33203125" style="136" customWidth="1"/>
    <col min="1800" max="1800" width="6.6640625" style="136" customWidth="1"/>
    <col min="1801" max="1801" width="13.109375" style="136" customWidth="1"/>
    <col min="1802" max="1802" width="7" style="136" customWidth="1"/>
    <col min="1803" max="1803" width="13.33203125" style="136" customWidth="1"/>
    <col min="1804" max="1804" width="1.33203125" style="136" customWidth="1"/>
    <col min="1805" max="1805" width="3.109375" style="136" customWidth="1"/>
    <col min="1806" max="1806" width="10.33203125" style="136" customWidth="1"/>
    <col min="1807" max="2048" width="8.77734375" style="136"/>
    <col min="2049" max="2049" width="2.109375" style="136" customWidth="1"/>
    <col min="2050" max="2050" width="1.77734375" style="136" customWidth="1"/>
    <col min="2051" max="2051" width="31.77734375" style="136" customWidth="1"/>
    <col min="2052" max="2052" width="13.109375" style="136" customWidth="1"/>
    <col min="2053" max="2053" width="6.77734375" style="136" customWidth="1"/>
    <col min="2054" max="2054" width="1.109375" style="136" customWidth="1"/>
    <col min="2055" max="2055" width="13.33203125" style="136" customWidth="1"/>
    <col min="2056" max="2056" width="6.6640625" style="136" customWidth="1"/>
    <col min="2057" max="2057" width="13.109375" style="136" customWidth="1"/>
    <col min="2058" max="2058" width="7" style="136" customWidth="1"/>
    <col min="2059" max="2059" width="13.33203125" style="136" customWidth="1"/>
    <col min="2060" max="2060" width="1.33203125" style="136" customWidth="1"/>
    <col min="2061" max="2061" width="3.109375" style="136" customWidth="1"/>
    <col min="2062" max="2062" width="10.33203125" style="136" customWidth="1"/>
    <col min="2063" max="2304" width="8.77734375" style="136"/>
    <col min="2305" max="2305" width="2.109375" style="136" customWidth="1"/>
    <col min="2306" max="2306" width="1.77734375" style="136" customWidth="1"/>
    <col min="2307" max="2307" width="31.77734375" style="136" customWidth="1"/>
    <col min="2308" max="2308" width="13.109375" style="136" customWidth="1"/>
    <col min="2309" max="2309" width="6.77734375" style="136" customWidth="1"/>
    <col min="2310" max="2310" width="1.109375" style="136" customWidth="1"/>
    <col min="2311" max="2311" width="13.33203125" style="136" customWidth="1"/>
    <col min="2312" max="2312" width="6.6640625" style="136" customWidth="1"/>
    <col min="2313" max="2313" width="13.109375" style="136" customWidth="1"/>
    <col min="2314" max="2314" width="7" style="136" customWidth="1"/>
    <col min="2315" max="2315" width="13.33203125" style="136" customWidth="1"/>
    <col min="2316" max="2316" width="1.33203125" style="136" customWidth="1"/>
    <col min="2317" max="2317" width="3.109375" style="136" customWidth="1"/>
    <col min="2318" max="2318" width="10.33203125" style="136" customWidth="1"/>
    <col min="2319" max="2560" width="8.77734375" style="136"/>
    <col min="2561" max="2561" width="2.109375" style="136" customWidth="1"/>
    <col min="2562" max="2562" width="1.77734375" style="136" customWidth="1"/>
    <col min="2563" max="2563" width="31.77734375" style="136" customWidth="1"/>
    <col min="2564" max="2564" width="13.109375" style="136" customWidth="1"/>
    <col min="2565" max="2565" width="6.77734375" style="136" customWidth="1"/>
    <col min="2566" max="2566" width="1.109375" style="136" customWidth="1"/>
    <col min="2567" max="2567" width="13.33203125" style="136" customWidth="1"/>
    <col min="2568" max="2568" width="6.6640625" style="136" customWidth="1"/>
    <col min="2569" max="2569" width="13.109375" style="136" customWidth="1"/>
    <col min="2570" max="2570" width="7" style="136" customWidth="1"/>
    <col min="2571" max="2571" width="13.33203125" style="136" customWidth="1"/>
    <col min="2572" max="2572" width="1.33203125" style="136" customWidth="1"/>
    <col min="2573" max="2573" width="3.109375" style="136" customWidth="1"/>
    <col min="2574" max="2574" width="10.33203125" style="136" customWidth="1"/>
    <col min="2575" max="2816" width="8.77734375" style="136"/>
    <col min="2817" max="2817" width="2.109375" style="136" customWidth="1"/>
    <col min="2818" max="2818" width="1.77734375" style="136" customWidth="1"/>
    <col min="2819" max="2819" width="31.77734375" style="136" customWidth="1"/>
    <col min="2820" max="2820" width="13.109375" style="136" customWidth="1"/>
    <col min="2821" max="2821" width="6.77734375" style="136" customWidth="1"/>
    <col min="2822" max="2822" width="1.109375" style="136" customWidth="1"/>
    <col min="2823" max="2823" width="13.33203125" style="136" customWidth="1"/>
    <col min="2824" max="2824" width="6.6640625" style="136" customWidth="1"/>
    <col min="2825" max="2825" width="13.109375" style="136" customWidth="1"/>
    <col min="2826" max="2826" width="7" style="136" customWidth="1"/>
    <col min="2827" max="2827" width="13.33203125" style="136" customWidth="1"/>
    <col min="2828" max="2828" width="1.33203125" style="136" customWidth="1"/>
    <col min="2829" max="2829" width="3.109375" style="136" customWidth="1"/>
    <col min="2830" max="2830" width="10.33203125" style="136" customWidth="1"/>
    <col min="2831" max="3072" width="8.77734375" style="136"/>
    <col min="3073" max="3073" width="2.109375" style="136" customWidth="1"/>
    <col min="3074" max="3074" width="1.77734375" style="136" customWidth="1"/>
    <col min="3075" max="3075" width="31.77734375" style="136" customWidth="1"/>
    <col min="3076" max="3076" width="13.109375" style="136" customWidth="1"/>
    <col min="3077" max="3077" width="6.77734375" style="136" customWidth="1"/>
    <col min="3078" max="3078" width="1.109375" style="136" customWidth="1"/>
    <col min="3079" max="3079" width="13.33203125" style="136" customWidth="1"/>
    <col min="3080" max="3080" width="6.6640625" style="136" customWidth="1"/>
    <col min="3081" max="3081" width="13.109375" style="136" customWidth="1"/>
    <col min="3082" max="3082" width="7" style="136" customWidth="1"/>
    <col min="3083" max="3083" width="13.33203125" style="136" customWidth="1"/>
    <col min="3084" max="3084" width="1.33203125" style="136" customWidth="1"/>
    <col min="3085" max="3085" width="3.109375" style="136" customWidth="1"/>
    <col min="3086" max="3086" width="10.33203125" style="136" customWidth="1"/>
    <col min="3087" max="3328" width="8.77734375" style="136"/>
    <col min="3329" max="3329" width="2.109375" style="136" customWidth="1"/>
    <col min="3330" max="3330" width="1.77734375" style="136" customWidth="1"/>
    <col min="3331" max="3331" width="31.77734375" style="136" customWidth="1"/>
    <col min="3332" max="3332" width="13.109375" style="136" customWidth="1"/>
    <col min="3333" max="3333" width="6.77734375" style="136" customWidth="1"/>
    <col min="3334" max="3334" width="1.109375" style="136" customWidth="1"/>
    <col min="3335" max="3335" width="13.33203125" style="136" customWidth="1"/>
    <col min="3336" max="3336" width="6.6640625" style="136" customWidth="1"/>
    <col min="3337" max="3337" width="13.109375" style="136" customWidth="1"/>
    <col min="3338" max="3338" width="7" style="136" customWidth="1"/>
    <col min="3339" max="3339" width="13.33203125" style="136" customWidth="1"/>
    <col min="3340" max="3340" width="1.33203125" style="136" customWidth="1"/>
    <col min="3341" max="3341" width="3.109375" style="136" customWidth="1"/>
    <col min="3342" max="3342" width="10.33203125" style="136" customWidth="1"/>
    <col min="3343" max="3584" width="8.77734375" style="136"/>
    <col min="3585" max="3585" width="2.109375" style="136" customWidth="1"/>
    <col min="3586" max="3586" width="1.77734375" style="136" customWidth="1"/>
    <col min="3587" max="3587" width="31.77734375" style="136" customWidth="1"/>
    <col min="3588" max="3588" width="13.109375" style="136" customWidth="1"/>
    <col min="3589" max="3589" width="6.77734375" style="136" customWidth="1"/>
    <col min="3590" max="3590" width="1.109375" style="136" customWidth="1"/>
    <col min="3591" max="3591" width="13.33203125" style="136" customWidth="1"/>
    <col min="3592" max="3592" width="6.6640625" style="136" customWidth="1"/>
    <col min="3593" max="3593" width="13.109375" style="136" customWidth="1"/>
    <col min="3594" max="3594" width="7" style="136" customWidth="1"/>
    <col min="3595" max="3595" width="13.33203125" style="136" customWidth="1"/>
    <col min="3596" max="3596" width="1.33203125" style="136" customWidth="1"/>
    <col min="3597" max="3597" width="3.109375" style="136" customWidth="1"/>
    <col min="3598" max="3598" width="10.33203125" style="136" customWidth="1"/>
    <col min="3599" max="3840" width="8.77734375" style="136"/>
    <col min="3841" max="3841" width="2.109375" style="136" customWidth="1"/>
    <col min="3842" max="3842" width="1.77734375" style="136" customWidth="1"/>
    <col min="3843" max="3843" width="31.77734375" style="136" customWidth="1"/>
    <col min="3844" max="3844" width="13.109375" style="136" customWidth="1"/>
    <col min="3845" max="3845" width="6.77734375" style="136" customWidth="1"/>
    <col min="3846" max="3846" width="1.109375" style="136" customWidth="1"/>
    <col min="3847" max="3847" width="13.33203125" style="136" customWidth="1"/>
    <col min="3848" max="3848" width="6.6640625" style="136" customWidth="1"/>
    <col min="3849" max="3849" width="13.109375" style="136" customWidth="1"/>
    <col min="3850" max="3850" width="7" style="136" customWidth="1"/>
    <col min="3851" max="3851" width="13.33203125" style="136" customWidth="1"/>
    <col min="3852" max="3852" width="1.33203125" style="136" customWidth="1"/>
    <col min="3853" max="3853" width="3.109375" style="136" customWidth="1"/>
    <col min="3854" max="3854" width="10.33203125" style="136" customWidth="1"/>
    <col min="3855" max="4096" width="8.77734375" style="136"/>
    <col min="4097" max="4097" width="2.109375" style="136" customWidth="1"/>
    <col min="4098" max="4098" width="1.77734375" style="136" customWidth="1"/>
    <col min="4099" max="4099" width="31.77734375" style="136" customWidth="1"/>
    <col min="4100" max="4100" width="13.109375" style="136" customWidth="1"/>
    <col min="4101" max="4101" width="6.77734375" style="136" customWidth="1"/>
    <col min="4102" max="4102" width="1.109375" style="136" customWidth="1"/>
    <col min="4103" max="4103" width="13.33203125" style="136" customWidth="1"/>
    <col min="4104" max="4104" width="6.6640625" style="136" customWidth="1"/>
    <col min="4105" max="4105" width="13.109375" style="136" customWidth="1"/>
    <col min="4106" max="4106" width="7" style="136" customWidth="1"/>
    <col min="4107" max="4107" width="13.33203125" style="136" customWidth="1"/>
    <col min="4108" max="4108" width="1.33203125" style="136" customWidth="1"/>
    <col min="4109" max="4109" width="3.109375" style="136" customWidth="1"/>
    <col min="4110" max="4110" width="10.33203125" style="136" customWidth="1"/>
    <col min="4111" max="4352" width="8.77734375" style="136"/>
    <col min="4353" max="4353" width="2.109375" style="136" customWidth="1"/>
    <col min="4354" max="4354" width="1.77734375" style="136" customWidth="1"/>
    <col min="4355" max="4355" width="31.77734375" style="136" customWidth="1"/>
    <col min="4356" max="4356" width="13.109375" style="136" customWidth="1"/>
    <col min="4357" max="4357" width="6.77734375" style="136" customWidth="1"/>
    <col min="4358" max="4358" width="1.109375" style="136" customWidth="1"/>
    <col min="4359" max="4359" width="13.33203125" style="136" customWidth="1"/>
    <col min="4360" max="4360" width="6.6640625" style="136" customWidth="1"/>
    <col min="4361" max="4361" width="13.109375" style="136" customWidth="1"/>
    <col min="4362" max="4362" width="7" style="136" customWidth="1"/>
    <col min="4363" max="4363" width="13.33203125" style="136" customWidth="1"/>
    <col min="4364" max="4364" width="1.33203125" style="136" customWidth="1"/>
    <col min="4365" max="4365" width="3.109375" style="136" customWidth="1"/>
    <col min="4366" max="4366" width="10.33203125" style="136" customWidth="1"/>
    <col min="4367" max="4608" width="8.77734375" style="136"/>
    <col min="4609" max="4609" width="2.109375" style="136" customWidth="1"/>
    <col min="4610" max="4610" width="1.77734375" style="136" customWidth="1"/>
    <col min="4611" max="4611" width="31.77734375" style="136" customWidth="1"/>
    <col min="4612" max="4612" width="13.109375" style="136" customWidth="1"/>
    <col min="4613" max="4613" width="6.77734375" style="136" customWidth="1"/>
    <col min="4614" max="4614" width="1.109375" style="136" customWidth="1"/>
    <col min="4615" max="4615" width="13.33203125" style="136" customWidth="1"/>
    <col min="4616" max="4616" width="6.6640625" style="136" customWidth="1"/>
    <col min="4617" max="4617" width="13.109375" style="136" customWidth="1"/>
    <col min="4618" max="4618" width="7" style="136" customWidth="1"/>
    <col min="4619" max="4619" width="13.33203125" style="136" customWidth="1"/>
    <col min="4620" max="4620" width="1.33203125" style="136" customWidth="1"/>
    <col min="4621" max="4621" width="3.109375" style="136" customWidth="1"/>
    <col min="4622" max="4622" width="10.33203125" style="136" customWidth="1"/>
    <col min="4623" max="4864" width="8.77734375" style="136"/>
    <col min="4865" max="4865" width="2.109375" style="136" customWidth="1"/>
    <col min="4866" max="4866" width="1.77734375" style="136" customWidth="1"/>
    <col min="4867" max="4867" width="31.77734375" style="136" customWidth="1"/>
    <col min="4868" max="4868" width="13.109375" style="136" customWidth="1"/>
    <col min="4869" max="4869" width="6.77734375" style="136" customWidth="1"/>
    <col min="4870" max="4870" width="1.109375" style="136" customWidth="1"/>
    <col min="4871" max="4871" width="13.33203125" style="136" customWidth="1"/>
    <col min="4872" max="4872" width="6.6640625" style="136" customWidth="1"/>
    <col min="4873" max="4873" width="13.109375" style="136" customWidth="1"/>
    <col min="4874" max="4874" width="7" style="136" customWidth="1"/>
    <col min="4875" max="4875" width="13.33203125" style="136" customWidth="1"/>
    <col min="4876" max="4876" width="1.33203125" style="136" customWidth="1"/>
    <col min="4877" max="4877" width="3.109375" style="136" customWidth="1"/>
    <col min="4878" max="4878" width="10.33203125" style="136" customWidth="1"/>
    <col min="4879" max="5120" width="8.77734375" style="136"/>
    <col min="5121" max="5121" width="2.109375" style="136" customWidth="1"/>
    <col min="5122" max="5122" width="1.77734375" style="136" customWidth="1"/>
    <col min="5123" max="5123" width="31.77734375" style="136" customWidth="1"/>
    <col min="5124" max="5124" width="13.109375" style="136" customWidth="1"/>
    <col min="5125" max="5125" width="6.77734375" style="136" customWidth="1"/>
    <col min="5126" max="5126" width="1.109375" style="136" customWidth="1"/>
    <col min="5127" max="5127" width="13.33203125" style="136" customWidth="1"/>
    <col min="5128" max="5128" width="6.6640625" style="136" customWidth="1"/>
    <col min="5129" max="5129" width="13.109375" style="136" customWidth="1"/>
    <col min="5130" max="5130" width="7" style="136" customWidth="1"/>
    <col min="5131" max="5131" width="13.33203125" style="136" customWidth="1"/>
    <col min="5132" max="5132" width="1.33203125" style="136" customWidth="1"/>
    <col min="5133" max="5133" width="3.109375" style="136" customWidth="1"/>
    <col min="5134" max="5134" width="10.33203125" style="136" customWidth="1"/>
    <col min="5135" max="5376" width="8.77734375" style="136"/>
    <col min="5377" max="5377" width="2.109375" style="136" customWidth="1"/>
    <col min="5378" max="5378" width="1.77734375" style="136" customWidth="1"/>
    <col min="5379" max="5379" width="31.77734375" style="136" customWidth="1"/>
    <col min="5380" max="5380" width="13.109375" style="136" customWidth="1"/>
    <col min="5381" max="5381" width="6.77734375" style="136" customWidth="1"/>
    <col min="5382" max="5382" width="1.109375" style="136" customWidth="1"/>
    <col min="5383" max="5383" width="13.33203125" style="136" customWidth="1"/>
    <col min="5384" max="5384" width="6.6640625" style="136" customWidth="1"/>
    <col min="5385" max="5385" width="13.109375" style="136" customWidth="1"/>
    <col min="5386" max="5386" width="7" style="136" customWidth="1"/>
    <col min="5387" max="5387" width="13.33203125" style="136" customWidth="1"/>
    <col min="5388" max="5388" width="1.33203125" style="136" customWidth="1"/>
    <col min="5389" max="5389" width="3.109375" style="136" customWidth="1"/>
    <col min="5390" max="5390" width="10.33203125" style="136" customWidth="1"/>
    <col min="5391" max="5632" width="8.77734375" style="136"/>
    <col min="5633" max="5633" width="2.109375" style="136" customWidth="1"/>
    <col min="5634" max="5634" width="1.77734375" style="136" customWidth="1"/>
    <col min="5635" max="5635" width="31.77734375" style="136" customWidth="1"/>
    <col min="5636" max="5636" width="13.109375" style="136" customWidth="1"/>
    <col min="5637" max="5637" width="6.77734375" style="136" customWidth="1"/>
    <col min="5638" max="5638" width="1.109375" style="136" customWidth="1"/>
    <col min="5639" max="5639" width="13.33203125" style="136" customWidth="1"/>
    <col min="5640" max="5640" width="6.6640625" style="136" customWidth="1"/>
    <col min="5641" max="5641" width="13.109375" style="136" customWidth="1"/>
    <col min="5642" max="5642" width="7" style="136" customWidth="1"/>
    <col min="5643" max="5643" width="13.33203125" style="136" customWidth="1"/>
    <col min="5644" max="5644" width="1.33203125" style="136" customWidth="1"/>
    <col min="5645" max="5645" width="3.109375" style="136" customWidth="1"/>
    <col min="5646" max="5646" width="10.33203125" style="136" customWidth="1"/>
    <col min="5647" max="5888" width="8.77734375" style="136"/>
    <col min="5889" max="5889" width="2.109375" style="136" customWidth="1"/>
    <col min="5890" max="5890" width="1.77734375" style="136" customWidth="1"/>
    <col min="5891" max="5891" width="31.77734375" style="136" customWidth="1"/>
    <col min="5892" max="5892" width="13.109375" style="136" customWidth="1"/>
    <col min="5893" max="5893" width="6.77734375" style="136" customWidth="1"/>
    <col min="5894" max="5894" width="1.109375" style="136" customWidth="1"/>
    <col min="5895" max="5895" width="13.33203125" style="136" customWidth="1"/>
    <col min="5896" max="5896" width="6.6640625" style="136" customWidth="1"/>
    <col min="5897" max="5897" width="13.109375" style="136" customWidth="1"/>
    <col min="5898" max="5898" width="7" style="136" customWidth="1"/>
    <col min="5899" max="5899" width="13.33203125" style="136" customWidth="1"/>
    <col min="5900" max="5900" width="1.33203125" style="136" customWidth="1"/>
    <col min="5901" max="5901" width="3.109375" style="136" customWidth="1"/>
    <col min="5902" max="5902" width="10.33203125" style="136" customWidth="1"/>
    <col min="5903" max="6144" width="8.77734375" style="136"/>
    <col min="6145" max="6145" width="2.109375" style="136" customWidth="1"/>
    <col min="6146" max="6146" width="1.77734375" style="136" customWidth="1"/>
    <col min="6147" max="6147" width="31.77734375" style="136" customWidth="1"/>
    <col min="6148" max="6148" width="13.109375" style="136" customWidth="1"/>
    <col min="6149" max="6149" width="6.77734375" style="136" customWidth="1"/>
    <col min="6150" max="6150" width="1.109375" style="136" customWidth="1"/>
    <col min="6151" max="6151" width="13.33203125" style="136" customWidth="1"/>
    <col min="6152" max="6152" width="6.6640625" style="136" customWidth="1"/>
    <col min="6153" max="6153" width="13.109375" style="136" customWidth="1"/>
    <col min="6154" max="6154" width="7" style="136" customWidth="1"/>
    <col min="6155" max="6155" width="13.33203125" style="136" customWidth="1"/>
    <col min="6156" max="6156" width="1.33203125" style="136" customWidth="1"/>
    <col min="6157" max="6157" width="3.109375" style="136" customWidth="1"/>
    <col min="6158" max="6158" width="10.33203125" style="136" customWidth="1"/>
    <col min="6159" max="6400" width="8.77734375" style="136"/>
    <col min="6401" max="6401" width="2.109375" style="136" customWidth="1"/>
    <col min="6402" max="6402" width="1.77734375" style="136" customWidth="1"/>
    <col min="6403" max="6403" width="31.77734375" style="136" customWidth="1"/>
    <col min="6404" max="6404" width="13.109375" style="136" customWidth="1"/>
    <col min="6405" max="6405" width="6.77734375" style="136" customWidth="1"/>
    <col min="6406" max="6406" width="1.109375" style="136" customWidth="1"/>
    <col min="6407" max="6407" width="13.33203125" style="136" customWidth="1"/>
    <col min="6408" max="6408" width="6.6640625" style="136" customWidth="1"/>
    <col min="6409" max="6409" width="13.109375" style="136" customWidth="1"/>
    <col min="6410" max="6410" width="7" style="136" customWidth="1"/>
    <col min="6411" max="6411" width="13.33203125" style="136" customWidth="1"/>
    <col min="6412" max="6412" width="1.33203125" style="136" customWidth="1"/>
    <col min="6413" max="6413" width="3.109375" style="136" customWidth="1"/>
    <col min="6414" max="6414" width="10.33203125" style="136" customWidth="1"/>
    <col min="6415" max="6656" width="8.77734375" style="136"/>
    <col min="6657" max="6657" width="2.109375" style="136" customWidth="1"/>
    <col min="6658" max="6658" width="1.77734375" style="136" customWidth="1"/>
    <col min="6659" max="6659" width="31.77734375" style="136" customWidth="1"/>
    <col min="6660" max="6660" width="13.109375" style="136" customWidth="1"/>
    <col min="6661" max="6661" width="6.77734375" style="136" customWidth="1"/>
    <col min="6662" max="6662" width="1.109375" style="136" customWidth="1"/>
    <col min="6663" max="6663" width="13.33203125" style="136" customWidth="1"/>
    <col min="6664" max="6664" width="6.6640625" style="136" customWidth="1"/>
    <col min="6665" max="6665" width="13.109375" style="136" customWidth="1"/>
    <col min="6666" max="6666" width="7" style="136" customWidth="1"/>
    <col min="6667" max="6667" width="13.33203125" style="136" customWidth="1"/>
    <col min="6668" max="6668" width="1.33203125" style="136" customWidth="1"/>
    <col min="6669" max="6669" width="3.109375" style="136" customWidth="1"/>
    <col min="6670" max="6670" width="10.33203125" style="136" customWidth="1"/>
    <col min="6671" max="6912" width="8.77734375" style="136"/>
    <col min="6913" max="6913" width="2.109375" style="136" customWidth="1"/>
    <col min="6914" max="6914" width="1.77734375" style="136" customWidth="1"/>
    <col min="6915" max="6915" width="31.77734375" style="136" customWidth="1"/>
    <col min="6916" max="6916" width="13.109375" style="136" customWidth="1"/>
    <col min="6917" max="6917" width="6.77734375" style="136" customWidth="1"/>
    <col min="6918" max="6918" width="1.109375" style="136" customWidth="1"/>
    <col min="6919" max="6919" width="13.33203125" style="136" customWidth="1"/>
    <col min="6920" max="6920" width="6.6640625" style="136" customWidth="1"/>
    <col min="6921" max="6921" width="13.109375" style="136" customWidth="1"/>
    <col min="6922" max="6922" width="7" style="136" customWidth="1"/>
    <col min="6923" max="6923" width="13.33203125" style="136" customWidth="1"/>
    <col min="6924" max="6924" width="1.33203125" style="136" customWidth="1"/>
    <col min="6925" max="6925" width="3.109375" style="136" customWidth="1"/>
    <col min="6926" max="6926" width="10.33203125" style="136" customWidth="1"/>
    <col min="6927" max="7168" width="8.77734375" style="136"/>
    <col min="7169" max="7169" width="2.109375" style="136" customWidth="1"/>
    <col min="7170" max="7170" width="1.77734375" style="136" customWidth="1"/>
    <col min="7171" max="7171" width="31.77734375" style="136" customWidth="1"/>
    <col min="7172" max="7172" width="13.109375" style="136" customWidth="1"/>
    <col min="7173" max="7173" width="6.77734375" style="136" customWidth="1"/>
    <col min="7174" max="7174" width="1.109375" style="136" customWidth="1"/>
    <col min="7175" max="7175" width="13.33203125" style="136" customWidth="1"/>
    <col min="7176" max="7176" width="6.6640625" style="136" customWidth="1"/>
    <col min="7177" max="7177" width="13.109375" style="136" customWidth="1"/>
    <col min="7178" max="7178" width="7" style="136" customWidth="1"/>
    <col min="7179" max="7179" width="13.33203125" style="136" customWidth="1"/>
    <col min="7180" max="7180" width="1.33203125" style="136" customWidth="1"/>
    <col min="7181" max="7181" width="3.109375" style="136" customWidth="1"/>
    <col min="7182" max="7182" width="10.33203125" style="136" customWidth="1"/>
    <col min="7183" max="7424" width="8.77734375" style="136"/>
    <col min="7425" max="7425" width="2.109375" style="136" customWidth="1"/>
    <col min="7426" max="7426" width="1.77734375" style="136" customWidth="1"/>
    <col min="7427" max="7427" width="31.77734375" style="136" customWidth="1"/>
    <col min="7428" max="7428" width="13.109375" style="136" customWidth="1"/>
    <col min="7429" max="7429" width="6.77734375" style="136" customWidth="1"/>
    <col min="7430" max="7430" width="1.109375" style="136" customWidth="1"/>
    <col min="7431" max="7431" width="13.33203125" style="136" customWidth="1"/>
    <col min="7432" max="7432" width="6.6640625" style="136" customWidth="1"/>
    <col min="7433" max="7433" width="13.109375" style="136" customWidth="1"/>
    <col min="7434" max="7434" width="7" style="136" customWidth="1"/>
    <col min="7435" max="7435" width="13.33203125" style="136" customWidth="1"/>
    <col min="7436" max="7436" width="1.33203125" style="136" customWidth="1"/>
    <col min="7437" max="7437" width="3.109375" style="136" customWidth="1"/>
    <col min="7438" max="7438" width="10.33203125" style="136" customWidth="1"/>
    <col min="7439" max="7680" width="8.77734375" style="136"/>
    <col min="7681" max="7681" width="2.109375" style="136" customWidth="1"/>
    <col min="7682" max="7682" width="1.77734375" style="136" customWidth="1"/>
    <col min="7683" max="7683" width="31.77734375" style="136" customWidth="1"/>
    <col min="7684" max="7684" width="13.109375" style="136" customWidth="1"/>
    <col min="7685" max="7685" width="6.77734375" style="136" customWidth="1"/>
    <col min="7686" max="7686" width="1.109375" style="136" customWidth="1"/>
    <col min="7687" max="7687" width="13.33203125" style="136" customWidth="1"/>
    <col min="7688" max="7688" width="6.6640625" style="136" customWidth="1"/>
    <col min="7689" max="7689" width="13.109375" style="136" customWidth="1"/>
    <col min="7690" max="7690" width="7" style="136" customWidth="1"/>
    <col min="7691" max="7691" width="13.33203125" style="136" customWidth="1"/>
    <col min="7692" max="7692" width="1.33203125" style="136" customWidth="1"/>
    <col min="7693" max="7693" width="3.109375" style="136" customWidth="1"/>
    <col min="7694" max="7694" width="10.33203125" style="136" customWidth="1"/>
    <col min="7695" max="7936" width="8.77734375" style="136"/>
    <col min="7937" max="7937" width="2.109375" style="136" customWidth="1"/>
    <col min="7938" max="7938" width="1.77734375" style="136" customWidth="1"/>
    <col min="7939" max="7939" width="31.77734375" style="136" customWidth="1"/>
    <col min="7940" max="7940" width="13.109375" style="136" customWidth="1"/>
    <col min="7941" max="7941" width="6.77734375" style="136" customWidth="1"/>
    <col min="7942" max="7942" width="1.109375" style="136" customWidth="1"/>
    <col min="7943" max="7943" width="13.33203125" style="136" customWidth="1"/>
    <col min="7944" max="7944" width="6.6640625" style="136" customWidth="1"/>
    <col min="7945" max="7945" width="13.109375" style="136" customWidth="1"/>
    <col min="7946" max="7946" width="7" style="136" customWidth="1"/>
    <col min="7947" max="7947" width="13.33203125" style="136" customWidth="1"/>
    <col min="7948" max="7948" width="1.33203125" style="136" customWidth="1"/>
    <col min="7949" max="7949" width="3.109375" style="136" customWidth="1"/>
    <col min="7950" max="7950" width="10.33203125" style="136" customWidth="1"/>
    <col min="7951" max="8192" width="8.77734375" style="136"/>
    <col min="8193" max="8193" width="2.109375" style="136" customWidth="1"/>
    <col min="8194" max="8194" width="1.77734375" style="136" customWidth="1"/>
    <col min="8195" max="8195" width="31.77734375" style="136" customWidth="1"/>
    <col min="8196" max="8196" width="13.109375" style="136" customWidth="1"/>
    <col min="8197" max="8197" width="6.77734375" style="136" customWidth="1"/>
    <col min="8198" max="8198" width="1.109375" style="136" customWidth="1"/>
    <col min="8199" max="8199" width="13.33203125" style="136" customWidth="1"/>
    <col min="8200" max="8200" width="6.6640625" style="136" customWidth="1"/>
    <col min="8201" max="8201" width="13.109375" style="136" customWidth="1"/>
    <col min="8202" max="8202" width="7" style="136" customWidth="1"/>
    <col min="8203" max="8203" width="13.33203125" style="136" customWidth="1"/>
    <col min="8204" max="8204" width="1.33203125" style="136" customWidth="1"/>
    <col min="8205" max="8205" width="3.109375" style="136" customWidth="1"/>
    <col min="8206" max="8206" width="10.33203125" style="136" customWidth="1"/>
    <col min="8207" max="8448" width="8.77734375" style="136"/>
    <col min="8449" max="8449" width="2.109375" style="136" customWidth="1"/>
    <col min="8450" max="8450" width="1.77734375" style="136" customWidth="1"/>
    <col min="8451" max="8451" width="31.77734375" style="136" customWidth="1"/>
    <col min="8452" max="8452" width="13.109375" style="136" customWidth="1"/>
    <col min="8453" max="8453" width="6.77734375" style="136" customWidth="1"/>
    <col min="8454" max="8454" width="1.109375" style="136" customWidth="1"/>
    <col min="8455" max="8455" width="13.33203125" style="136" customWidth="1"/>
    <col min="8456" max="8456" width="6.6640625" style="136" customWidth="1"/>
    <col min="8457" max="8457" width="13.109375" style="136" customWidth="1"/>
    <col min="8458" max="8458" width="7" style="136" customWidth="1"/>
    <col min="8459" max="8459" width="13.33203125" style="136" customWidth="1"/>
    <col min="8460" max="8460" width="1.33203125" style="136" customWidth="1"/>
    <col min="8461" max="8461" width="3.109375" style="136" customWidth="1"/>
    <col min="8462" max="8462" width="10.33203125" style="136" customWidth="1"/>
    <col min="8463" max="8704" width="8.77734375" style="136"/>
    <col min="8705" max="8705" width="2.109375" style="136" customWidth="1"/>
    <col min="8706" max="8706" width="1.77734375" style="136" customWidth="1"/>
    <col min="8707" max="8707" width="31.77734375" style="136" customWidth="1"/>
    <col min="8708" max="8708" width="13.109375" style="136" customWidth="1"/>
    <col min="8709" max="8709" width="6.77734375" style="136" customWidth="1"/>
    <col min="8710" max="8710" width="1.109375" style="136" customWidth="1"/>
    <col min="8711" max="8711" width="13.33203125" style="136" customWidth="1"/>
    <col min="8712" max="8712" width="6.6640625" style="136" customWidth="1"/>
    <col min="8713" max="8713" width="13.109375" style="136" customWidth="1"/>
    <col min="8714" max="8714" width="7" style="136" customWidth="1"/>
    <col min="8715" max="8715" width="13.33203125" style="136" customWidth="1"/>
    <col min="8716" max="8716" width="1.33203125" style="136" customWidth="1"/>
    <col min="8717" max="8717" width="3.109375" style="136" customWidth="1"/>
    <col min="8718" max="8718" width="10.33203125" style="136" customWidth="1"/>
    <col min="8719" max="8960" width="8.77734375" style="136"/>
    <col min="8961" max="8961" width="2.109375" style="136" customWidth="1"/>
    <col min="8962" max="8962" width="1.77734375" style="136" customWidth="1"/>
    <col min="8963" max="8963" width="31.77734375" style="136" customWidth="1"/>
    <col min="8964" max="8964" width="13.109375" style="136" customWidth="1"/>
    <col min="8965" max="8965" width="6.77734375" style="136" customWidth="1"/>
    <col min="8966" max="8966" width="1.109375" style="136" customWidth="1"/>
    <col min="8967" max="8967" width="13.33203125" style="136" customWidth="1"/>
    <col min="8968" max="8968" width="6.6640625" style="136" customWidth="1"/>
    <col min="8969" max="8969" width="13.109375" style="136" customWidth="1"/>
    <col min="8970" max="8970" width="7" style="136" customWidth="1"/>
    <col min="8971" max="8971" width="13.33203125" style="136" customWidth="1"/>
    <col min="8972" max="8972" width="1.33203125" style="136" customWidth="1"/>
    <col min="8973" max="8973" width="3.109375" style="136" customWidth="1"/>
    <col min="8974" max="8974" width="10.33203125" style="136" customWidth="1"/>
    <col min="8975" max="9216" width="8.77734375" style="136"/>
    <col min="9217" max="9217" width="2.109375" style="136" customWidth="1"/>
    <col min="9218" max="9218" width="1.77734375" style="136" customWidth="1"/>
    <col min="9219" max="9219" width="31.77734375" style="136" customWidth="1"/>
    <col min="9220" max="9220" width="13.109375" style="136" customWidth="1"/>
    <col min="9221" max="9221" width="6.77734375" style="136" customWidth="1"/>
    <col min="9222" max="9222" width="1.109375" style="136" customWidth="1"/>
    <col min="9223" max="9223" width="13.33203125" style="136" customWidth="1"/>
    <col min="9224" max="9224" width="6.6640625" style="136" customWidth="1"/>
    <col min="9225" max="9225" width="13.109375" style="136" customWidth="1"/>
    <col min="9226" max="9226" width="7" style="136" customWidth="1"/>
    <col min="9227" max="9227" width="13.33203125" style="136" customWidth="1"/>
    <col min="9228" max="9228" width="1.33203125" style="136" customWidth="1"/>
    <col min="9229" max="9229" width="3.109375" style="136" customWidth="1"/>
    <col min="9230" max="9230" width="10.33203125" style="136" customWidth="1"/>
    <col min="9231" max="9472" width="8.77734375" style="136"/>
    <col min="9473" max="9473" width="2.109375" style="136" customWidth="1"/>
    <col min="9474" max="9474" width="1.77734375" style="136" customWidth="1"/>
    <col min="9475" max="9475" width="31.77734375" style="136" customWidth="1"/>
    <col min="9476" max="9476" width="13.109375" style="136" customWidth="1"/>
    <col min="9477" max="9477" width="6.77734375" style="136" customWidth="1"/>
    <col min="9478" max="9478" width="1.109375" style="136" customWidth="1"/>
    <col min="9479" max="9479" width="13.33203125" style="136" customWidth="1"/>
    <col min="9480" max="9480" width="6.6640625" style="136" customWidth="1"/>
    <col min="9481" max="9481" width="13.109375" style="136" customWidth="1"/>
    <col min="9482" max="9482" width="7" style="136" customWidth="1"/>
    <col min="9483" max="9483" width="13.33203125" style="136" customWidth="1"/>
    <col min="9484" max="9484" width="1.33203125" style="136" customWidth="1"/>
    <col min="9485" max="9485" width="3.109375" style="136" customWidth="1"/>
    <col min="9486" max="9486" width="10.33203125" style="136" customWidth="1"/>
    <col min="9487" max="9728" width="8.77734375" style="136"/>
    <col min="9729" max="9729" width="2.109375" style="136" customWidth="1"/>
    <col min="9730" max="9730" width="1.77734375" style="136" customWidth="1"/>
    <col min="9731" max="9731" width="31.77734375" style="136" customWidth="1"/>
    <col min="9732" max="9732" width="13.109375" style="136" customWidth="1"/>
    <col min="9733" max="9733" width="6.77734375" style="136" customWidth="1"/>
    <col min="9734" max="9734" width="1.109375" style="136" customWidth="1"/>
    <col min="9735" max="9735" width="13.33203125" style="136" customWidth="1"/>
    <col min="9736" max="9736" width="6.6640625" style="136" customWidth="1"/>
    <col min="9737" max="9737" width="13.109375" style="136" customWidth="1"/>
    <col min="9738" max="9738" width="7" style="136" customWidth="1"/>
    <col min="9739" max="9739" width="13.33203125" style="136" customWidth="1"/>
    <col min="9740" max="9740" width="1.33203125" style="136" customWidth="1"/>
    <col min="9741" max="9741" width="3.109375" style="136" customWidth="1"/>
    <col min="9742" max="9742" width="10.33203125" style="136" customWidth="1"/>
    <col min="9743" max="9984" width="8.77734375" style="136"/>
    <col min="9985" max="9985" width="2.109375" style="136" customWidth="1"/>
    <col min="9986" max="9986" width="1.77734375" style="136" customWidth="1"/>
    <col min="9987" max="9987" width="31.77734375" style="136" customWidth="1"/>
    <col min="9988" max="9988" width="13.109375" style="136" customWidth="1"/>
    <col min="9989" max="9989" width="6.77734375" style="136" customWidth="1"/>
    <col min="9990" max="9990" width="1.109375" style="136" customWidth="1"/>
    <col min="9991" max="9991" width="13.33203125" style="136" customWidth="1"/>
    <col min="9992" max="9992" width="6.6640625" style="136" customWidth="1"/>
    <col min="9993" max="9993" width="13.109375" style="136" customWidth="1"/>
    <col min="9994" max="9994" width="7" style="136" customWidth="1"/>
    <col min="9995" max="9995" width="13.33203125" style="136" customWidth="1"/>
    <col min="9996" max="9996" width="1.33203125" style="136" customWidth="1"/>
    <col min="9997" max="9997" width="3.109375" style="136" customWidth="1"/>
    <col min="9998" max="9998" width="10.33203125" style="136" customWidth="1"/>
    <col min="9999" max="10240" width="8.77734375" style="136"/>
    <col min="10241" max="10241" width="2.109375" style="136" customWidth="1"/>
    <col min="10242" max="10242" width="1.77734375" style="136" customWidth="1"/>
    <col min="10243" max="10243" width="31.77734375" style="136" customWidth="1"/>
    <col min="10244" max="10244" width="13.109375" style="136" customWidth="1"/>
    <col min="10245" max="10245" width="6.77734375" style="136" customWidth="1"/>
    <col min="10246" max="10246" width="1.109375" style="136" customWidth="1"/>
    <col min="10247" max="10247" width="13.33203125" style="136" customWidth="1"/>
    <col min="10248" max="10248" width="6.6640625" style="136" customWidth="1"/>
    <col min="10249" max="10249" width="13.109375" style="136" customWidth="1"/>
    <col min="10250" max="10250" width="7" style="136" customWidth="1"/>
    <col min="10251" max="10251" width="13.33203125" style="136" customWidth="1"/>
    <col min="10252" max="10252" width="1.33203125" style="136" customWidth="1"/>
    <col min="10253" max="10253" width="3.109375" style="136" customWidth="1"/>
    <col min="10254" max="10254" width="10.33203125" style="136" customWidth="1"/>
    <col min="10255" max="10496" width="8.77734375" style="136"/>
    <col min="10497" max="10497" width="2.109375" style="136" customWidth="1"/>
    <col min="10498" max="10498" width="1.77734375" style="136" customWidth="1"/>
    <col min="10499" max="10499" width="31.77734375" style="136" customWidth="1"/>
    <col min="10500" max="10500" width="13.109375" style="136" customWidth="1"/>
    <col min="10501" max="10501" width="6.77734375" style="136" customWidth="1"/>
    <col min="10502" max="10502" width="1.109375" style="136" customWidth="1"/>
    <col min="10503" max="10503" width="13.33203125" style="136" customWidth="1"/>
    <col min="10504" max="10504" width="6.6640625" style="136" customWidth="1"/>
    <col min="10505" max="10505" width="13.109375" style="136" customWidth="1"/>
    <col min="10506" max="10506" width="7" style="136" customWidth="1"/>
    <col min="10507" max="10507" width="13.33203125" style="136" customWidth="1"/>
    <col min="10508" max="10508" width="1.33203125" style="136" customWidth="1"/>
    <col min="10509" max="10509" width="3.109375" style="136" customWidth="1"/>
    <col min="10510" max="10510" width="10.33203125" style="136" customWidth="1"/>
    <col min="10511" max="10752" width="8.77734375" style="136"/>
    <col min="10753" max="10753" width="2.109375" style="136" customWidth="1"/>
    <col min="10754" max="10754" width="1.77734375" style="136" customWidth="1"/>
    <col min="10755" max="10755" width="31.77734375" style="136" customWidth="1"/>
    <col min="10756" max="10756" width="13.109375" style="136" customWidth="1"/>
    <col min="10757" max="10757" width="6.77734375" style="136" customWidth="1"/>
    <col min="10758" max="10758" width="1.109375" style="136" customWidth="1"/>
    <col min="10759" max="10759" width="13.33203125" style="136" customWidth="1"/>
    <col min="10760" max="10760" width="6.6640625" style="136" customWidth="1"/>
    <col min="10761" max="10761" width="13.109375" style="136" customWidth="1"/>
    <col min="10762" max="10762" width="7" style="136" customWidth="1"/>
    <col min="10763" max="10763" width="13.33203125" style="136" customWidth="1"/>
    <col min="10764" max="10764" width="1.33203125" style="136" customWidth="1"/>
    <col min="10765" max="10765" width="3.109375" style="136" customWidth="1"/>
    <col min="10766" max="10766" width="10.33203125" style="136" customWidth="1"/>
    <col min="10767" max="11008" width="8.77734375" style="136"/>
    <col min="11009" max="11009" width="2.109375" style="136" customWidth="1"/>
    <col min="11010" max="11010" width="1.77734375" style="136" customWidth="1"/>
    <col min="11011" max="11011" width="31.77734375" style="136" customWidth="1"/>
    <col min="11012" max="11012" width="13.109375" style="136" customWidth="1"/>
    <col min="11013" max="11013" width="6.77734375" style="136" customWidth="1"/>
    <col min="11014" max="11014" width="1.109375" style="136" customWidth="1"/>
    <col min="11015" max="11015" width="13.33203125" style="136" customWidth="1"/>
    <col min="11016" max="11016" width="6.6640625" style="136" customWidth="1"/>
    <col min="11017" max="11017" width="13.109375" style="136" customWidth="1"/>
    <col min="11018" max="11018" width="7" style="136" customWidth="1"/>
    <col min="11019" max="11019" width="13.33203125" style="136" customWidth="1"/>
    <col min="11020" max="11020" width="1.33203125" style="136" customWidth="1"/>
    <col min="11021" max="11021" width="3.109375" style="136" customWidth="1"/>
    <col min="11022" max="11022" width="10.33203125" style="136" customWidth="1"/>
    <col min="11023" max="11264" width="8.77734375" style="136"/>
    <col min="11265" max="11265" width="2.109375" style="136" customWidth="1"/>
    <col min="11266" max="11266" width="1.77734375" style="136" customWidth="1"/>
    <col min="11267" max="11267" width="31.77734375" style="136" customWidth="1"/>
    <col min="11268" max="11268" width="13.109375" style="136" customWidth="1"/>
    <col min="11269" max="11269" width="6.77734375" style="136" customWidth="1"/>
    <col min="11270" max="11270" width="1.109375" style="136" customWidth="1"/>
    <col min="11271" max="11271" width="13.33203125" style="136" customWidth="1"/>
    <col min="11272" max="11272" width="6.6640625" style="136" customWidth="1"/>
    <col min="11273" max="11273" width="13.109375" style="136" customWidth="1"/>
    <col min="11274" max="11274" width="7" style="136" customWidth="1"/>
    <col min="11275" max="11275" width="13.33203125" style="136" customWidth="1"/>
    <col min="11276" max="11276" width="1.33203125" style="136" customWidth="1"/>
    <col min="11277" max="11277" width="3.109375" style="136" customWidth="1"/>
    <col min="11278" max="11278" width="10.33203125" style="136" customWidth="1"/>
    <col min="11279" max="11520" width="8.77734375" style="136"/>
    <col min="11521" max="11521" width="2.109375" style="136" customWidth="1"/>
    <col min="11522" max="11522" width="1.77734375" style="136" customWidth="1"/>
    <col min="11523" max="11523" width="31.77734375" style="136" customWidth="1"/>
    <col min="11524" max="11524" width="13.109375" style="136" customWidth="1"/>
    <col min="11525" max="11525" width="6.77734375" style="136" customWidth="1"/>
    <col min="11526" max="11526" width="1.109375" style="136" customWidth="1"/>
    <col min="11527" max="11527" width="13.33203125" style="136" customWidth="1"/>
    <col min="11528" max="11528" width="6.6640625" style="136" customWidth="1"/>
    <col min="11529" max="11529" width="13.109375" style="136" customWidth="1"/>
    <col min="11530" max="11530" width="7" style="136" customWidth="1"/>
    <col min="11531" max="11531" width="13.33203125" style="136" customWidth="1"/>
    <col min="11532" max="11532" width="1.33203125" style="136" customWidth="1"/>
    <col min="11533" max="11533" width="3.109375" style="136" customWidth="1"/>
    <col min="11534" max="11534" width="10.33203125" style="136" customWidth="1"/>
    <col min="11535" max="11776" width="8.77734375" style="136"/>
    <col min="11777" max="11777" width="2.109375" style="136" customWidth="1"/>
    <col min="11778" max="11778" width="1.77734375" style="136" customWidth="1"/>
    <col min="11779" max="11779" width="31.77734375" style="136" customWidth="1"/>
    <col min="11780" max="11780" width="13.109375" style="136" customWidth="1"/>
    <col min="11781" max="11781" width="6.77734375" style="136" customWidth="1"/>
    <col min="11782" max="11782" width="1.109375" style="136" customWidth="1"/>
    <col min="11783" max="11783" width="13.33203125" style="136" customWidth="1"/>
    <col min="11784" max="11784" width="6.6640625" style="136" customWidth="1"/>
    <col min="11785" max="11785" width="13.109375" style="136" customWidth="1"/>
    <col min="11786" max="11786" width="7" style="136" customWidth="1"/>
    <col min="11787" max="11787" width="13.33203125" style="136" customWidth="1"/>
    <col min="11788" max="11788" width="1.33203125" style="136" customWidth="1"/>
    <col min="11789" max="11789" width="3.109375" style="136" customWidth="1"/>
    <col min="11790" max="11790" width="10.33203125" style="136" customWidth="1"/>
    <col min="11791" max="12032" width="8.77734375" style="136"/>
    <col min="12033" max="12033" width="2.109375" style="136" customWidth="1"/>
    <col min="12034" max="12034" width="1.77734375" style="136" customWidth="1"/>
    <col min="12035" max="12035" width="31.77734375" style="136" customWidth="1"/>
    <col min="12036" max="12036" width="13.109375" style="136" customWidth="1"/>
    <col min="12037" max="12037" width="6.77734375" style="136" customWidth="1"/>
    <col min="12038" max="12038" width="1.109375" style="136" customWidth="1"/>
    <col min="12039" max="12039" width="13.33203125" style="136" customWidth="1"/>
    <col min="12040" max="12040" width="6.6640625" style="136" customWidth="1"/>
    <col min="12041" max="12041" width="13.109375" style="136" customWidth="1"/>
    <col min="12042" max="12042" width="7" style="136" customWidth="1"/>
    <col min="12043" max="12043" width="13.33203125" style="136" customWidth="1"/>
    <col min="12044" max="12044" width="1.33203125" style="136" customWidth="1"/>
    <col min="12045" max="12045" width="3.109375" style="136" customWidth="1"/>
    <col min="12046" max="12046" width="10.33203125" style="136" customWidth="1"/>
    <col min="12047" max="12288" width="8.77734375" style="136"/>
    <col min="12289" max="12289" width="2.109375" style="136" customWidth="1"/>
    <col min="12290" max="12290" width="1.77734375" style="136" customWidth="1"/>
    <col min="12291" max="12291" width="31.77734375" style="136" customWidth="1"/>
    <col min="12292" max="12292" width="13.109375" style="136" customWidth="1"/>
    <col min="12293" max="12293" width="6.77734375" style="136" customWidth="1"/>
    <col min="12294" max="12294" width="1.109375" style="136" customWidth="1"/>
    <col min="12295" max="12295" width="13.33203125" style="136" customWidth="1"/>
    <col min="12296" max="12296" width="6.6640625" style="136" customWidth="1"/>
    <col min="12297" max="12297" width="13.109375" style="136" customWidth="1"/>
    <col min="12298" max="12298" width="7" style="136" customWidth="1"/>
    <col min="12299" max="12299" width="13.33203125" style="136" customWidth="1"/>
    <col min="12300" max="12300" width="1.33203125" style="136" customWidth="1"/>
    <col min="12301" max="12301" width="3.109375" style="136" customWidth="1"/>
    <col min="12302" max="12302" width="10.33203125" style="136" customWidth="1"/>
    <col min="12303" max="12544" width="8.77734375" style="136"/>
    <col min="12545" max="12545" width="2.109375" style="136" customWidth="1"/>
    <col min="12546" max="12546" width="1.77734375" style="136" customWidth="1"/>
    <col min="12547" max="12547" width="31.77734375" style="136" customWidth="1"/>
    <col min="12548" max="12548" width="13.109375" style="136" customWidth="1"/>
    <col min="12549" max="12549" width="6.77734375" style="136" customWidth="1"/>
    <col min="12550" max="12550" width="1.109375" style="136" customWidth="1"/>
    <col min="12551" max="12551" width="13.33203125" style="136" customWidth="1"/>
    <col min="12552" max="12552" width="6.6640625" style="136" customWidth="1"/>
    <col min="12553" max="12553" width="13.109375" style="136" customWidth="1"/>
    <col min="12554" max="12554" width="7" style="136" customWidth="1"/>
    <col min="12555" max="12555" width="13.33203125" style="136" customWidth="1"/>
    <col min="12556" max="12556" width="1.33203125" style="136" customWidth="1"/>
    <col min="12557" max="12557" width="3.109375" style="136" customWidth="1"/>
    <col min="12558" max="12558" width="10.33203125" style="136" customWidth="1"/>
    <col min="12559" max="12800" width="8.77734375" style="136"/>
    <col min="12801" max="12801" width="2.109375" style="136" customWidth="1"/>
    <col min="12802" max="12802" width="1.77734375" style="136" customWidth="1"/>
    <col min="12803" max="12803" width="31.77734375" style="136" customWidth="1"/>
    <col min="12804" max="12804" width="13.109375" style="136" customWidth="1"/>
    <col min="12805" max="12805" width="6.77734375" style="136" customWidth="1"/>
    <col min="12806" max="12806" width="1.109375" style="136" customWidth="1"/>
    <col min="12807" max="12807" width="13.33203125" style="136" customWidth="1"/>
    <col min="12808" max="12808" width="6.6640625" style="136" customWidth="1"/>
    <col min="12809" max="12809" width="13.109375" style="136" customWidth="1"/>
    <col min="12810" max="12810" width="7" style="136" customWidth="1"/>
    <col min="12811" max="12811" width="13.33203125" style="136" customWidth="1"/>
    <col min="12812" max="12812" width="1.33203125" style="136" customWidth="1"/>
    <col min="12813" max="12813" width="3.109375" style="136" customWidth="1"/>
    <col min="12814" max="12814" width="10.33203125" style="136" customWidth="1"/>
    <col min="12815" max="13056" width="8.77734375" style="136"/>
    <col min="13057" max="13057" width="2.109375" style="136" customWidth="1"/>
    <col min="13058" max="13058" width="1.77734375" style="136" customWidth="1"/>
    <col min="13059" max="13059" width="31.77734375" style="136" customWidth="1"/>
    <col min="13060" max="13060" width="13.109375" style="136" customWidth="1"/>
    <col min="13061" max="13061" width="6.77734375" style="136" customWidth="1"/>
    <col min="13062" max="13062" width="1.109375" style="136" customWidth="1"/>
    <col min="13063" max="13063" width="13.33203125" style="136" customWidth="1"/>
    <col min="13064" max="13064" width="6.6640625" style="136" customWidth="1"/>
    <col min="13065" max="13065" width="13.109375" style="136" customWidth="1"/>
    <col min="13066" max="13066" width="7" style="136" customWidth="1"/>
    <col min="13067" max="13067" width="13.33203125" style="136" customWidth="1"/>
    <col min="13068" max="13068" width="1.33203125" style="136" customWidth="1"/>
    <col min="13069" max="13069" width="3.109375" style="136" customWidth="1"/>
    <col min="13070" max="13070" width="10.33203125" style="136" customWidth="1"/>
    <col min="13071" max="13312" width="8.77734375" style="136"/>
    <col min="13313" max="13313" width="2.109375" style="136" customWidth="1"/>
    <col min="13314" max="13314" width="1.77734375" style="136" customWidth="1"/>
    <col min="13315" max="13315" width="31.77734375" style="136" customWidth="1"/>
    <col min="13316" max="13316" width="13.109375" style="136" customWidth="1"/>
    <col min="13317" max="13317" width="6.77734375" style="136" customWidth="1"/>
    <col min="13318" max="13318" width="1.109375" style="136" customWidth="1"/>
    <col min="13319" max="13319" width="13.33203125" style="136" customWidth="1"/>
    <col min="13320" max="13320" width="6.6640625" style="136" customWidth="1"/>
    <col min="13321" max="13321" width="13.109375" style="136" customWidth="1"/>
    <col min="13322" max="13322" width="7" style="136" customWidth="1"/>
    <col min="13323" max="13323" width="13.33203125" style="136" customWidth="1"/>
    <col min="13324" max="13324" width="1.33203125" style="136" customWidth="1"/>
    <col min="13325" max="13325" width="3.109375" style="136" customWidth="1"/>
    <col min="13326" max="13326" width="10.33203125" style="136" customWidth="1"/>
    <col min="13327" max="13568" width="8.77734375" style="136"/>
    <col min="13569" max="13569" width="2.109375" style="136" customWidth="1"/>
    <col min="13570" max="13570" width="1.77734375" style="136" customWidth="1"/>
    <col min="13571" max="13571" width="31.77734375" style="136" customWidth="1"/>
    <col min="13572" max="13572" width="13.109375" style="136" customWidth="1"/>
    <col min="13573" max="13573" width="6.77734375" style="136" customWidth="1"/>
    <col min="13574" max="13574" width="1.109375" style="136" customWidth="1"/>
    <col min="13575" max="13575" width="13.33203125" style="136" customWidth="1"/>
    <col min="13576" max="13576" width="6.6640625" style="136" customWidth="1"/>
    <col min="13577" max="13577" width="13.109375" style="136" customWidth="1"/>
    <col min="13578" max="13578" width="7" style="136" customWidth="1"/>
    <col min="13579" max="13579" width="13.33203125" style="136" customWidth="1"/>
    <col min="13580" max="13580" width="1.33203125" style="136" customWidth="1"/>
    <col min="13581" max="13581" width="3.109375" style="136" customWidth="1"/>
    <col min="13582" max="13582" width="10.33203125" style="136" customWidth="1"/>
    <col min="13583" max="13824" width="8.77734375" style="136"/>
    <col min="13825" max="13825" width="2.109375" style="136" customWidth="1"/>
    <col min="13826" max="13826" width="1.77734375" style="136" customWidth="1"/>
    <col min="13827" max="13827" width="31.77734375" style="136" customWidth="1"/>
    <col min="13828" max="13828" width="13.109375" style="136" customWidth="1"/>
    <col min="13829" max="13829" width="6.77734375" style="136" customWidth="1"/>
    <col min="13830" max="13830" width="1.109375" style="136" customWidth="1"/>
    <col min="13831" max="13831" width="13.33203125" style="136" customWidth="1"/>
    <col min="13832" max="13832" width="6.6640625" style="136" customWidth="1"/>
    <col min="13833" max="13833" width="13.109375" style="136" customWidth="1"/>
    <col min="13834" max="13834" width="7" style="136" customWidth="1"/>
    <col min="13835" max="13835" width="13.33203125" style="136" customWidth="1"/>
    <col min="13836" max="13836" width="1.33203125" style="136" customWidth="1"/>
    <col min="13837" max="13837" width="3.109375" style="136" customWidth="1"/>
    <col min="13838" max="13838" width="10.33203125" style="136" customWidth="1"/>
    <col min="13839" max="14080" width="8.77734375" style="136"/>
    <col min="14081" max="14081" width="2.109375" style="136" customWidth="1"/>
    <col min="14082" max="14082" width="1.77734375" style="136" customWidth="1"/>
    <col min="14083" max="14083" width="31.77734375" style="136" customWidth="1"/>
    <col min="14084" max="14084" width="13.109375" style="136" customWidth="1"/>
    <col min="14085" max="14085" width="6.77734375" style="136" customWidth="1"/>
    <col min="14086" max="14086" width="1.109375" style="136" customWidth="1"/>
    <col min="14087" max="14087" width="13.33203125" style="136" customWidth="1"/>
    <col min="14088" max="14088" width="6.6640625" style="136" customWidth="1"/>
    <col min="14089" max="14089" width="13.109375" style="136" customWidth="1"/>
    <col min="14090" max="14090" width="7" style="136" customWidth="1"/>
    <col min="14091" max="14091" width="13.33203125" style="136" customWidth="1"/>
    <col min="14092" max="14092" width="1.33203125" style="136" customWidth="1"/>
    <col min="14093" max="14093" width="3.109375" style="136" customWidth="1"/>
    <col min="14094" max="14094" width="10.33203125" style="136" customWidth="1"/>
    <col min="14095" max="14336" width="8.77734375" style="136"/>
    <col min="14337" max="14337" width="2.109375" style="136" customWidth="1"/>
    <col min="14338" max="14338" width="1.77734375" style="136" customWidth="1"/>
    <col min="14339" max="14339" width="31.77734375" style="136" customWidth="1"/>
    <col min="14340" max="14340" width="13.109375" style="136" customWidth="1"/>
    <col min="14341" max="14341" width="6.77734375" style="136" customWidth="1"/>
    <col min="14342" max="14342" width="1.109375" style="136" customWidth="1"/>
    <col min="14343" max="14343" width="13.33203125" style="136" customWidth="1"/>
    <col min="14344" max="14344" width="6.6640625" style="136" customWidth="1"/>
    <col min="14345" max="14345" width="13.109375" style="136" customWidth="1"/>
    <col min="14346" max="14346" width="7" style="136" customWidth="1"/>
    <col min="14347" max="14347" width="13.33203125" style="136" customWidth="1"/>
    <col min="14348" max="14348" width="1.33203125" style="136" customWidth="1"/>
    <col min="14349" max="14349" width="3.109375" style="136" customWidth="1"/>
    <col min="14350" max="14350" width="10.33203125" style="136" customWidth="1"/>
    <col min="14351" max="14592" width="8.77734375" style="136"/>
    <col min="14593" max="14593" width="2.109375" style="136" customWidth="1"/>
    <col min="14594" max="14594" width="1.77734375" style="136" customWidth="1"/>
    <col min="14595" max="14595" width="31.77734375" style="136" customWidth="1"/>
    <col min="14596" max="14596" width="13.109375" style="136" customWidth="1"/>
    <col min="14597" max="14597" width="6.77734375" style="136" customWidth="1"/>
    <col min="14598" max="14598" width="1.109375" style="136" customWidth="1"/>
    <col min="14599" max="14599" width="13.33203125" style="136" customWidth="1"/>
    <col min="14600" max="14600" width="6.6640625" style="136" customWidth="1"/>
    <col min="14601" max="14601" width="13.109375" style="136" customWidth="1"/>
    <col min="14602" max="14602" width="7" style="136" customWidth="1"/>
    <col min="14603" max="14603" width="13.33203125" style="136" customWidth="1"/>
    <col min="14604" max="14604" width="1.33203125" style="136" customWidth="1"/>
    <col min="14605" max="14605" width="3.109375" style="136" customWidth="1"/>
    <col min="14606" max="14606" width="10.33203125" style="136" customWidth="1"/>
    <col min="14607" max="14848" width="8.77734375" style="136"/>
    <col min="14849" max="14849" width="2.109375" style="136" customWidth="1"/>
    <col min="14850" max="14850" width="1.77734375" style="136" customWidth="1"/>
    <col min="14851" max="14851" width="31.77734375" style="136" customWidth="1"/>
    <col min="14852" max="14852" width="13.109375" style="136" customWidth="1"/>
    <col min="14853" max="14853" width="6.77734375" style="136" customWidth="1"/>
    <col min="14854" max="14854" width="1.109375" style="136" customWidth="1"/>
    <col min="14855" max="14855" width="13.33203125" style="136" customWidth="1"/>
    <col min="14856" max="14856" width="6.6640625" style="136" customWidth="1"/>
    <col min="14857" max="14857" width="13.109375" style="136" customWidth="1"/>
    <col min="14858" max="14858" width="7" style="136" customWidth="1"/>
    <col min="14859" max="14859" width="13.33203125" style="136" customWidth="1"/>
    <col min="14860" max="14860" width="1.33203125" style="136" customWidth="1"/>
    <col min="14861" max="14861" width="3.109375" style="136" customWidth="1"/>
    <col min="14862" max="14862" width="10.33203125" style="136" customWidth="1"/>
    <col min="14863" max="15104" width="8.77734375" style="136"/>
    <col min="15105" max="15105" width="2.109375" style="136" customWidth="1"/>
    <col min="15106" max="15106" width="1.77734375" style="136" customWidth="1"/>
    <col min="15107" max="15107" width="31.77734375" style="136" customWidth="1"/>
    <col min="15108" max="15108" width="13.109375" style="136" customWidth="1"/>
    <col min="15109" max="15109" width="6.77734375" style="136" customWidth="1"/>
    <col min="15110" max="15110" width="1.109375" style="136" customWidth="1"/>
    <col min="15111" max="15111" width="13.33203125" style="136" customWidth="1"/>
    <col min="15112" max="15112" width="6.6640625" style="136" customWidth="1"/>
    <col min="15113" max="15113" width="13.109375" style="136" customWidth="1"/>
    <col min="15114" max="15114" width="7" style="136" customWidth="1"/>
    <col min="15115" max="15115" width="13.33203125" style="136" customWidth="1"/>
    <col min="15116" max="15116" width="1.33203125" style="136" customWidth="1"/>
    <col min="15117" max="15117" width="3.109375" style="136" customWidth="1"/>
    <col min="15118" max="15118" width="10.33203125" style="136" customWidth="1"/>
    <col min="15119" max="15360" width="8.77734375" style="136"/>
    <col min="15361" max="15361" width="2.109375" style="136" customWidth="1"/>
    <col min="15362" max="15362" width="1.77734375" style="136" customWidth="1"/>
    <col min="15363" max="15363" width="31.77734375" style="136" customWidth="1"/>
    <col min="15364" max="15364" width="13.109375" style="136" customWidth="1"/>
    <col min="15365" max="15365" width="6.77734375" style="136" customWidth="1"/>
    <col min="15366" max="15366" width="1.109375" style="136" customWidth="1"/>
    <col min="15367" max="15367" width="13.33203125" style="136" customWidth="1"/>
    <col min="15368" max="15368" width="6.6640625" style="136" customWidth="1"/>
    <col min="15369" max="15369" width="13.109375" style="136" customWidth="1"/>
    <col min="15370" max="15370" width="7" style="136" customWidth="1"/>
    <col min="15371" max="15371" width="13.33203125" style="136" customWidth="1"/>
    <col min="15372" max="15372" width="1.33203125" style="136" customWidth="1"/>
    <col min="15373" max="15373" width="3.109375" style="136" customWidth="1"/>
    <col min="15374" max="15374" width="10.33203125" style="136" customWidth="1"/>
    <col min="15375" max="15616" width="8.77734375" style="136"/>
    <col min="15617" max="15617" width="2.109375" style="136" customWidth="1"/>
    <col min="15618" max="15618" width="1.77734375" style="136" customWidth="1"/>
    <col min="15619" max="15619" width="31.77734375" style="136" customWidth="1"/>
    <col min="15620" max="15620" width="13.109375" style="136" customWidth="1"/>
    <col min="15621" max="15621" width="6.77734375" style="136" customWidth="1"/>
    <col min="15622" max="15622" width="1.109375" style="136" customWidth="1"/>
    <col min="15623" max="15623" width="13.33203125" style="136" customWidth="1"/>
    <col min="15624" max="15624" width="6.6640625" style="136" customWidth="1"/>
    <col min="15625" max="15625" width="13.109375" style="136" customWidth="1"/>
    <col min="15626" max="15626" width="7" style="136" customWidth="1"/>
    <col min="15627" max="15627" width="13.33203125" style="136" customWidth="1"/>
    <col min="15628" max="15628" width="1.33203125" style="136" customWidth="1"/>
    <col min="15629" max="15629" width="3.109375" style="136" customWidth="1"/>
    <col min="15630" max="15630" width="10.33203125" style="136" customWidth="1"/>
    <col min="15631" max="15872" width="8.77734375" style="136"/>
    <col min="15873" max="15873" width="2.109375" style="136" customWidth="1"/>
    <col min="15874" max="15874" width="1.77734375" style="136" customWidth="1"/>
    <col min="15875" max="15875" width="31.77734375" style="136" customWidth="1"/>
    <col min="15876" max="15876" width="13.109375" style="136" customWidth="1"/>
    <col min="15877" max="15877" width="6.77734375" style="136" customWidth="1"/>
    <col min="15878" max="15878" width="1.109375" style="136" customWidth="1"/>
    <col min="15879" max="15879" width="13.33203125" style="136" customWidth="1"/>
    <col min="15880" max="15880" width="6.6640625" style="136" customWidth="1"/>
    <col min="15881" max="15881" width="13.109375" style="136" customWidth="1"/>
    <col min="15882" max="15882" width="7" style="136" customWidth="1"/>
    <col min="15883" max="15883" width="13.33203125" style="136" customWidth="1"/>
    <col min="15884" max="15884" width="1.33203125" style="136" customWidth="1"/>
    <col min="15885" max="15885" width="3.109375" style="136" customWidth="1"/>
    <col min="15886" max="15886" width="10.33203125" style="136" customWidth="1"/>
    <col min="15887" max="16128" width="8.77734375" style="136"/>
    <col min="16129" max="16129" width="2.109375" style="136" customWidth="1"/>
    <col min="16130" max="16130" width="1.77734375" style="136" customWidth="1"/>
    <col min="16131" max="16131" width="31.77734375" style="136" customWidth="1"/>
    <col min="16132" max="16132" width="13.109375" style="136" customWidth="1"/>
    <col min="16133" max="16133" width="6.77734375" style="136" customWidth="1"/>
    <col min="16134" max="16134" width="1.109375" style="136" customWidth="1"/>
    <col min="16135" max="16135" width="13.33203125" style="136" customWidth="1"/>
    <col min="16136" max="16136" width="6.6640625" style="136" customWidth="1"/>
    <col min="16137" max="16137" width="13.109375" style="136" customWidth="1"/>
    <col min="16138" max="16138" width="7" style="136" customWidth="1"/>
    <col min="16139" max="16139" width="13.33203125" style="136" customWidth="1"/>
    <col min="16140" max="16140" width="1.33203125" style="136" customWidth="1"/>
    <col min="16141" max="16141" width="3.109375" style="136" customWidth="1"/>
    <col min="16142" max="16142" width="10.33203125" style="136" customWidth="1"/>
    <col min="16143" max="16384" width="8.77734375" style="136"/>
  </cols>
  <sheetData>
    <row r="1" spans="2:17" ht="13.8">
      <c r="C1" s="96"/>
      <c r="E1" s="137"/>
      <c r="F1" s="137"/>
      <c r="G1" s="137"/>
      <c r="H1" s="137"/>
      <c r="I1" s="137"/>
      <c r="J1" s="137"/>
      <c r="K1" s="137"/>
      <c r="L1" s="137"/>
      <c r="M1" s="137"/>
    </row>
    <row r="2" spans="2:17" ht="13.8">
      <c r="B2" s="94" t="s">
        <v>258</v>
      </c>
      <c r="C2" s="163"/>
      <c r="D2" s="137"/>
      <c r="E2" s="137"/>
      <c r="F2" s="137"/>
      <c r="G2" s="137"/>
      <c r="H2" s="137"/>
      <c r="I2" s="137"/>
      <c r="J2" s="137"/>
      <c r="K2" s="137"/>
      <c r="L2" s="137"/>
      <c r="M2" s="137"/>
    </row>
    <row r="3" spans="2:17" ht="13.5" customHeight="1" thickBot="1">
      <c r="B3" s="410" t="s">
        <v>183</v>
      </c>
      <c r="C3" s="164"/>
      <c r="D3" s="139"/>
      <c r="E3" s="137"/>
      <c r="F3" s="137"/>
      <c r="G3" s="105" t="s">
        <v>255</v>
      </c>
      <c r="H3" s="105"/>
      <c r="I3" s="105" t="s">
        <v>256</v>
      </c>
      <c r="J3" s="105"/>
      <c r="K3" s="105" t="s">
        <v>257</v>
      </c>
      <c r="L3" s="137"/>
      <c r="M3" s="137"/>
    </row>
    <row r="4" spans="2:17" ht="6" customHeight="1" thickTop="1">
      <c r="B4" s="138"/>
      <c r="C4" s="140"/>
      <c r="D4" s="141"/>
      <c r="E4" s="141"/>
      <c r="F4" s="141"/>
      <c r="L4" s="142"/>
      <c r="M4" s="141"/>
    </row>
    <row r="5" spans="2:17" ht="12" customHeight="1">
      <c r="B5" s="138"/>
      <c r="C5" s="140"/>
      <c r="D5" s="168" t="s">
        <v>46</v>
      </c>
      <c r="E5" s="168"/>
      <c r="F5" s="168"/>
      <c r="G5" s="168" t="s">
        <v>259</v>
      </c>
      <c r="H5" s="168"/>
      <c r="I5" s="168" t="str">
        <f>G5</f>
        <v xml:space="preserve">Pro Forma </v>
      </c>
      <c r="J5" s="168"/>
      <c r="K5" s="168" t="str">
        <f>I5</f>
        <v xml:space="preserve">Pro Forma </v>
      </c>
      <c r="L5" s="142"/>
      <c r="M5" s="141"/>
    </row>
    <row r="6" spans="2:17" ht="14.4" thickBot="1">
      <c r="B6" s="138"/>
      <c r="C6" s="140"/>
      <c r="D6" s="169" t="s">
        <v>107</v>
      </c>
      <c r="E6" s="170"/>
      <c r="F6" s="170"/>
      <c r="G6" s="170" t="str">
        <f>D6</f>
        <v>FY24A</v>
      </c>
      <c r="H6" s="170"/>
      <c r="I6" s="170" t="str">
        <f>D6</f>
        <v>FY24A</v>
      </c>
      <c r="J6" s="170"/>
      <c r="K6" s="170" t="str">
        <f>D6</f>
        <v>FY24A</v>
      </c>
      <c r="L6" s="143"/>
      <c r="M6" s="141"/>
    </row>
    <row r="7" spans="2:17" ht="13.8">
      <c r="B7" s="95" t="s">
        <v>151</v>
      </c>
      <c r="C7" s="95"/>
      <c r="D7" s="166">
        <f>109180.5</f>
        <v>109180.5</v>
      </c>
      <c r="E7" s="144"/>
      <c r="F7" s="145"/>
      <c r="G7" s="167">
        <f>$D$7+G34</f>
        <v>120523.66285389016</v>
      </c>
      <c r="H7" s="167"/>
      <c r="I7" s="167">
        <f>$D$7+I34</f>
        <v>120523.66285389016</v>
      </c>
      <c r="J7" s="167"/>
      <c r="K7" s="167">
        <f>$D$7+K34</f>
        <v>120523.66285389016</v>
      </c>
      <c r="L7" s="141"/>
      <c r="M7" s="141"/>
    </row>
    <row r="8" spans="2:17" ht="13.8">
      <c r="B8" s="95" t="s">
        <v>207</v>
      </c>
      <c r="C8" s="95"/>
      <c r="D8" s="166">
        <f>21344.9</f>
        <v>21344.9</v>
      </c>
      <c r="E8" s="146"/>
      <c r="F8" s="146"/>
      <c r="G8" s="167">
        <f>$D$8+G33</f>
        <v>23562.5</v>
      </c>
      <c r="H8" s="167"/>
      <c r="I8" s="167">
        <f>$D$8+I33</f>
        <v>23562.5</v>
      </c>
      <c r="J8" s="167"/>
      <c r="K8" s="167">
        <f>$D$8+K33</f>
        <v>23562.5</v>
      </c>
      <c r="L8" s="145"/>
      <c r="O8" s="145"/>
      <c r="Q8" s="145"/>
    </row>
    <row r="9" spans="2:17" ht="13.8">
      <c r="B9" s="95" t="s">
        <v>208</v>
      </c>
      <c r="C9" s="95"/>
      <c r="D9" s="166">
        <f>4315.5</f>
        <v>4315.5</v>
      </c>
      <c r="E9" s="147"/>
      <c r="F9" s="145"/>
      <c r="G9" s="167">
        <f>$D$9+G31</f>
        <v>5959.2997804100232</v>
      </c>
      <c r="H9" s="167"/>
      <c r="I9" s="167">
        <f>$D$9+I31</f>
        <v>6159.9925804100221</v>
      </c>
      <c r="J9" s="167"/>
      <c r="K9" s="167">
        <f>$D$9+K31</f>
        <v>6360.6853804100228</v>
      </c>
      <c r="L9" s="145"/>
      <c r="O9" s="145"/>
      <c r="Q9" s="148"/>
    </row>
    <row r="10" spans="2:17" ht="13.8">
      <c r="B10" s="95"/>
      <c r="C10" s="95"/>
      <c r="D10" s="166"/>
      <c r="E10" s="145"/>
      <c r="F10" s="145"/>
      <c r="G10" s="167"/>
      <c r="H10" s="167"/>
      <c r="I10" s="167"/>
      <c r="J10" s="167"/>
      <c r="K10" s="167"/>
      <c r="L10" s="145"/>
      <c r="O10" s="145"/>
      <c r="Q10" s="145"/>
    </row>
    <row r="11" spans="2:17" ht="13.8">
      <c r="B11" s="95" t="s">
        <v>76</v>
      </c>
      <c r="C11" s="95"/>
      <c r="D11" s="285">
        <f>51772.9</f>
        <v>51772.9</v>
      </c>
      <c r="E11" s="144"/>
      <c r="F11" s="149"/>
      <c r="G11" s="167">
        <f>$D$11+G29</f>
        <v>71842.180000000008</v>
      </c>
      <c r="H11" s="167"/>
      <c r="I11" s="167">
        <f>$D$11+I29</f>
        <v>71842.180000000008</v>
      </c>
      <c r="J11" s="167"/>
      <c r="K11" s="167">
        <f>$D$11+K29</f>
        <v>71842.180000000008</v>
      </c>
      <c r="L11" s="149"/>
      <c r="O11" s="149"/>
      <c r="Q11" s="149"/>
    </row>
    <row r="12" spans="2:17" ht="13.8">
      <c r="B12" s="95" t="s">
        <v>209</v>
      </c>
      <c r="C12" s="95"/>
      <c r="D12" s="285">
        <f>53533.9</f>
        <v>53533.9</v>
      </c>
      <c r="E12" s="146"/>
      <c r="F12" s="149"/>
      <c r="G12" s="167">
        <f>D12</f>
        <v>53533.9</v>
      </c>
      <c r="H12" s="167"/>
      <c r="I12" s="167">
        <f>G12</f>
        <v>53533.9</v>
      </c>
      <c r="J12" s="167"/>
      <c r="K12" s="167">
        <f>I12</f>
        <v>53533.9</v>
      </c>
      <c r="L12" s="149"/>
      <c r="O12" s="149"/>
      <c r="Q12" s="149"/>
    </row>
    <row r="13" spans="2:17" ht="14.4" thickBot="1">
      <c r="B13" s="95"/>
      <c r="C13" s="95"/>
      <c r="D13" s="149"/>
      <c r="E13" s="149"/>
      <c r="F13" s="149"/>
      <c r="G13" s="149"/>
      <c r="H13" s="149"/>
      <c r="I13" s="149"/>
      <c r="J13" s="149"/>
      <c r="K13" s="149"/>
      <c r="L13" s="149"/>
      <c r="O13" s="149"/>
      <c r="Q13" s="149"/>
    </row>
    <row r="14" spans="2:17" ht="13.8">
      <c r="B14" s="196" t="s">
        <v>210</v>
      </c>
      <c r="C14" s="174"/>
      <c r="D14" s="206">
        <f>D11/D8</f>
        <v>2.4255395902534094</v>
      </c>
      <c r="E14" s="197"/>
      <c r="F14" s="197"/>
      <c r="G14" s="206">
        <f>G11/G8</f>
        <v>3.0490049867374007</v>
      </c>
      <c r="H14" s="197"/>
      <c r="I14" s="206">
        <f>I11/I8</f>
        <v>3.0490049867374007</v>
      </c>
      <c r="J14" s="197"/>
      <c r="K14" s="206">
        <f>K11/K8</f>
        <v>3.0490049867374007</v>
      </c>
      <c r="L14" s="198"/>
      <c r="O14" s="148"/>
      <c r="Q14" s="148"/>
    </row>
    <row r="15" spans="2:17" ht="13.8">
      <c r="B15" s="444" t="s">
        <v>211</v>
      </c>
      <c r="C15" s="95"/>
      <c r="D15" s="171">
        <f>D8/D9</f>
        <v>4.9461012628895844</v>
      </c>
      <c r="E15" s="171"/>
      <c r="F15" s="171"/>
      <c r="G15" s="445">
        <f>G8/G9</f>
        <v>3.9539041277058908</v>
      </c>
      <c r="H15" s="171"/>
      <c r="I15" s="445">
        <f>I8/I9</f>
        <v>3.8250857760662482</v>
      </c>
      <c r="J15" s="171"/>
      <c r="K15" s="445">
        <f>K8/K9</f>
        <v>3.704396396113073</v>
      </c>
      <c r="L15" s="199"/>
      <c r="O15" s="149"/>
      <c r="Q15" s="149"/>
    </row>
    <row r="16" spans="2:17" ht="13.8">
      <c r="B16" s="444" t="s">
        <v>212</v>
      </c>
      <c r="C16" s="95"/>
      <c r="D16" s="180">
        <f>D11/(D11+D12)</f>
        <v>0.4916387165881026</v>
      </c>
      <c r="E16" s="180"/>
      <c r="F16" s="180"/>
      <c r="G16" s="180">
        <f>G11/(G11+G12)</f>
        <v>0.57301344881735017</v>
      </c>
      <c r="H16" s="180"/>
      <c r="I16" s="180">
        <f>I11/(I11+I12)</f>
        <v>0.57301344881735017</v>
      </c>
      <c r="J16" s="180"/>
      <c r="K16" s="180">
        <f>K11/(K11+K12)</f>
        <v>0.57301344881735017</v>
      </c>
      <c r="L16" s="200"/>
      <c r="O16" s="148"/>
      <c r="Q16" s="148"/>
    </row>
    <row r="17" spans="1:17" hidden="1">
      <c r="B17" s="175"/>
      <c r="L17" s="177"/>
    </row>
    <row r="18" spans="1:17" hidden="1">
      <c r="A18" s="150"/>
      <c r="B18" s="201"/>
      <c r="C18" s="151"/>
      <c r="L18" s="177"/>
    </row>
    <row r="19" spans="1:17" s="152" customFormat="1" ht="11.25" hidden="1" customHeight="1">
      <c r="B19" s="202"/>
      <c r="L19" s="203"/>
    </row>
    <row r="20" spans="1:17" s="152" customFormat="1" ht="11.25" hidden="1" customHeight="1">
      <c r="B20" s="202"/>
      <c r="L20" s="203"/>
    </row>
    <row r="21" spans="1:17" ht="11.25" customHeight="1" thickBot="1">
      <c r="B21" s="204" t="str">
        <f>"(*) Assumes a purchase multiple of "&amp;G30&amp;"x EBITDA and an acquired EBITDA margin of "&amp;ROUND(G32*100,2)&amp;"%."</f>
        <v>(*) Assumes a purchase multiple of 9.05x EBITDA and an acquired EBITDA margin of 19.55%.</v>
      </c>
      <c r="C21" s="205"/>
      <c r="D21" s="181"/>
      <c r="E21" s="181"/>
      <c r="F21" s="181"/>
      <c r="G21" s="181"/>
      <c r="H21" s="181"/>
      <c r="I21" s="181"/>
      <c r="J21" s="181"/>
      <c r="K21" s="181"/>
      <c r="L21" s="182"/>
    </row>
    <row r="22" spans="1:17" ht="11.25" customHeight="1">
      <c r="C22" s="152"/>
    </row>
    <row r="23" spans="1:17" ht="13.8">
      <c r="B23" s="94" t="s">
        <v>260</v>
      </c>
      <c r="C23" s="163"/>
    </row>
    <row r="24" spans="1:17" ht="15" customHeight="1" thickBot="1">
      <c r="B24" s="165" t="s">
        <v>183</v>
      </c>
      <c r="C24" s="164"/>
      <c r="D24" s="448" t="s">
        <v>278</v>
      </c>
      <c r="E24" s="449"/>
      <c r="F24" s="497">
        <f>'Sources&amp;Uses'!C15/'Sources&amp;Uses'!C13</f>
        <v>0.92857142857142871</v>
      </c>
      <c r="G24" s="498"/>
      <c r="I24" s="448" t="s">
        <v>279</v>
      </c>
      <c r="J24" s="497">
        <f>1-F24</f>
        <v>7.1428571428571286E-2</v>
      </c>
      <c r="K24" s="498"/>
    </row>
    <row r="25" spans="1:17" ht="15" customHeight="1" thickTop="1">
      <c r="D25" s="448" t="s">
        <v>280</v>
      </c>
      <c r="E25" s="449"/>
      <c r="F25" s="499">
        <v>7.4999999999999997E-2</v>
      </c>
      <c r="G25" s="500"/>
      <c r="I25" s="448" t="s">
        <v>281</v>
      </c>
      <c r="J25" s="501">
        <f>'Discount rate'!M6</f>
        <v>0.17168772002484986</v>
      </c>
      <c r="K25" s="502"/>
    </row>
    <row r="27" spans="1:17" ht="13.8">
      <c r="G27" s="105" t="s">
        <v>255</v>
      </c>
      <c r="H27" s="105"/>
      <c r="I27" s="105" t="s">
        <v>256</v>
      </c>
      <c r="J27" s="105"/>
      <c r="K27" s="105" t="s">
        <v>257</v>
      </c>
    </row>
    <row r="28" spans="1:17" ht="13.8">
      <c r="B28" s="183"/>
      <c r="C28" s="184" t="s">
        <v>271</v>
      </c>
      <c r="D28" s="185"/>
      <c r="E28" s="185"/>
      <c r="F28" s="173"/>
      <c r="G28" s="450">
        <f>(F24*F25)+(J24*J25)</f>
        <v>8.1906265716060689E-2</v>
      </c>
      <c r="H28" s="450"/>
      <c r="I28" s="460">
        <f>G28+0.01</f>
        <v>9.1906265716060684E-2</v>
      </c>
      <c r="J28" s="450"/>
      <c r="K28" s="450">
        <f>I28+0.01</f>
        <v>0.10190626571606068</v>
      </c>
      <c r="L28" s="186"/>
    </row>
    <row r="29" spans="1:17" ht="13.8">
      <c r="B29" s="187"/>
      <c r="C29" s="95" t="s">
        <v>213</v>
      </c>
      <c r="G29" s="176">
        <f>'Sources&amp;Uses'!E21+'Sources&amp;Uses'!E22</f>
        <v>20069.280000000002</v>
      </c>
      <c r="H29" s="172"/>
      <c r="I29" s="176">
        <f>G29</f>
        <v>20069.280000000002</v>
      </c>
      <c r="J29" s="176"/>
      <c r="K29" s="176">
        <f>G29</f>
        <v>20069.280000000002</v>
      </c>
      <c r="L29" s="188"/>
    </row>
    <row r="30" spans="1:17" ht="13.8">
      <c r="B30" s="187"/>
      <c r="C30" s="95" t="s">
        <v>214</v>
      </c>
      <c r="D30" s="178"/>
      <c r="E30" s="178"/>
      <c r="G30" s="179">
        <f>'Sources&amp;Uses'!E7</f>
        <v>9.0500000000000007</v>
      </c>
      <c r="H30" s="179"/>
      <c r="I30" s="179">
        <f>G30</f>
        <v>9.0500000000000007</v>
      </c>
      <c r="J30" s="179"/>
      <c r="K30" s="179">
        <f>G30</f>
        <v>9.0500000000000007</v>
      </c>
      <c r="L30" s="189">
        <v>9.1</v>
      </c>
    </row>
    <row r="31" spans="1:17" ht="13.8">
      <c r="B31" s="187"/>
      <c r="C31" s="95" t="s">
        <v>215</v>
      </c>
      <c r="G31" s="176">
        <f>G29*G28</f>
        <v>1643.7997804100228</v>
      </c>
      <c r="H31" s="176"/>
      <c r="I31" s="176">
        <f>I29*I28</f>
        <v>1844.4925804100226</v>
      </c>
      <c r="J31" s="176"/>
      <c r="K31" s="176">
        <f>K29*K28</f>
        <v>2045.1853804100226</v>
      </c>
      <c r="L31" s="190"/>
      <c r="Q31" s="148"/>
    </row>
    <row r="32" spans="1:17" ht="13.8">
      <c r="B32" s="187"/>
      <c r="C32" s="95" t="s">
        <v>216</v>
      </c>
      <c r="E32" s="178"/>
      <c r="G32" s="180">
        <f>D8/D7</f>
        <v>0.19550102811399472</v>
      </c>
      <c r="I32" s="180">
        <f>G32</f>
        <v>0.19550102811399472</v>
      </c>
      <c r="J32" s="180"/>
      <c r="K32" s="180">
        <f>G32</f>
        <v>0.19550102811399472</v>
      </c>
      <c r="L32" s="188"/>
    </row>
    <row r="33" spans="1:12" ht="13.8">
      <c r="B33" s="187"/>
      <c r="C33" s="95" t="s">
        <v>217</v>
      </c>
      <c r="D33" s="178"/>
      <c r="E33" s="178"/>
      <c r="G33" s="176">
        <f>G29/G30</f>
        <v>2217.6</v>
      </c>
      <c r="H33" s="176"/>
      <c r="I33" s="176">
        <f>I29/I30</f>
        <v>2217.6</v>
      </c>
      <c r="J33" s="176"/>
      <c r="K33" s="176">
        <f>K29/K30</f>
        <v>2217.6</v>
      </c>
      <c r="L33" s="188"/>
    </row>
    <row r="34" spans="1:12" ht="13.8">
      <c r="B34" s="191"/>
      <c r="C34" s="192" t="s">
        <v>218</v>
      </c>
      <c r="D34" s="193"/>
      <c r="E34" s="193"/>
      <c r="F34" s="151"/>
      <c r="G34" s="194">
        <f>G33/$G$32</f>
        <v>11343.162853890155</v>
      </c>
      <c r="H34" s="194"/>
      <c r="I34" s="194">
        <f>I33/I32</f>
        <v>11343.162853890155</v>
      </c>
      <c r="J34" s="194"/>
      <c r="K34" s="194">
        <f>K33/K32</f>
        <v>11343.162853890155</v>
      </c>
      <c r="L34" s="195"/>
    </row>
    <row r="36" spans="1:12" ht="13.8" thickBot="1">
      <c r="B36" s="451" t="s">
        <v>268</v>
      </c>
      <c r="C36" s="452"/>
    </row>
    <row r="37" spans="1:12" ht="13.8" thickTop="1">
      <c r="A37" s="136" t="s">
        <v>0</v>
      </c>
      <c r="B37" s="172" t="s">
        <v>269</v>
      </c>
    </row>
    <row r="38" spans="1:12">
      <c r="B38" s="172" t="s">
        <v>270</v>
      </c>
    </row>
    <row r="39" spans="1:12">
      <c r="A39" s="172" t="s">
        <v>33</v>
      </c>
      <c r="B39" s="172" t="s">
        <v>283</v>
      </c>
    </row>
    <row r="40" spans="1:12">
      <c r="B40" s="446" t="s">
        <v>282</v>
      </c>
    </row>
    <row r="41" spans="1:12">
      <c r="A41" s="136" t="s">
        <v>34</v>
      </c>
      <c r="B41" s="172" t="s">
        <v>293</v>
      </c>
    </row>
  </sheetData>
  <mergeCells count="4">
    <mergeCell ref="F24:G24"/>
    <mergeCell ref="F25:G25"/>
    <mergeCell ref="J24:K24"/>
    <mergeCell ref="J25:K25"/>
  </mergeCells>
  <conditionalFormatting sqref="D15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0.63" bottom="0.53" header="0.22" footer="0.28999999999999998"/>
  <headerFooter alignWithMargins="0"/>
  <ignoredErrors>
    <ignoredError sqref="K31 I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Football field</vt:lpstr>
      <vt:lpstr>Trading comps</vt:lpstr>
      <vt:lpstr>Transaction comp</vt:lpstr>
      <vt:lpstr>DCF</vt:lpstr>
      <vt:lpstr>NWC</vt:lpstr>
      <vt:lpstr>Discount rate</vt:lpstr>
      <vt:lpstr>Net debt</vt:lpstr>
      <vt:lpstr>Sources&amp;Uses</vt:lpstr>
      <vt:lpstr>Capital structure change</vt:lpstr>
      <vt:lpstr>Ref.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Pattnaik_IIM RANCHI</dc:creator>
  <cp:lastModifiedBy>Milan Sahu BA021</cp:lastModifiedBy>
  <dcterms:created xsi:type="dcterms:W3CDTF">2024-08-24T03:50:53Z</dcterms:created>
  <dcterms:modified xsi:type="dcterms:W3CDTF">2024-09-26T14:13:04Z</dcterms:modified>
</cp:coreProperties>
</file>