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xfd1675_ox_ac_uk/Documents/"/>
    </mc:Choice>
  </mc:AlternateContent>
  <xr:revisionPtr revIDLastSave="0" documentId="8_{58CC3D46-C93A-40BA-8D0B-A045E95A45EB}" xr6:coauthVersionLast="47" xr6:coauthVersionMax="47" xr10:uidLastSave="{00000000-0000-0000-0000-000000000000}"/>
  <bookViews>
    <workbookView xWindow="44040" yWindow="-1500" windowWidth="30600" windowHeight="18880" firstSheet="2" activeTab="2" xr2:uid="{5D87D9BE-46B3-744F-AD0F-A345AA161C0D}"/>
    <workbookView xWindow="79520" yWindow="7040" windowWidth="21600" windowHeight="14680" firstSheet="1" activeTab="1" xr2:uid="{9701E62C-47F0-264C-AD08-16105A47692D}"/>
  </bookViews>
  <sheets>
    <sheet name="Dashboard" sheetId="1" r:id="rId1"/>
    <sheet name="Raw_Data" sheetId="2" r:id="rId2"/>
    <sheet name="Descriptives" sheetId="3" r:id="rId3"/>
    <sheet name="Histogram" sheetId="4" r:id="rId4"/>
    <sheet name="Pivot_Tables" sheetId="5" r:id="rId5"/>
    <sheet name="Boxplots" sheetId="6" r:id="rId6"/>
    <sheet name="Linear_Regression" sheetId="7" r:id="rId7"/>
    <sheet name="OR_RR" sheetId="8" r:id="rId8"/>
    <sheet name="Logistic_Regression" sheetId="11" r:id="rId9"/>
    <sheet name="Survival_Analysis" sheetId="12" r:id="rId10"/>
  </sheets>
  <definedNames>
    <definedName name="_xlchart.v1.0" hidden="1">Raw_Data!$C$2:$C$51</definedName>
    <definedName name="_xlchart.v1.1" hidden="1">Boxplots!$B$12</definedName>
    <definedName name="_xlchart.v1.2" hidden="1">Boxplots!$B$13:$B$34</definedName>
    <definedName name="_xlchart.v1.3" hidden="1">Boxplots!$C$12</definedName>
    <definedName name="_xlchart.v1.4" hidden="1">Boxplots!$C$13:$C$34</definedName>
    <definedName name="_xlchart.v1.5" hidden="1">Boxplots!$D$12</definedName>
    <definedName name="_xlchart.v1.6" hidden="1">Boxplots!$D$13:$D$34</definedName>
    <definedName name="solver_eng" localSheetId="8" hidden="1">1</definedName>
    <definedName name="solver_lin" localSheetId="8" hidden="1">2</definedName>
    <definedName name="solver_neg" localSheetId="8" hidden="1">1</definedName>
    <definedName name="solver_num" localSheetId="8" hidden="1">0</definedName>
    <definedName name="solver_opt" localSheetId="8" hidden="1">Logistic_Regression!$L$19</definedName>
    <definedName name="solver_typ" localSheetId="8" hidden="1">1</definedName>
    <definedName name="solver_val" localSheetId="8" hidden="1">0</definedName>
    <definedName name="solver_ver" localSheetId="8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2" l="1"/>
  <c r="E14" i="12"/>
  <c r="E15" i="12"/>
  <c r="E16" i="12"/>
  <c r="E17" i="12"/>
  <c r="D14" i="12"/>
  <c r="D15" i="12"/>
  <c r="D16" i="12"/>
  <c r="D17" i="12"/>
  <c r="E13" i="12"/>
  <c r="E11" i="12"/>
  <c r="E10" i="12"/>
  <c r="E9" i="12"/>
  <c r="D13" i="12"/>
  <c r="D12" i="12"/>
  <c r="D11" i="12"/>
  <c r="D10" i="12"/>
  <c r="D9" i="12"/>
  <c r="G9" i="11"/>
  <c r="H9" i="11" s="1"/>
  <c r="I9" i="11" s="1"/>
  <c r="J9" i="11" s="1"/>
  <c r="G10" i="11"/>
  <c r="H10" i="11" s="1"/>
  <c r="I10" i="11" s="1"/>
  <c r="J10" i="11" s="1"/>
  <c r="G11" i="11"/>
  <c r="H11" i="11" s="1"/>
  <c r="I11" i="11" s="1"/>
  <c r="J11" i="11" s="1"/>
  <c r="G12" i="11"/>
  <c r="H12" i="11" s="1"/>
  <c r="I12" i="11" s="1"/>
  <c r="J12" i="11" s="1"/>
  <c r="G13" i="11"/>
  <c r="H13" i="11" s="1"/>
  <c r="I13" i="11" s="1"/>
  <c r="J13" i="11" s="1"/>
  <c r="G14" i="11"/>
  <c r="H14" i="11" s="1"/>
  <c r="I14" i="11" s="1"/>
  <c r="J14" i="11" s="1"/>
  <c r="G15" i="11"/>
  <c r="H15" i="11" s="1"/>
  <c r="I15" i="11" s="1"/>
  <c r="J15" i="11" s="1"/>
  <c r="G16" i="11"/>
  <c r="H16" i="11" s="1"/>
  <c r="I16" i="11" s="1"/>
  <c r="J16" i="11" s="1"/>
  <c r="G17" i="11"/>
  <c r="H17" i="11" s="1"/>
  <c r="I17" i="11" s="1"/>
  <c r="J17" i="11" s="1"/>
  <c r="G18" i="11"/>
  <c r="H18" i="11" s="1"/>
  <c r="I18" i="11" s="1"/>
  <c r="J18" i="11" s="1"/>
  <c r="G19" i="11"/>
  <c r="H19" i="11" s="1"/>
  <c r="I19" i="11" s="1"/>
  <c r="J19" i="11" s="1"/>
  <c r="G20" i="11"/>
  <c r="H20" i="11" s="1"/>
  <c r="I20" i="11" s="1"/>
  <c r="J20" i="11" s="1"/>
  <c r="G21" i="11"/>
  <c r="H21" i="11" s="1"/>
  <c r="I21" i="11" s="1"/>
  <c r="J21" i="11" s="1"/>
  <c r="G22" i="11"/>
  <c r="H22" i="11" s="1"/>
  <c r="I22" i="11" s="1"/>
  <c r="J22" i="11" s="1"/>
  <c r="G23" i="11"/>
  <c r="H23" i="11" s="1"/>
  <c r="I23" i="11" s="1"/>
  <c r="J23" i="11" s="1"/>
  <c r="G24" i="11"/>
  <c r="H24" i="11" s="1"/>
  <c r="I24" i="11" s="1"/>
  <c r="J24" i="11" s="1"/>
  <c r="G25" i="11"/>
  <c r="H25" i="11" s="1"/>
  <c r="I25" i="11" s="1"/>
  <c r="J25" i="11" s="1"/>
  <c r="G26" i="11"/>
  <c r="H26" i="11" s="1"/>
  <c r="I26" i="11" s="1"/>
  <c r="J26" i="11" s="1"/>
  <c r="G27" i="11"/>
  <c r="H27" i="11" s="1"/>
  <c r="I27" i="11" s="1"/>
  <c r="J27" i="11" s="1"/>
  <c r="G28" i="11"/>
  <c r="H28" i="11" s="1"/>
  <c r="I28" i="11" s="1"/>
  <c r="J28" i="11" s="1"/>
  <c r="G29" i="11"/>
  <c r="H29" i="11" s="1"/>
  <c r="I29" i="11" s="1"/>
  <c r="J29" i="11" s="1"/>
  <c r="G30" i="11"/>
  <c r="H30" i="11" s="1"/>
  <c r="I30" i="11" s="1"/>
  <c r="J30" i="11" s="1"/>
  <c r="G31" i="11"/>
  <c r="H31" i="11" s="1"/>
  <c r="I31" i="11" s="1"/>
  <c r="J31" i="11" s="1"/>
  <c r="G32" i="11"/>
  <c r="H32" i="11" s="1"/>
  <c r="I32" i="11" s="1"/>
  <c r="J32" i="11" s="1"/>
  <c r="G33" i="11"/>
  <c r="H33" i="11" s="1"/>
  <c r="I33" i="11" s="1"/>
  <c r="J33" i="11" s="1"/>
  <c r="G34" i="11"/>
  <c r="H34" i="11" s="1"/>
  <c r="I34" i="11" s="1"/>
  <c r="J34" i="11" s="1"/>
  <c r="G35" i="11"/>
  <c r="H35" i="11" s="1"/>
  <c r="I35" i="11" s="1"/>
  <c r="J35" i="11" s="1"/>
  <c r="G36" i="11"/>
  <c r="H36" i="11" s="1"/>
  <c r="I36" i="11" s="1"/>
  <c r="J36" i="11" s="1"/>
  <c r="G37" i="11"/>
  <c r="H37" i="11" s="1"/>
  <c r="I37" i="11" s="1"/>
  <c r="J37" i="11" s="1"/>
  <c r="G38" i="11"/>
  <c r="H38" i="11" s="1"/>
  <c r="I38" i="11" s="1"/>
  <c r="J38" i="11" s="1"/>
  <c r="G39" i="11"/>
  <c r="H39" i="11" s="1"/>
  <c r="I39" i="11" s="1"/>
  <c r="J39" i="11" s="1"/>
  <c r="G40" i="11"/>
  <c r="H40" i="11" s="1"/>
  <c r="I40" i="11" s="1"/>
  <c r="J40" i="11" s="1"/>
  <c r="G41" i="11"/>
  <c r="H41" i="11" s="1"/>
  <c r="I41" i="11" s="1"/>
  <c r="J41" i="11" s="1"/>
  <c r="G42" i="11"/>
  <c r="H42" i="11" s="1"/>
  <c r="I42" i="11" s="1"/>
  <c r="J42" i="11" s="1"/>
  <c r="G43" i="11"/>
  <c r="H43" i="11" s="1"/>
  <c r="I43" i="11" s="1"/>
  <c r="J43" i="11" s="1"/>
  <c r="G44" i="11"/>
  <c r="H44" i="11" s="1"/>
  <c r="I44" i="11" s="1"/>
  <c r="J44" i="11" s="1"/>
  <c r="G45" i="11"/>
  <c r="H45" i="11" s="1"/>
  <c r="I45" i="11" s="1"/>
  <c r="J45" i="11" s="1"/>
  <c r="G46" i="11"/>
  <c r="H46" i="11" s="1"/>
  <c r="I46" i="11" s="1"/>
  <c r="J46" i="11" s="1"/>
  <c r="G47" i="11"/>
  <c r="H47" i="11" s="1"/>
  <c r="I47" i="11" s="1"/>
  <c r="J47" i="11" s="1"/>
  <c r="G48" i="11"/>
  <c r="H48" i="11" s="1"/>
  <c r="I48" i="11" s="1"/>
  <c r="J48" i="11" s="1"/>
  <c r="G49" i="11"/>
  <c r="H49" i="11" s="1"/>
  <c r="I49" i="11" s="1"/>
  <c r="J49" i="11" s="1"/>
  <c r="G50" i="11"/>
  <c r="H50" i="11" s="1"/>
  <c r="I50" i="11" s="1"/>
  <c r="J50" i="11" s="1"/>
  <c r="G51" i="11"/>
  <c r="H51" i="11" s="1"/>
  <c r="I51" i="11" s="1"/>
  <c r="J51" i="11" s="1"/>
  <c r="G52" i="11"/>
  <c r="H52" i="11" s="1"/>
  <c r="I52" i="11" s="1"/>
  <c r="J52" i="11" s="1"/>
  <c r="G53" i="11"/>
  <c r="H53" i="11" s="1"/>
  <c r="I53" i="11" s="1"/>
  <c r="J53" i="11" s="1"/>
  <c r="G54" i="11"/>
  <c r="H54" i="11" s="1"/>
  <c r="I54" i="11" s="1"/>
  <c r="J54" i="11" s="1"/>
  <c r="G55" i="11"/>
  <c r="H55" i="11" s="1"/>
  <c r="I55" i="11" s="1"/>
  <c r="J55" i="11" s="1"/>
  <c r="G56" i="11"/>
  <c r="H56" i="11" s="1"/>
  <c r="I56" i="11" s="1"/>
  <c r="J56" i="11" s="1"/>
  <c r="G57" i="11"/>
  <c r="H57" i="11" s="1"/>
  <c r="I57" i="11" s="1"/>
  <c r="J57" i="11" s="1"/>
  <c r="G8" i="11"/>
  <c r="H8" i="11" s="1"/>
  <c r="I8" i="11" s="1"/>
  <c r="J8" i="11" s="1"/>
  <c r="I14" i="8"/>
  <c r="G14" i="8"/>
  <c r="I13" i="8"/>
  <c r="G13" i="8"/>
  <c r="I9" i="8"/>
  <c r="J14" i="8"/>
  <c r="C14" i="8"/>
  <c r="C13" i="8"/>
  <c r="A14" i="8"/>
  <c r="A13" i="8"/>
  <c r="C8" i="8"/>
  <c r="B8" i="8"/>
  <c r="C7" i="8"/>
  <c r="B7" i="8"/>
  <c r="B14" i="3"/>
  <c r="B9" i="3"/>
  <c r="B8" i="3"/>
  <c r="B7" i="3"/>
  <c r="B6" i="3"/>
  <c r="B5" i="3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F17" i="12" l="1"/>
  <c r="F16" i="12"/>
  <c r="F15" i="12"/>
  <c r="F14" i="12"/>
  <c r="F11" i="12"/>
  <c r="F12" i="12"/>
  <c r="F10" i="12"/>
  <c r="F9" i="12"/>
  <c r="G9" i="12" s="1"/>
  <c r="F13" i="12"/>
  <c r="L14" i="11"/>
  <c r="H9" i="8"/>
  <c r="J9" i="8" s="1"/>
  <c r="J7" i="8"/>
  <c r="H13" i="8" s="1"/>
  <c r="J13" i="8"/>
  <c r="J15" i="8" s="1"/>
  <c r="J8" i="8"/>
  <c r="H14" i="8" s="1"/>
  <c r="D14" i="8"/>
  <c r="D13" i="8"/>
  <c r="C9" i="8"/>
  <c r="B9" i="8"/>
  <c r="D8" i="8"/>
  <c r="B14" i="8" s="1"/>
  <c r="D7" i="8"/>
  <c r="B13" i="8" s="1"/>
  <c r="D13" i="6" a="1"/>
  <c r="B13" i="6" a="1"/>
  <c r="B13" i="6" s="1"/>
  <c r="C13" i="6" a="1"/>
  <c r="C13" i="6" s="1"/>
  <c r="C41" i="6" s="1"/>
  <c r="G10" i="12" l="1"/>
  <c r="G11" i="12" s="1"/>
  <c r="G12" i="12" s="1"/>
  <c r="G13" i="12" s="1"/>
  <c r="G14" i="12" s="1"/>
  <c r="G15" i="12" s="1"/>
  <c r="G16" i="12" s="1"/>
  <c r="G17" i="12" s="1"/>
  <c r="D15" i="8"/>
  <c r="H15" i="8"/>
  <c r="B15" i="8"/>
  <c r="D9" i="8"/>
  <c r="D13" i="6"/>
  <c r="B42" i="6"/>
  <c r="B44" i="6"/>
  <c r="C40" i="6"/>
  <c r="C42" i="6"/>
  <c r="B40" i="6"/>
  <c r="B41" i="6"/>
  <c r="D41" i="6" l="1"/>
  <c r="B45" i="6"/>
  <c r="D42" i="6"/>
  <c r="D4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<sst xmlns="http://schemas.openxmlformats.org/spreadsheetml/2006/main" count="300" uniqueCount="171">
  <si>
    <t>Understanding Springfield</t>
  </si>
  <si>
    <t>Raw Data</t>
  </si>
  <si>
    <t>Descriptives</t>
  </si>
  <si>
    <t>Histogram</t>
  </si>
  <si>
    <t>Pivot tables</t>
  </si>
  <si>
    <t>Boxplots and T-Tests</t>
  </si>
  <si>
    <t>Linear Regression</t>
  </si>
  <si>
    <t xml:space="preserve">OR and RR </t>
  </si>
  <si>
    <t>Logistic Regression</t>
  </si>
  <si>
    <t xml:space="preserve">Survival Analysis </t>
  </si>
  <si>
    <t>Character</t>
  </si>
  <si>
    <t>Job_type</t>
  </si>
  <si>
    <t>Sleep_hours</t>
  </si>
  <si>
    <t>Duff_beers</t>
  </si>
  <si>
    <t>Cigarettes_per_day</t>
  </si>
  <si>
    <t>Donuts_per_day</t>
  </si>
  <si>
    <t>Work_ethic</t>
  </si>
  <si>
    <t>Anger_level</t>
  </si>
  <si>
    <t>Productivity_score</t>
  </si>
  <si>
    <t>Fired</t>
  </si>
  <si>
    <t>Fired_time_days</t>
  </si>
  <si>
    <t>Duff_level</t>
  </si>
  <si>
    <t>Homer Simpson</t>
  </si>
  <si>
    <t>Nuclear Plant</t>
  </si>
  <si>
    <t>Marge Simpson</t>
  </si>
  <si>
    <t>Home</t>
  </si>
  <si>
    <t>Bart Simpson</t>
  </si>
  <si>
    <t>Child</t>
  </si>
  <si>
    <t>Lisa Simpson</t>
  </si>
  <si>
    <t>Maggie Simpson</t>
  </si>
  <si>
    <t>Abe Simpson</t>
  </si>
  <si>
    <t>Retirement</t>
  </si>
  <si>
    <t>Mr Burns</t>
  </si>
  <si>
    <t>Smithers</t>
  </si>
  <si>
    <t>Ned Flanders</t>
  </si>
  <si>
    <t>Church</t>
  </si>
  <si>
    <t>Maude Flanders</t>
  </si>
  <si>
    <t>Rod Flanders</t>
  </si>
  <si>
    <t>Todd Flanders</t>
  </si>
  <si>
    <t>Milhouse Van Houten</t>
  </si>
  <si>
    <t>Nelson Muntz</t>
  </si>
  <si>
    <t>Ralph Wiggum</t>
  </si>
  <si>
    <t>Apu Nahasapeemapetilon</t>
  </si>
  <si>
    <t>Retail</t>
  </si>
  <si>
    <t>Moe Szyslak</t>
  </si>
  <si>
    <t>Tavern</t>
  </si>
  <si>
    <t>Barney Gumble</t>
  </si>
  <si>
    <t>Krusty the Clown</t>
  </si>
  <si>
    <t>Entertainment</t>
  </si>
  <si>
    <t>Chief Wiggum</t>
  </si>
  <si>
    <t>Police</t>
  </si>
  <si>
    <t>Dr Hibbert</t>
  </si>
  <si>
    <t>Medical</t>
  </si>
  <si>
    <t>Principal Skinner</t>
  </si>
  <si>
    <t>School</t>
  </si>
  <si>
    <t>Edna Krabappel</t>
  </si>
  <si>
    <t>Comic Book Guy</t>
  </si>
  <si>
    <t>Groundskeeper Willie</t>
  </si>
  <si>
    <t>Reverend Lovejoy</t>
  </si>
  <si>
    <t>Patty Bouvier</t>
  </si>
  <si>
    <t>Government</t>
  </si>
  <si>
    <t>Selma Bouvier</t>
  </si>
  <si>
    <t>Sideshow Bob</t>
  </si>
  <si>
    <t>Troy McClure</t>
  </si>
  <si>
    <t>Lenny Leonard</t>
  </si>
  <si>
    <t>Carl Carlson</t>
  </si>
  <si>
    <t>Otto Mann</t>
  </si>
  <si>
    <t>Transport</t>
  </si>
  <si>
    <t>Disco Stu</t>
  </si>
  <si>
    <t>Snake Jailbird</t>
  </si>
  <si>
    <t>Unemployed</t>
  </si>
  <si>
    <t>Kent Brockman</t>
  </si>
  <si>
    <t>Media</t>
  </si>
  <si>
    <t>Dr Nick Riviera</t>
  </si>
  <si>
    <t>Agnes Skinner</t>
  </si>
  <si>
    <t>Helen Lovejoy</t>
  </si>
  <si>
    <t>Cletus Spuckler</t>
  </si>
  <si>
    <t>Agriculture</t>
  </si>
  <si>
    <t>Brandine Spuckler</t>
  </si>
  <si>
    <t>Jasper Beardly</t>
  </si>
  <si>
    <t>Kirk Van Houten</t>
  </si>
  <si>
    <t>Luann Van Houten</t>
  </si>
  <si>
    <t>Gil Gunderson</t>
  </si>
  <si>
    <t>Sales</t>
  </si>
  <si>
    <t>Hans Moleman</t>
  </si>
  <si>
    <t>Rainier Wolfcastle</t>
  </si>
  <si>
    <t>Mayor Quimby</t>
  </si>
  <si>
    <t>Lionel Hutz</t>
  </si>
  <si>
    <t>Law</t>
  </si>
  <si>
    <t>Martin Prince</t>
  </si>
  <si>
    <t xml:space="preserve">What do some of these behaviours in Springfield look like? </t>
  </si>
  <si>
    <t>Look at the formulae in the filled cells. 
Try to complete the rest.</t>
  </si>
  <si>
    <t>Some Descriptives</t>
  </si>
  <si>
    <t>Mean</t>
  </si>
  <si>
    <t>Median</t>
  </si>
  <si>
    <t>SD</t>
  </si>
  <si>
    <t>Min</t>
  </si>
  <si>
    <t>Max</t>
  </si>
  <si>
    <t>Correlations</t>
  </si>
  <si>
    <t>Duff v Cigarettes</t>
  </si>
  <si>
    <t>Duff v Sleep</t>
  </si>
  <si>
    <t xml:space="preserve">ToolPak </t>
  </si>
  <si>
    <t>Data → Data Analysis → Descriptive Statistics</t>
  </si>
  <si>
    <t>Tick Summary statistics</t>
  </si>
  <si>
    <t>How are some of these behaviours distributed?</t>
  </si>
  <si>
    <t>1. Insert &gt; chart &gt; histogram.</t>
  </si>
  <si>
    <t>2. Select data &gt; any column in raw_data.</t>
  </si>
  <si>
    <t>3. Set the bin width.</t>
  </si>
  <si>
    <t>4. Explore formatting options.</t>
  </si>
  <si>
    <t>5. Describe the shape.</t>
  </si>
  <si>
    <t>How to quickly compare groups?</t>
  </si>
  <si>
    <t>1. Create a Smoker_Level column in the raw data (see how Duff_level was made).</t>
  </si>
  <si>
    <t>2. Insert a pivot table (this will create a new worksheet…that is okay).</t>
  </si>
  <si>
    <r>
      <t xml:space="preserve">3. Set a categorical variable as a </t>
    </r>
    <r>
      <rPr>
        <b/>
        <sz val="12"/>
        <color theme="1"/>
        <rFont val="Aptos Narrow"/>
        <scheme val="minor"/>
      </rPr>
      <t>group</t>
    </r>
    <r>
      <rPr>
        <sz val="12"/>
        <color theme="1"/>
        <rFont val="Aptos Narrow"/>
        <family val="2"/>
        <scheme val="minor"/>
      </rPr>
      <t>.</t>
    </r>
  </si>
  <si>
    <r>
      <t xml:space="preserve">4. Set a continuous variable as </t>
    </r>
    <r>
      <rPr>
        <b/>
        <sz val="12"/>
        <color theme="1"/>
        <rFont val="Aptos Narrow"/>
        <scheme val="minor"/>
      </rPr>
      <t>values</t>
    </r>
    <r>
      <rPr>
        <sz val="12"/>
        <color theme="1"/>
        <rFont val="Aptos Narrow"/>
        <family val="2"/>
        <scheme val="minor"/>
      </rPr>
      <t xml:space="preserve"> = average Productivity, average Sleep, average Duff.</t>
    </r>
  </si>
  <si>
    <t>5. Explore.</t>
  </si>
  <si>
    <t>Do these behaviour subgroups show different levels of productivity?</t>
  </si>
  <si>
    <t>1. Use the filter function to bring in productivity values by each category (example below).</t>
  </si>
  <si>
    <t>2. Highlight &gt; insert &gt; charts &gt; boxplot</t>
  </si>
  <si>
    <t>3. Explore formatting options</t>
  </si>
  <si>
    <t>3. Make a summary table.</t>
  </si>
  <si>
    <t>Duff: High</t>
  </si>
  <si>
    <t>Duff: Moderate</t>
  </si>
  <si>
    <t>Duff: Low</t>
  </si>
  <si>
    <t>Cat 1</t>
  </si>
  <si>
    <t xml:space="preserve">Cat 2 </t>
  </si>
  <si>
    <t>Cat 3</t>
  </si>
  <si>
    <t>Summary</t>
  </si>
  <si>
    <t>Metric</t>
  </si>
  <si>
    <t>T-Test High v Mod</t>
  </si>
  <si>
    <t>T-Test Mod  v Low</t>
  </si>
  <si>
    <t>Cat 2</t>
  </si>
  <si>
    <t xml:space="preserve">How are these behaviours associated with productivity? </t>
  </si>
  <si>
    <t>1. Insert &gt; chart &gt; scatter.</t>
  </si>
  <si>
    <t>2. Select data &gt; choose variables from raw_data (hold cmd/ctrl to select non-adjacent columns).</t>
  </si>
  <si>
    <t>3. Add a trendline (chart elements). Use slope, intercept and Rsq to summarise the line.</t>
  </si>
  <si>
    <t>Data → Data Analysis → Regressions</t>
  </si>
  <si>
    <t>Select Y, then all for X (need to be contiguous)</t>
  </si>
  <si>
    <t>What are the risks, and odds, of getting fired?</t>
  </si>
  <si>
    <t>Look at the formulae in the filled cells. Try to compile your own 2x2.</t>
  </si>
  <si>
    <t>Group</t>
  </si>
  <si>
    <t>Not Fired</t>
  </si>
  <si>
    <t>Total</t>
  </si>
  <si>
    <t>Outcome</t>
  </si>
  <si>
    <t>Not</t>
  </si>
  <si>
    <t>Duff &gt;=3</t>
  </si>
  <si>
    <t>Category</t>
  </si>
  <si>
    <t>Other</t>
  </si>
  <si>
    <t>Risks</t>
  </si>
  <si>
    <t>Odds</t>
  </si>
  <si>
    <t>RR</t>
  </si>
  <si>
    <t>OR</t>
  </si>
  <si>
    <t>When do people get fired?</t>
  </si>
  <si>
    <t>Excel lacks built-in logistic regression, so we need to go through the steps manually 😓</t>
  </si>
  <si>
    <t>Solver calculates regression coefficients.</t>
  </si>
  <si>
    <t>Sleep</t>
  </si>
  <si>
    <t>Duff</t>
  </si>
  <si>
    <t>Cigarettes</t>
  </si>
  <si>
    <t>Logit</t>
  </si>
  <si>
    <t>Exp(Logit)</t>
  </si>
  <si>
    <t>Probability</t>
  </si>
  <si>
    <t>Log-Likelihood</t>
  </si>
  <si>
    <t>Intercept</t>
  </si>
  <si>
    <t>Total Log-Likelihood</t>
  </si>
  <si>
    <t>Excel lacks built-in survival analysis, so Kaplan-Meier needs to be manually calculated step-by-step 😭</t>
  </si>
  <si>
    <t>Time</t>
  </si>
  <si>
    <t>At risk</t>
  </si>
  <si>
    <t>Events</t>
  </si>
  <si>
    <t>Step</t>
  </si>
  <si>
    <t>S(t)</t>
  </si>
  <si>
    <t>This is missing a step to fix the step-wise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</si>
</sst>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28"/>
      <color rgb="FFC00000"/>
      <name val="Aptos Narrow"/>
      <family val="2"/>
      <scheme val="minor"/>
    </font>
    <font>
      <b/>
      <sz val="14"/>
      <color theme="1"/>
      <name val="Aptos Narrow"/>
      <scheme val="minor"/>
    </font>
    <font>
      <sz val="20"/>
      <color rgb="FFC00000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  <font>
      <sz val="12"/>
      <name val="Aptos Narrow"/>
      <family val="2"/>
      <scheme val="minor"/>
    </font>
    <font>
      <b/>
      <i/>
      <sz val="12"/>
      <name val="Aptos Narrow"/>
      <scheme val="minor"/>
    </font>
    <font>
      <b/>
      <i/>
      <sz val="11"/>
      <name val="Calibri"/>
      <family val="2"/>
    </font>
    <font>
      <i/>
      <sz val="12"/>
      <name val="Aptos Narrow"/>
      <scheme val="minor"/>
    </font>
    <font>
      <i/>
      <u/>
      <sz val="16"/>
      <color theme="10"/>
      <name val="Aptos Narrow"/>
      <scheme val="minor"/>
    </font>
    <font>
      <sz val="12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1" applyFont="1"/>
    <xf numFmtId="0" fontId="2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6" fillId="0" borderId="0" xfId="0" applyFont="1"/>
    <xf numFmtId="0" fontId="6" fillId="2" borderId="0" xfId="0" applyFont="1" applyFill="1"/>
    <xf numFmtId="0" fontId="7" fillId="3" borderId="0" xfId="0" applyFont="1" applyFill="1"/>
    <xf numFmtId="0" fontId="9" fillId="0" borderId="0" xfId="0" applyFont="1"/>
    <xf numFmtId="0" fontId="10" fillId="0" borderId="0" xfId="0" applyFont="1"/>
    <xf numFmtId="0" fontId="10" fillId="2" borderId="1" xfId="0" applyFont="1" applyFill="1" applyBorder="1"/>
    <xf numFmtId="0" fontId="0" fillId="0" borderId="1" xfId="0" applyBorder="1"/>
    <xf numFmtId="0" fontId="0" fillId="0" borderId="0" xfId="0" applyAlignment="1">
      <alignment vertical="center"/>
    </xf>
    <xf numFmtId="0" fontId="0" fillId="2" borderId="1" xfId="0" applyFill="1" applyBorder="1"/>
    <xf numFmtId="0" fontId="11" fillId="2" borderId="0" xfId="0" applyFont="1" applyFill="1"/>
    <xf numFmtId="0" fontId="10" fillId="2" borderId="1" xfId="0" applyFont="1" applyFill="1" applyBorder="1" applyAlignment="1">
      <alignment horizontal="right"/>
    </xf>
    <xf numFmtId="0" fontId="9" fillId="4" borderId="6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right"/>
    </xf>
    <xf numFmtId="0" fontId="0" fillId="5" borderId="1" xfId="0" applyFill="1" applyBorder="1"/>
    <xf numFmtId="0" fontId="0" fillId="2" borderId="1" xfId="0" applyFill="1" applyBorder="1" applyAlignment="1">
      <alignment horizontal="right"/>
    </xf>
    <xf numFmtId="0" fontId="9" fillId="4" borderId="2" xfId="0" applyFont="1" applyFill="1" applyBorder="1"/>
    <xf numFmtId="0" fontId="0" fillId="4" borderId="9" xfId="0" applyFill="1" applyBorder="1"/>
    <xf numFmtId="0" fontId="0" fillId="4" borderId="3" xfId="0" applyFill="1" applyBorder="1"/>
    <xf numFmtId="0" fontId="0" fillId="4" borderId="10" xfId="0" applyFill="1" applyBorder="1"/>
    <xf numFmtId="0" fontId="0" fillId="4" borderId="0" xfId="0" applyFill="1"/>
    <xf numFmtId="0" fontId="0" fillId="4" borderId="11" xfId="0" applyFill="1" applyBorder="1"/>
    <xf numFmtId="0" fontId="0" fillId="4" borderId="4" xfId="0" applyFill="1" applyBorder="1"/>
    <xf numFmtId="0" fontId="0" fillId="4" borderId="12" xfId="0" applyFill="1" applyBorder="1"/>
    <xf numFmtId="0" fontId="0" fillId="4" borderId="5" xfId="0" applyFill="1" applyBorder="1"/>
    <xf numFmtId="0" fontId="0" fillId="6" borderId="1" xfId="0" applyFill="1" applyBorder="1"/>
    <xf numFmtId="0" fontId="12" fillId="2" borderId="1" xfId="0" applyFont="1" applyFill="1" applyBorder="1"/>
    <xf numFmtId="0" fontId="0" fillId="4" borderId="1" xfId="0" applyFill="1" applyBorder="1"/>
    <xf numFmtId="0" fontId="12" fillId="2" borderId="1" xfId="0" applyFont="1" applyFill="1" applyBorder="1" applyAlignment="1">
      <alignment horizontal="right"/>
    </xf>
    <xf numFmtId="0" fontId="12" fillId="4" borderId="1" xfId="0" applyFont="1" applyFill="1" applyBorder="1"/>
    <xf numFmtId="0" fontId="12" fillId="5" borderId="1" xfId="0" applyFont="1" applyFill="1" applyBorder="1"/>
    <xf numFmtId="164" fontId="0" fillId="0" borderId="1" xfId="0" applyNumberFormat="1" applyBorder="1"/>
    <xf numFmtId="164" fontId="0" fillId="5" borderId="1" xfId="0" applyNumberFormat="1" applyFill="1" applyBorder="1"/>
    <xf numFmtId="0" fontId="1" fillId="3" borderId="0" xfId="1" applyFill="1"/>
    <xf numFmtId="0" fontId="12" fillId="0" borderId="0" xfId="0" applyFont="1"/>
    <xf numFmtId="0" fontId="12" fillId="0" borderId="0" xfId="0" applyFont="1" applyAlignment="1">
      <alignment horizontal="right"/>
    </xf>
    <xf numFmtId="164" fontId="0" fillId="0" borderId="0" xfId="0" applyNumberFormat="1"/>
    <xf numFmtId="0" fontId="13" fillId="0" borderId="0" xfId="0" applyFont="1"/>
    <xf numFmtId="0" fontId="14" fillId="0" borderId="0" xfId="0" applyFont="1" applyAlignment="1">
      <alignment horizontal="right"/>
    </xf>
    <xf numFmtId="0" fontId="15" fillId="0" borderId="0" xfId="0" applyFont="1"/>
    <xf numFmtId="0" fontId="14" fillId="0" borderId="0" xfId="0" applyFont="1"/>
    <xf numFmtId="164" fontId="13" fillId="0" borderId="0" xfId="0" applyNumberFormat="1" applyFont="1"/>
    <xf numFmtId="165" fontId="13" fillId="0" borderId="0" xfId="0" applyNumberFormat="1" applyFont="1"/>
    <xf numFmtId="0" fontId="17" fillId="0" borderId="0" xfId="1" applyFont="1"/>
    <xf numFmtId="0" fontId="13" fillId="4" borderId="1" xfId="0" applyFont="1" applyFill="1" applyBorder="1"/>
    <xf numFmtId="0" fontId="13" fillId="0" borderId="1" xfId="0" applyFont="1" applyBorder="1"/>
    <xf numFmtId="0" fontId="13" fillId="5" borderId="1" xfId="0" applyFont="1" applyFill="1" applyBorder="1"/>
    <xf numFmtId="0" fontId="8" fillId="2" borderId="1" xfId="0" applyFont="1" applyFill="1" applyBorder="1"/>
    <xf numFmtId="0" fontId="16" fillId="0" borderId="0" xfId="0" applyFont="1"/>
    <xf numFmtId="0" fontId="8" fillId="2" borderId="1" xfId="0" applyFont="1" applyFill="1" applyBorder="1" applyAlignment="1">
      <alignment horizontal="right"/>
    </xf>
    <xf numFmtId="0" fontId="18" fillId="0" borderId="1" xfId="0" applyFont="1" applyBorder="1"/>
  </cellXfs>
  <cellStyles count="2">
    <cellStyle name="Hyperlink" xfId="1" builtinId="8"/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Doughnut Consumption vs Productivity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Raw_Data!$I$1</c:f>
              <c:strCache>
                <c:ptCount val="1"/>
                <c:pt idx="0">
                  <c:v>Productivity_score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Raw_Data!$F$2:$F$51</c:f>
              <c:numCache>
                <c:formatCode>General</c:formatCode>
                <c:ptCount val="50"/>
                <c:pt idx="0">
                  <c:v>8</c:v>
                </c:pt>
                <c:pt idx="1">
                  <c:v>0</c:v>
                </c:pt>
                <c:pt idx="2">
                  <c:v>9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7</c:v>
                </c:pt>
                <c:pt idx="14">
                  <c:v>3</c:v>
                </c:pt>
                <c:pt idx="15">
                  <c:v>0</c:v>
                </c:pt>
                <c:pt idx="16">
                  <c:v>4</c:v>
                </c:pt>
                <c:pt idx="17">
                  <c:v>7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4</c:v>
                </c:pt>
                <c:pt idx="24">
                  <c:v>4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0</c:v>
                </c:pt>
                <c:pt idx="30">
                  <c:v>4</c:v>
                </c:pt>
                <c:pt idx="31">
                  <c:v>3</c:v>
                </c:pt>
                <c:pt idx="32">
                  <c:v>7</c:v>
                </c:pt>
                <c:pt idx="33">
                  <c:v>8</c:v>
                </c:pt>
                <c:pt idx="34">
                  <c:v>7</c:v>
                </c:pt>
                <c:pt idx="35">
                  <c:v>2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6</c:v>
                </c:pt>
                <c:pt idx="40">
                  <c:v>6</c:v>
                </c:pt>
                <c:pt idx="41">
                  <c:v>2</c:v>
                </c:pt>
                <c:pt idx="42">
                  <c:v>5</c:v>
                </c:pt>
                <c:pt idx="43">
                  <c:v>2</c:v>
                </c:pt>
                <c:pt idx="44">
                  <c:v>11</c:v>
                </c:pt>
                <c:pt idx="45">
                  <c:v>5</c:v>
                </c:pt>
                <c:pt idx="46">
                  <c:v>1</c:v>
                </c:pt>
                <c:pt idx="47">
                  <c:v>3</c:v>
                </c:pt>
                <c:pt idx="48">
                  <c:v>11</c:v>
                </c:pt>
                <c:pt idx="49">
                  <c:v>1</c:v>
                </c:pt>
              </c:numCache>
            </c:numRef>
          </c:xVal>
          <c:yVal>
            <c:numRef>
              <c:f>Raw_Data!$I$2:$I$51</c:f>
              <c:numCache>
                <c:formatCode>General</c:formatCode>
                <c:ptCount val="50"/>
                <c:pt idx="0">
                  <c:v>30</c:v>
                </c:pt>
                <c:pt idx="1">
                  <c:v>83</c:v>
                </c:pt>
                <c:pt idx="2">
                  <c:v>36</c:v>
                </c:pt>
                <c:pt idx="3">
                  <c:v>97</c:v>
                </c:pt>
                <c:pt idx="4">
                  <c:v>98</c:v>
                </c:pt>
                <c:pt idx="5">
                  <c:v>55</c:v>
                </c:pt>
                <c:pt idx="6">
                  <c:v>63</c:v>
                </c:pt>
                <c:pt idx="7">
                  <c:v>91</c:v>
                </c:pt>
                <c:pt idx="8">
                  <c:v>98</c:v>
                </c:pt>
                <c:pt idx="9">
                  <c:v>84</c:v>
                </c:pt>
                <c:pt idx="10">
                  <c:v>85</c:v>
                </c:pt>
                <c:pt idx="11">
                  <c:v>82</c:v>
                </c:pt>
                <c:pt idx="12">
                  <c:v>61</c:v>
                </c:pt>
                <c:pt idx="13">
                  <c:v>31</c:v>
                </c:pt>
                <c:pt idx="14">
                  <c:v>36</c:v>
                </c:pt>
                <c:pt idx="15">
                  <c:v>89</c:v>
                </c:pt>
                <c:pt idx="16">
                  <c:v>30</c:v>
                </c:pt>
                <c:pt idx="17">
                  <c:v>34</c:v>
                </c:pt>
                <c:pt idx="18">
                  <c:v>60</c:v>
                </c:pt>
                <c:pt idx="19">
                  <c:v>27</c:v>
                </c:pt>
                <c:pt idx="20">
                  <c:v>96</c:v>
                </c:pt>
                <c:pt idx="21">
                  <c:v>97</c:v>
                </c:pt>
                <c:pt idx="22">
                  <c:v>91</c:v>
                </c:pt>
                <c:pt idx="23">
                  <c:v>69</c:v>
                </c:pt>
                <c:pt idx="24">
                  <c:v>67</c:v>
                </c:pt>
                <c:pt idx="25">
                  <c:v>89</c:v>
                </c:pt>
                <c:pt idx="26">
                  <c:v>61</c:v>
                </c:pt>
                <c:pt idx="27">
                  <c:v>59</c:v>
                </c:pt>
                <c:pt idx="28">
                  <c:v>67</c:v>
                </c:pt>
                <c:pt idx="29">
                  <c:v>91</c:v>
                </c:pt>
                <c:pt idx="30">
                  <c:v>65</c:v>
                </c:pt>
                <c:pt idx="31">
                  <c:v>62</c:v>
                </c:pt>
                <c:pt idx="32">
                  <c:v>30</c:v>
                </c:pt>
                <c:pt idx="33">
                  <c:v>54</c:v>
                </c:pt>
                <c:pt idx="34">
                  <c:v>30</c:v>
                </c:pt>
                <c:pt idx="35">
                  <c:v>93</c:v>
                </c:pt>
                <c:pt idx="36">
                  <c:v>80</c:v>
                </c:pt>
                <c:pt idx="37">
                  <c:v>55</c:v>
                </c:pt>
                <c:pt idx="38">
                  <c:v>95</c:v>
                </c:pt>
                <c:pt idx="39">
                  <c:v>35</c:v>
                </c:pt>
                <c:pt idx="40">
                  <c:v>31</c:v>
                </c:pt>
                <c:pt idx="41">
                  <c:v>62</c:v>
                </c:pt>
                <c:pt idx="42">
                  <c:v>30</c:v>
                </c:pt>
                <c:pt idx="43">
                  <c:v>62</c:v>
                </c:pt>
                <c:pt idx="44">
                  <c:v>45</c:v>
                </c:pt>
                <c:pt idx="45">
                  <c:v>65</c:v>
                </c:pt>
                <c:pt idx="46">
                  <c:v>92</c:v>
                </c:pt>
                <c:pt idx="47">
                  <c:v>66</c:v>
                </c:pt>
                <c:pt idx="48">
                  <c:v>29</c:v>
                </c:pt>
                <c:pt idx="49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D5-854B-8160-23CC0AA4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333951"/>
        <c:axId val="106317120"/>
      </c:scatterChart>
      <c:valAx>
        <c:axId val="203233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Doughnuts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17120"/>
        <c:crosses val="autoZero"/>
        <c:crossBetween val="midCat"/>
      </c:valAx>
      <c:valAx>
        <c:axId val="10631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3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Survival_Analysis!$G$8</c:f>
              <c:strCache>
                <c:ptCount val="1"/>
                <c:pt idx="0">
                  <c:v>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Survival_Analysis!$C$9:$C$17</c:f>
              <c:numCache>
                <c:formatCode>General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</c:numCache>
            </c:numRef>
          </c:xVal>
          <c:yVal>
            <c:numRef>
              <c:f>Survival_Analysis!$G$9:$G$17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0.97872340425531912</c:v>
                </c:pt>
                <c:pt idx="3">
                  <c:v>0.97872340425531912</c:v>
                </c:pt>
                <c:pt idx="4">
                  <c:v>0.89716312056737579</c:v>
                </c:pt>
                <c:pt idx="5">
                  <c:v>0.85638297872340419</c:v>
                </c:pt>
                <c:pt idx="6">
                  <c:v>0.85638297872340419</c:v>
                </c:pt>
                <c:pt idx="7">
                  <c:v>0.85638297872340419</c:v>
                </c:pt>
                <c:pt idx="8">
                  <c:v>0.85638297872340419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E1-3D4C-9DF7-25874F624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867135"/>
        <c:axId val="2031865791"/>
      </c:scatterChart>
      <c:valAx>
        <c:axId val="203186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865791"/>
        <c:crosses val="autoZero"/>
        <c:crossBetween val="midCat"/>
      </c:valAx>
      <c:valAx>
        <c:axId val="203186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86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 of Sleep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Sleep </a:t>
          </a:r>
        </a:p>
      </cx:txPr>
    </cx:title>
    <cx:plotArea>
      <cx:plotAreaRegion>
        <cx:series layoutId="clusteredColumn" uniqueId="{71626DB6-B1C2-4B4D-9EE3-BB03BAE32669}">
          <cx:tx>
            <cx:txData>
              <cx:f/>
              <cx:v/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Sleep (hours per night)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Sleep (hours per night)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  <cx:data id="2">
      <cx:numDim type="val">
        <cx:f>_xlchart.v1.6</cx:f>
      </cx:numDim>
    </cx:data>
  </cx:chartData>
  <cx:chart>
    <cx:title pos="t" align="ctr" overlay="0">
      <cx:tx>
        <cx:txData>
          <cx:v>Box Plot of Productivity by Duff Levels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 Plot of Productivity by Duff Levels</a:t>
          </a:r>
        </a:p>
      </cx:txPr>
    </cx:title>
    <cx:plotArea>
      <cx:plotAreaRegion>
        <cx:series layoutId="boxWhisker" uniqueId="{1FD3024D-2376-EC4A-AA0F-2010626B8997}">
          <cx:tx>
            <cx:txData>
              <cx:f>_xlchart.v1.1</cx:f>
              <cx:v>Duff: High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C6AFA58-3094-134C-947E-9CD44B723CE7}">
          <cx:tx>
            <cx:txData>
              <cx:f>_xlchart.v1.3</cx:f>
              <cx:v>Duff: Moderate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65CD679-BCAD-FB4F-A876-7FFC5DBCBB90}">
          <cx:tx>
            <cx:txData>
              <cx:f>_xlchart.v1.5</cx:f>
              <cx:v>Duff: Low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Category of Duff Consumption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Category of Duff Consumption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Productivity Level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Productivity Level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330199</xdr:colOff>
      <xdr:row>1</xdr:row>
      <xdr:rowOff>1257299</xdr:rowOff>
    </xdr:from>
    <xdr:to>
      <xdr:col>17</xdr:col>
      <xdr:colOff>406400</xdr:colOff>
      <xdr:row>12</xdr:row>
      <xdr:rowOff>154704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DD4B5-5EE5-EC89-8060-C5F20772A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9699" y="1727199"/>
          <a:ext cx="6680201" cy="3748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177800</xdr:colOff>
      <xdr:row>1</xdr:row>
      <xdr:rowOff>165099</xdr:rowOff>
    </xdr:from>
    <xdr:to>
      <xdr:col>18</xdr:col>
      <xdr:colOff>508000</xdr:colOff>
      <xdr:row>16</xdr:row>
      <xdr:rowOff>126999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FA5A72-EB24-B104-80AE-2AEBB9906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00" y="507999"/>
          <a:ext cx="5283200" cy="396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14</xdr:row>
      <xdr:rowOff>127000</xdr:rowOff>
    </xdr:from>
    <xdr:to>
      <xdr:col>6</xdr:col>
      <xdr:colOff>558800</xdr:colOff>
      <xdr:row>30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AB80A1D-ACA9-C070-1B64-7C36E7548D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25400</xdr:colOff>
      <xdr:row>1</xdr:row>
      <xdr:rowOff>180339</xdr:rowOff>
    </xdr:from>
    <xdr:to>
      <xdr:col>19</xdr:col>
      <xdr:colOff>558800</xdr:colOff>
      <xdr:row>17</xdr:row>
      <xdr:rowOff>12699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77A7D2-DC7E-4AF0-FD8E-4BB686FD3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6900" y="523239"/>
          <a:ext cx="5486400" cy="3083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377046</xdr:colOff>
      <xdr:row>1</xdr:row>
      <xdr:rowOff>152400</xdr:rowOff>
    </xdr:from>
    <xdr:to>
      <xdr:col>17</xdr:col>
      <xdr:colOff>403119</xdr:colOff>
      <xdr:row>15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830FC-C0DD-93D0-0EA4-5772551E5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7546" y="495300"/>
          <a:ext cx="4979073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12700</xdr:colOff>
      <xdr:row>2</xdr:row>
      <xdr:rowOff>25495</xdr:rowOff>
    </xdr:from>
    <xdr:to>
      <xdr:col>20</xdr:col>
      <xdr:colOff>83460</xdr:colOff>
      <xdr:row>16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5C0FBF-F433-CDBA-61EA-14E3D35B8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71700" y="571595"/>
          <a:ext cx="5023760" cy="2844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438150</xdr:colOff>
      <xdr:row>47</xdr:row>
      <xdr:rowOff>76200</xdr:rowOff>
    </xdr:from>
    <xdr:to>
      <xdr:col>5</xdr:col>
      <xdr:colOff>635000</xdr:colOff>
      <xdr:row>67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FF2A69-8F4C-AC49-533F-138FCCF743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9878</xdr:colOff>
      <xdr:row>2</xdr:row>
      <xdr:rowOff>12700</xdr:rowOff>
    </xdr:from>
    <xdr:to>
      <xdr:col>21</xdr:col>
      <xdr:colOff>101600</xdr:colOff>
      <xdr:row>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2078A2-9F67-C9D2-9F07-9A3FB76F5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5178" y="558800"/>
          <a:ext cx="5870222" cy="330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120650</xdr:colOff>
      <xdr:row>10</xdr:row>
      <xdr:rowOff>190500</xdr:rowOff>
    </xdr:from>
    <xdr:to>
      <xdr:col>7</xdr:col>
      <xdr:colOff>546100</xdr:colOff>
      <xdr:row>31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35783D-0CB0-1737-2CFF-CB2AE0BA6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18954</xdr:colOff>
      <xdr:row>1</xdr:row>
      <xdr:rowOff>210830</xdr:rowOff>
    </xdr:from>
    <xdr:to>
      <xdr:col>20</xdr:col>
      <xdr:colOff>520700</xdr:colOff>
      <xdr:row>16</xdr:row>
      <xdr:rowOff>63499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875120-A12B-C965-D5DE-0150BF0C0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5954" y="553730"/>
          <a:ext cx="5454746" cy="3065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101600</xdr:rowOff>
    </xdr:to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FDEFA04F-41D0-7841-54B7-FE44F57E6BA9}"/>
            </a:ext>
          </a:extLst>
        </xdr:cNvPr>
        <xdr:cNvSpPr>
          <a:spLocks noChangeAspect="1" noChangeArrowheads="1"/>
        </xdr:cNvSpPr>
      </xdr:nvSpPr>
      <xdr:spPr bwMode="auto">
        <a:xfrm>
          <a:off x="10731500" y="13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304800</xdr:colOff>
      <xdr:row>8</xdr:row>
      <xdr:rowOff>101600</xdr:rowOff>
    </xdr:to>
    <xdr:sp macro="" textlink="">
      <xdr:nvSpPr>
        <xdr:cNvPr id="11266" name="AutoShape 2">
          <a:extLst>
            <a:ext uri="{FF2B5EF4-FFF2-40B4-BE49-F238E27FC236}">
              <a16:creationId xmlns:a16="http://schemas.microsoft.com/office/drawing/2014/main" id="{13BF9364-E144-4114-5A6A-5817FDF37E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52294</xdr:colOff>
      <xdr:row>1</xdr:row>
      <xdr:rowOff>228600</xdr:rowOff>
    </xdr:from>
    <xdr:to>
      <xdr:col>19</xdr:col>
      <xdr:colOff>355600</xdr:colOff>
      <xdr:row>23</xdr:row>
      <xdr:rowOff>196215</xdr:rowOff>
    </xdr:to>
    <xdr:pic>
      <xdr:nvPicPr>
        <xdr:cNvPr id="3" name="Picture 2" descr="#the simpsons from make me laugh">
          <a:extLst>
            <a:ext uri="{FF2B5EF4-FFF2-40B4-BE49-F238E27FC236}">
              <a16:creationId xmlns:a16="http://schemas.microsoft.com/office/drawing/2014/main" id="{0EDBB4B4-4AE2-7D87-DAAC-AC356F022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9294" y="571500"/>
          <a:ext cx="4430806" cy="4603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817034</xdr:colOff>
      <xdr:row>1</xdr:row>
      <xdr:rowOff>254000</xdr:rowOff>
    </xdr:from>
    <xdr:to>
      <xdr:col>20</xdr:col>
      <xdr:colOff>152399</xdr:colOff>
      <xdr:row>20</xdr:row>
      <xdr:rowOff>63499</xdr:rowOff>
    </xdr:to>
    <xdr:pic>
      <xdr:nvPicPr>
        <xdr:cNvPr id="2" name="Picture 1" descr="CDN media">
          <a:extLst>
            <a:ext uri="{FF2B5EF4-FFF2-40B4-BE49-F238E27FC236}">
              <a16:creationId xmlns:a16="http://schemas.microsoft.com/office/drawing/2014/main" id="{7ABD3F00-3FEA-1119-2473-A11B66A45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8534" y="596900"/>
          <a:ext cx="5113865" cy="3835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806450</xdr:colOff>
      <xdr:row>20</xdr:row>
      <xdr:rowOff>190500</xdr:rowOff>
    </xdr:from>
    <xdr:to>
      <xdr:col>7</xdr:col>
      <xdr:colOff>425450</xdr:colOff>
      <xdr:row>34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9B8E24-1431-8868-76A2-A3C3A80C0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BE536-3DF6-0044-AC89-AA82DD20A504}" name="SpringfieldData" displayName="SpringfieldData" ref="A1:L51" totalsRowShown="0" headerRowDxfId="1">
  <autoFilter ref="A1:L51" xr:uid="{F98BE536-3DF6-0044-AC89-AA82DD20A504}"/>
  <tableColumns count="12">
    <tableColumn id="1" xr3:uid="{2AC07579-2517-8B4A-9E04-CEC0EDB60BFC}" name="Character"/>
    <tableColumn id="2" xr3:uid="{7D15EAE3-515F-DC4F-A078-18F76BF34D77}" name="Job_type"/>
    <tableColumn id="3" xr3:uid="{45C64F1A-C4BC-3D44-AADA-1EB8E614A5F1}" name="Sleep_hours"/>
    <tableColumn id="4" xr3:uid="{9167403D-8DBE-7746-81B5-185AF7BA007C}" name="Duff_beers"/>
    <tableColumn id="5" xr3:uid="{46154B57-00F4-3A4C-A8CF-2CA28B7953F9}" name="Cigarettes_per_day"/>
    <tableColumn id="6" xr3:uid="{1F73EDAF-EBB5-4241-ABD1-D5A7FBA6C781}" name="Donuts_per_day"/>
    <tableColumn id="7" xr3:uid="{8E5B92E0-1D98-7049-B7B4-30F659C1FE54}" name="Work_ethic"/>
    <tableColumn id="8" xr3:uid="{5EE9F145-4484-2245-BB13-BA26CF3C7D5C}" name="Anger_level"/>
    <tableColumn id="9" xr3:uid="{B0829BB0-6C8A-5C44-8517-B504322B6184}" name="Productivity_score"/>
    <tableColumn id="10" xr3:uid="{DAC330F4-ED68-E143-83A4-ABEF557F7479}" name="Fired"/>
    <tableColumn id="11" xr3:uid="{00F78A7F-6913-144C-92AB-666EBE22E182}" name="Fired_time_days"/>
    <tableColumn id="12" xr3:uid="{E07F0A89-D3F2-C141-A70B-BE80B7017EEC}" name="Duff_level" dataDxfId="0">
      <calculatedColumnFormula>IF(SpringfieldData[[#This Row],[Duff_beers]]&lt;=1,"Low",IF(SpringfieldData[[#This Row],[Duff_beers]]&lt;=6,"Moderate","High"))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FED2-9815-0A4A-99A9-E5C2945168B3}">
  <dimension ref="A1:R13"/>
  <sheetViews>
    <sheetView showGridLines="0" workbookViewId="0">
      <selection activeCell="E13" sqref="E13"/>
    </sheetView>
    <sheetView workbookViewId="1"/>
  </sheetViews>
  <sheetFormatPr defaultColWidth="10.875" defaultRowHeight="27"/>
  <cols>
    <col min="1" max="16384" width="10.875" style="1"/>
  </cols>
  <sheetData>
    <row r="1" spans="1:18" s="3" customFormat="1" ht="36.950000000000003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11.95" customHeight="1"/>
    <row r="3" spans="1:18">
      <c r="A3" s="2" t="s">
        <v>1</v>
      </c>
    </row>
    <row r="4" spans="1:18">
      <c r="A4" s="2" t="s">
        <v>2</v>
      </c>
    </row>
    <row r="5" spans="1:18">
      <c r="A5" s="2" t="s">
        <v>3</v>
      </c>
    </row>
    <row r="6" spans="1:18">
      <c r="A6" s="2" t="s">
        <v>4</v>
      </c>
    </row>
    <row r="7" spans="1:18">
      <c r="A7" s="2" t="s">
        <v>5</v>
      </c>
    </row>
    <row r="8" spans="1:18">
      <c r="A8" s="2" t="s">
        <v>6</v>
      </c>
    </row>
    <row r="9" spans="1:18">
      <c r="A9" s="2" t="s">
        <v>7</v>
      </c>
    </row>
    <row r="12" spans="1:18">
      <c r="A12" s="51" t="s">
        <v>8</v>
      </c>
    </row>
    <row r="13" spans="1:18">
      <c r="A13" s="51" t="s">
        <v>9</v>
      </c>
    </row>
  </sheetData>
  <hyperlinks>
    <hyperlink ref="A3" location="Raw_Data!A1" display="Raw Data" xr:uid="{0757652C-F98E-DD4C-8E2D-7BAE5BE7059D}"/>
    <hyperlink ref="A4" location="Descriptives!A1" display="Descriptives" xr:uid="{C5AB0C55-B958-AE4C-B619-265D17C2F392}"/>
    <hyperlink ref="A5" location="Histogram!A1" display="Histogram" xr:uid="{DC994258-9489-0B42-8ADC-A394B1E290B0}"/>
    <hyperlink ref="A6" location="Pivot_Tables!A1" display="Pivot tables" xr:uid="{EC89DCBA-DE40-FC48-B437-16A89E60F891}"/>
    <hyperlink ref="A7" location="Boxplots!A1" display="Boxplots and T-Tests" xr:uid="{F761C3D8-FBAF-0A45-9C6C-9B0B8F71EB94}"/>
    <hyperlink ref="A8" location="Linear_Regression!A1" display="Linear Regression" xr:uid="{3633F1BB-C443-3D49-8213-8B3A0A8860D4}"/>
    <hyperlink ref="A9" location="OR_RR!A1" display="OR and RR " xr:uid="{276C5CB2-B7E5-DF48-B30A-76A98678BDB6}"/>
    <hyperlink ref="A12" location="Logistic_Regression!A1" display="Logistic Regression" xr:uid="{246FA180-8E8E-A44D-B780-7A7BA68057C2}"/>
    <hyperlink ref="A13" location="Survival_Analysis!A1" display="Survival Analysis " xr:uid="{AF11E3C7-56E5-4044-8608-8DBDDEB3250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DC81-AC78-F14A-B5B5-8566B83EC5D4}">
  <dimension ref="A1:L51"/>
  <sheetViews>
    <sheetView workbookViewId="0">
      <selection activeCell="M14" sqref="M14"/>
    </sheetView>
    <sheetView tabSelected="1" zoomScale="80" zoomScaleNormal="80" workbookViewId="1">
      <selection activeCell="I18" sqref="I18"/>
    </sheetView>
  </sheetViews>
  <sheetFormatPr defaultColWidth="11" defaultRowHeight="15.95"/>
  <cols>
    <col min="1" max="1" width="22.125" bestFit="1" customWidth="1"/>
    <col min="2" max="12" width="15.875" customWidth="1"/>
  </cols>
  <sheetData>
    <row r="1" spans="1:12" s="6" customFormat="1" ht="18.9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15" t="s">
        <v>21</v>
      </c>
    </row>
    <row r="2" spans="1:12">
      <c r="A2" t="s">
        <v>22</v>
      </c>
      <c r="B2" t="s">
        <v>23</v>
      </c>
      <c r="C2">
        <v>4</v>
      </c>
      <c r="D2">
        <v>7</v>
      </c>
      <c r="E2">
        <v>11</v>
      </c>
      <c r="F2">
        <v>8</v>
      </c>
      <c r="G2">
        <v>1</v>
      </c>
      <c r="H2">
        <v>7</v>
      </c>
      <c r="I2">
        <v>30</v>
      </c>
      <c r="J2">
        <v>1</v>
      </c>
      <c r="K2">
        <v>29</v>
      </c>
      <c r="L2" t="str">
        <f>IF(SpringfieldData[[#This Row],[Duff_beers]]&lt;=1,"Low",IF(SpringfieldData[[#This Row],[Duff_beers]]&lt;=6,"Moderate","High"))</f>
        <v>High</v>
      </c>
    </row>
    <row r="3" spans="1:12">
      <c r="A3" t="s">
        <v>24</v>
      </c>
      <c r="B3" t="s">
        <v>25</v>
      </c>
      <c r="C3">
        <v>7</v>
      </c>
      <c r="D3">
        <v>1</v>
      </c>
      <c r="E3">
        <v>0</v>
      </c>
      <c r="F3">
        <v>0</v>
      </c>
      <c r="G3">
        <v>8</v>
      </c>
      <c r="H3">
        <v>3</v>
      </c>
      <c r="I3">
        <v>83</v>
      </c>
      <c r="J3">
        <v>0</v>
      </c>
      <c r="K3">
        <v>32</v>
      </c>
      <c r="L3" t="str">
        <f>IF(SpringfieldData[[#This Row],[Duff_beers]]&lt;=1,"Low",IF(SpringfieldData[[#This Row],[Duff_beers]]&lt;=6,"Moderate","High"))</f>
        <v>Low</v>
      </c>
    </row>
    <row r="4" spans="1:12">
      <c r="A4" t="s">
        <v>26</v>
      </c>
      <c r="B4" t="s">
        <v>27</v>
      </c>
      <c r="C4">
        <v>5</v>
      </c>
      <c r="D4">
        <v>0</v>
      </c>
      <c r="E4">
        <v>0</v>
      </c>
      <c r="F4">
        <v>9</v>
      </c>
      <c r="G4">
        <v>4</v>
      </c>
      <c r="H4">
        <v>6</v>
      </c>
      <c r="I4">
        <v>36</v>
      </c>
      <c r="J4">
        <v>1</v>
      </c>
      <c r="K4">
        <v>29</v>
      </c>
      <c r="L4" t="str">
        <f>IF(SpringfieldData[[#This Row],[Duff_beers]]&lt;=1,"Low",IF(SpringfieldData[[#This Row],[Duff_beers]]&lt;=6,"Moderate","High"))</f>
        <v>Low</v>
      </c>
    </row>
    <row r="5" spans="1:12">
      <c r="A5" t="s">
        <v>28</v>
      </c>
      <c r="B5" t="s">
        <v>27</v>
      </c>
      <c r="C5">
        <v>8</v>
      </c>
      <c r="D5">
        <v>0</v>
      </c>
      <c r="E5">
        <v>0</v>
      </c>
      <c r="F5">
        <v>2</v>
      </c>
      <c r="G5">
        <v>9</v>
      </c>
      <c r="H5">
        <v>3</v>
      </c>
      <c r="I5">
        <v>97</v>
      </c>
      <c r="J5">
        <v>0</v>
      </c>
      <c r="K5">
        <v>44</v>
      </c>
      <c r="L5" t="str">
        <f>IF(SpringfieldData[[#This Row],[Duff_beers]]&lt;=1,"Low",IF(SpringfieldData[[#This Row],[Duff_beers]]&lt;=6,"Moderate","High"))</f>
        <v>Low</v>
      </c>
    </row>
    <row r="6" spans="1:12">
      <c r="A6" t="s">
        <v>29</v>
      </c>
      <c r="B6" t="s">
        <v>27</v>
      </c>
      <c r="C6">
        <v>9</v>
      </c>
      <c r="D6">
        <v>0</v>
      </c>
      <c r="E6">
        <v>0</v>
      </c>
      <c r="F6">
        <v>0</v>
      </c>
      <c r="G6">
        <v>10</v>
      </c>
      <c r="H6">
        <v>2</v>
      </c>
      <c r="I6">
        <v>98</v>
      </c>
      <c r="J6">
        <v>0</v>
      </c>
      <c r="K6">
        <v>40</v>
      </c>
      <c r="L6" t="str">
        <f>IF(SpringfieldData[[#This Row],[Duff_beers]]&lt;=1,"Low",IF(SpringfieldData[[#This Row],[Duff_beers]]&lt;=6,"Moderate","High"))</f>
        <v>Low</v>
      </c>
    </row>
    <row r="7" spans="1:12">
      <c r="A7" t="s">
        <v>30</v>
      </c>
      <c r="B7" t="s">
        <v>31</v>
      </c>
      <c r="C7">
        <v>6</v>
      </c>
      <c r="D7">
        <v>2</v>
      </c>
      <c r="E7">
        <v>4</v>
      </c>
      <c r="F7">
        <v>3</v>
      </c>
      <c r="G7">
        <v>5</v>
      </c>
      <c r="H7">
        <v>5</v>
      </c>
      <c r="I7">
        <v>55</v>
      </c>
      <c r="J7">
        <v>1</v>
      </c>
      <c r="K7">
        <v>18</v>
      </c>
      <c r="L7" t="str">
        <f>IF(SpringfieldData[[#This Row],[Duff_beers]]&lt;=1,"Low",IF(SpringfieldData[[#This Row],[Duff_beers]]&lt;=6,"Moderate","High"))</f>
        <v>Moderate</v>
      </c>
    </row>
    <row r="8" spans="1:12">
      <c r="A8" t="s">
        <v>32</v>
      </c>
      <c r="B8" t="s">
        <v>23</v>
      </c>
      <c r="C8">
        <v>6</v>
      </c>
      <c r="D8">
        <v>2</v>
      </c>
      <c r="E8">
        <v>7</v>
      </c>
      <c r="F8">
        <v>1</v>
      </c>
      <c r="G8">
        <v>8</v>
      </c>
      <c r="H8">
        <v>6</v>
      </c>
      <c r="I8">
        <v>63</v>
      </c>
      <c r="J8">
        <v>1</v>
      </c>
      <c r="K8">
        <v>15</v>
      </c>
      <c r="L8" t="str">
        <f>IF(SpringfieldData[[#This Row],[Duff_beers]]&lt;=1,"Low",IF(SpringfieldData[[#This Row],[Duff_beers]]&lt;=6,"Moderate","High"))</f>
        <v>Moderate</v>
      </c>
    </row>
    <row r="9" spans="1:12">
      <c r="A9" t="s">
        <v>33</v>
      </c>
      <c r="B9" t="s">
        <v>23</v>
      </c>
      <c r="C9">
        <v>7</v>
      </c>
      <c r="D9">
        <v>0</v>
      </c>
      <c r="E9">
        <v>1</v>
      </c>
      <c r="F9">
        <v>1</v>
      </c>
      <c r="G9">
        <v>10</v>
      </c>
      <c r="H9">
        <v>2</v>
      </c>
      <c r="I9">
        <v>91</v>
      </c>
      <c r="J9">
        <v>0</v>
      </c>
      <c r="K9">
        <v>44</v>
      </c>
      <c r="L9" t="str">
        <f>IF(SpringfieldData[[#This Row],[Duff_beers]]&lt;=1,"Low",IF(SpringfieldData[[#This Row],[Duff_beers]]&lt;=6,"Moderate","High"))</f>
        <v>Low</v>
      </c>
    </row>
    <row r="10" spans="1:12">
      <c r="A10" t="s">
        <v>34</v>
      </c>
      <c r="B10" t="s">
        <v>35</v>
      </c>
      <c r="C10">
        <v>8</v>
      </c>
      <c r="D10">
        <v>0</v>
      </c>
      <c r="E10">
        <v>1</v>
      </c>
      <c r="F10">
        <v>2</v>
      </c>
      <c r="G10">
        <v>9</v>
      </c>
      <c r="H10">
        <v>2</v>
      </c>
      <c r="I10">
        <v>98</v>
      </c>
      <c r="J10">
        <v>0</v>
      </c>
      <c r="K10">
        <v>43</v>
      </c>
      <c r="L10" t="str">
        <f>IF(SpringfieldData[[#This Row],[Duff_beers]]&lt;=1,"Low",IF(SpringfieldData[[#This Row],[Duff_beers]]&lt;=6,"Moderate","High"))</f>
        <v>Low</v>
      </c>
    </row>
    <row r="11" spans="1:12">
      <c r="A11" t="s">
        <v>36</v>
      </c>
      <c r="B11" t="s">
        <v>35</v>
      </c>
      <c r="C11">
        <v>8</v>
      </c>
      <c r="D11">
        <v>2</v>
      </c>
      <c r="E11">
        <v>2</v>
      </c>
      <c r="F11">
        <v>1</v>
      </c>
      <c r="G11">
        <v>8</v>
      </c>
      <c r="H11">
        <v>3</v>
      </c>
      <c r="I11">
        <v>84</v>
      </c>
      <c r="J11">
        <v>0</v>
      </c>
      <c r="K11">
        <v>41</v>
      </c>
      <c r="L11" t="str">
        <f>IF(SpringfieldData[[#This Row],[Duff_beers]]&lt;=1,"Low",IF(SpringfieldData[[#This Row],[Duff_beers]]&lt;=6,"Moderate","High"))</f>
        <v>Moderate</v>
      </c>
    </row>
    <row r="12" spans="1:12">
      <c r="A12" t="s">
        <v>37</v>
      </c>
      <c r="B12" t="s">
        <v>27</v>
      </c>
      <c r="C12">
        <v>7</v>
      </c>
      <c r="D12">
        <v>0</v>
      </c>
      <c r="E12">
        <v>0</v>
      </c>
      <c r="F12">
        <v>2</v>
      </c>
      <c r="G12">
        <v>7</v>
      </c>
      <c r="H12">
        <v>2</v>
      </c>
      <c r="I12">
        <v>85</v>
      </c>
      <c r="J12">
        <v>0</v>
      </c>
      <c r="K12">
        <v>35</v>
      </c>
      <c r="L12" t="str">
        <f>IF(SpringfieldData[[#This Row],[Duff_beers]]&lt;=1,"Low",IF(SpringfieldData[[#This Row],[Duff_beers]]&lt;=6,"Moderate","High"))</f>
        <v>Low</v>
      </c>
    </row>
    <row r="13" spans="1:12">
      <c r="A13" t="s">
        <v>38</v>
      </c>
      <c r="B13" t="s">
        <v>27</v>
      </c>
      <c r="C13">
        <v>7</v>
      </c>
      <c r="D13">
        <v>0</v>
      </c>
      <c r="E13">
        <v>0</v>
      </c>
      <c r="F13">
        <v>2</v>
      </c>
      <c r="G13">
        <v>9</v>
      </c>
      <c r="H13">
        <v>4</v>
      </c>
      <c r="I13">
        <v>82</v>
      </c>
      <c r="J13">
        <v>0</v>
      </c>
      <c r="K13">
        <v>34</v>
      </c>
      <c r="L13" t="str">
        <f>IF(SpringfieldData[[#This Row],[Duff_beers]]&lt;=1,"Low",IF(SpringfieldData[[#This Row],[Duff_beers]]&lt;=6,"Moderate","High"))</f>
        <v>Low</v>
      </c>
    </row>
    <row r="14" spans="1:12">
      <c r="A14" t="s">
        <v>39</v>
      </c>
      <c r="B14" t="s">
        <v>27</v>
      </c>
      <c r="C14">
        <v>5</v>
      </c>
      <c r="D14">
        <v>0</v>
      </c>
      <c r="E14">
        <v>0</v>
      </c>
      <c r="F14">
        <v>4</v>
      </c>
      <c r="G14">
        <v>2</v>
      </c>
      <c r="H14">
        <v>6</v>
      </c>
      <c r="I14">
        <v>61</v>
      </c>
      <c r="J14">
        <v>1</v>
      </c>
      <c r="K14">
        <v>27</v>
      </c>
      <c r="L14" t="str">
        <f>IF(SpringfieldData[[#This Row],[Duff_beers]]&lt;=1,"Low",IF(SpringfieldData[[#This Row],[Duff_beers]]&lt;=6,"Moderate","High"))</f>
        <v>Low</v>
      </c>
    </row>
    <row r="15" spans="1:12">
      <c r="A15" t="s">
        <v>40</v>
      </c>
      <c r="B15" t="s">
        <v>27</v>
      </c>
      <c r="C15">
        <v>5</v>
      </c>
      <c r="D15">
        <v>0</v>
      </c>
      <c r="E15">
        <v>0</v>
      </c>
      <c r="F15">
        <v>7</v>
      </c>
      <c r="G15">
        <v>2</v>
      </c>
      <c r="H15">
        <v>7</v>
      </c>
      <c r="I15">
        <v>31</v>
      </c>
      <c r="J15">
        <v>1</v>
      </c>
      <c r="K15">
        <v>26</v>
      </c>
      <c r="L15" t="str">
        <f>IF(SpringfieldData[[#This Row],[Duff_beers]]&lt;=1,"Low",IF(SpringfieldData[[#This Row],[Duff_beers]]&lt;=6,"Moderate","High"))</f>
        <v>Low</v>
      </c>
    </row>
    <row r="16" spans="1:12">
      <c r="A16" t="s">
        <v>41</v>
      </c>
      <c r="B16" t="s">
        <v>27</v>
      </c>
      <c r="C16">
        <v>5</v>
      </c>
      <c r="D16">
        <v>0</v>
      </c>
      <c r="E16">
        <v>0</v>
      </c>
      <c r="F16">
        <v>3</v>
      </c>
      <c r="G16">
        <v>5</v>
      </c>
      <c r="H16">
        <v>8</v>
      </c>
      <c r="I16">
        <v>36</v>
      </c>
      <c r="J16">
        <v>1</v>
      </c>
      <c r="K16">
        <v>25</v>
      </c>
      <c r="L16" t="str">
        <f>IF(SpringfieldData[[#This Row],[Duff_beers]]&lt;=1,"Low",IF(SpringfieldData[[#This Row],[Duff_beers]]&lt;=6,"Moderate","High"))</f>
        <v>Low</v>
      </c>
    </row>
    <row r="17" spans="1:12">
      <c r="A17" t="s">
        <v>42</v>
      </c>
      <c r="B17" t="s">
        <v>43</v>
      </c>
      <c r="C17">
        <v>8</v>
      </c>
      <c r="D17">
        <v>1</v>
      </c>
      <c r="E17">
        <v>0</v>
      </c>
      <c r="F17">
        <v>0</v>
      </c>
      <c r="G17">
        <v>8</v>
      </c>
      <c r="H17">
        <v>1</v>
      </c>
      <c r="I17">
        <v>89</v>
      </c>
      <c r="J17">
        <v>0</v>
      </c>
      <c r="K17">
        <v>37</v>
      </c>
      <c r="L17" t="str">
        <f>IF(SpringfieldData[[#This Row],[Duff_beers]]&lt;=1,"Low",IF(SpringfieldData[[#This Row],[Duff_beers]]&lt;=6,"Moderate","High"))</f>
        <v>Low</v>
      </c>
    </row>
    <row r="18" spans="1:12">
      <c r="A18" t="s">
        <v>44</v>
      </c>
      <c r="B18" t="s">
        <v>45</v>
      </c>
      <c r="C18">
        <v>4</v>
      </c>
      <c r="D18">
        <v>6</v>
      </c>
      <c r="E18">
        <v>5</v>
      </c>
      <c r="F18">
        <v>4</v>
      </c>
      <c r="G18">
        <v>1</v>
      </c>
      <c r="H18">
        <v>7</v>
      </c>
      <c r="I18">
        <v>30</v>
      </c>
      <c r="J18">
        <v>1</v>
      </c>
      <c r="K18">
        <v>23</v>
      </c>
      <c r="L18" t="str">
        <f>IF(SpringfieldData[[#This Row],[Duff_beers]]&lt;=1,"Low",IF(SpringfieldData[[#This Row],[Duff_beers]]&lt;=6,"Moderate","High"))</f>
        <v>Moderate</v>
      </c>
    </row>
    <row r="19" spans="1:12">
      <c r="A19" t="s">
        <v>46</v>
      </c>
      <c r="B19" t="s">
        <v>45</v>
      </c>
      <c r="C19">
        <v>5</v>
      </c>
      <c r="D19">
        <v>9</v>
      </c>
      <c r="E19">
        <v>8</v>
      </c>
      <c r="F19">
        <v>7</v>
      </c>
      <c r="G19">
        <v>1</v>
      </c>
      <c r="H19">
        <v>5</v>
      </c>
      <c r="I19">
        <v>34</v>
      </c>
      <c r="J19">
        <v>1</v>
      </c>
      <c r="K19">
        <v>25</v>
      </c>
      <c r="L19" t="str">
        <f>IF(SpringfieldData[[#This Row],[Duff_beers]]&lt;=1,"Low",IF(SpringfieldData[[#This Row],[Duff_beers]]&lt;=6,"Moderate","High"))</f>
        <v>High</v>
      </c>
    </row>
    <row r="20" spans="1:12">
      <c r="A20" t="s">
        <v>47</v>
      </c>
      <c r="B20" t="s">
        <v>48</v>
      </c>
      <c r="C20">
        <v>6</v>
      </c>
      <c r="D20">
        <v>4</v>
      </c>
      <c r="E20">
        <v>1</v>
      </c>
      <c r="F20">
        <v>2</v>
      </c>
      <c r="G20">
        <v>5</v>
      </c>
      <c r="H20">
        <v>4</v>
      </c>
      <c r="I20">
        <v>60</v>
      </c>
      <c r="J20">
        <v>1</v>
      </c>
      <c r="K20">
        <v>17</v>
      </c>
      <c r="L20" t="str">
        <f>IF(SpringfieldData[[#This Row],[Duff_beers]]&lt;=1,"Low",IF(SpringfieldData[[#This Row],[Duff_beers]]&lt;=6,"Moderate","High"))</f>
        <v>Moderate</v>
      </c>
    </row>
    <row r="21" spans="1:12">
      <c r="A21" t="s">
        <v>49</v>
      </c>
      <c r="B21" t="s">
        <v>50</v>
      </c>
      <c r="C21">
        <v>4</v>
      </c>
      <c r="D21">
        <v>11</v>
      </c>
      <c r="E21">
        <v>9</v>
      </c>
      <c r="F21">
        <v>4</v>
      </c>
      <c r="G21">
        <v>2</v>
      </c>
      <c r="H21">
        <v>6</v>
      </c>
      <c r="I21">
        <v>27</v>
      </c>
      <c r="J21">
        <v>1</v>
      </c>
      <c r="K21">
        <v>28</v>
      </c>
      <c r="L21" t="str">
        <f>IF(SpringfieldData[[#This Row],[Duff_beers]]&lt;=1,"Low",IF(SpringfieldData[[#This Row],[Duff_beers]]&lt;=6,"Moderate","High"))</f>
        <v>High</v>
      </c>
    </row>
    <row r="22" spans="1:12">
      <c r="A22" t="s">
        <v>51</v>
      </c>
      <c r="B22" t="s">
        <v>52</v>
      </c>
      <c r="C22">
        <v>9</v>
      </c>
      <c r="D22">
        <v>1</v>
      </c>
      <c r="E22">
        <v>1</v>
      </c>
      <c r="F22">
        <v>1</v>
      </c>
      <c r="G22">
        <v>8</v>
      </c>
      <c r="H22">
        <v>3</v>
      </c>
      <c r="I22">
        <v>96</v>
      </c>
      <c r="J22">
        <v>0</v>
      </c>
      <c r="K22">
        <v>46</v>
      </c>
      <c r="L22" t="str">
        <f>IF(SpringfieldData[[#This Row],[Duff_beers]]&lt;=1,"Low",IF(SpringfieldData[[#This Row],[Duff_beers]]&lt;=6,"Moderate","High"))</f>
        <v>Low</v>
      </c>
    </row>
    <row r="23" spans="1:12">
      <c r="A23" t="s">
        <v>53</v>
      </c>
      <c r="B23" t="s">
        <v>54</v>
      </c>
      <c r="C23">
        <v>8</v>
      </c>
      <c r="D23">
        <v>0</v>
      </c>
      <c r="E23">
        <v>2</v>
      </c>
      <c r="F23">
        <v>2</v>
      </c>
      <c r="G23">
        <v>10</v>
      </c>
      <c r="H23">
        <v>2</v>
      </c>
      <c r="I23">
        <v>97</v>
      </c>
      <c r="J23">
        <v>0</v>
      </c>
      <c r="K23">
        <v>41</v>
      </c>
      <c r="L23" t="str">
        <f>IF(SpringfieldData[[#This Row],[Duff_beers]]&lt;=1,"Low",IF(SpringfieldData[[#This Row],[Duff_beers]]&lt;=6,"Moderate","High"))</f>
        <v>Low</v>
      </c>
    </row>
    <row r="24" spans="1:12">
      <c r="A24" t="s">
        <v>55</v>
      </c>
      <c r="B24" t="s">
        <v>54</v>
      </c>
      <c r="C24">
        <v>7</v>
      </c>
      <c r="D24">
        <v>1</v>
      </c>
      <c r="E24">
        <v>1</v>
      </c>
      <c r="F24">
        <v>0</v>
      </c>
      <c r="G24">
        <v>8</v>
      </c>
      <c r="H24">
        <v>2</v>
      </c>
      <c r="I24">
        <v>91</v>
      </c>
      <c r="J24">
        <v>0</v>
      </c>
      <c r="K24">
        <v>36</v>
      </c>
      <c r="L24" t="str">
        <f>IF(SpringfieldData[[#This Row],[Duff_beers]]&lt;=1,"Low",IF(SpringfieldData[[#This Row],[Duff_beers]]&lt;=6,"Moderate","High"))</f>
        <v>Low</v>
      </c>
    </row>
    <row r="25" spans="1:12">
      <c r="A25" t="s">
        <v>56</v>
      </c>
      <c r="B25" t="s">
        <v>43</v>
      </c>
      <c r="C25">
        <v>7</v>
      </c>
      <c r="D25">
        <v>2</v>
      </c>
      <c r="E25">
        <v>5</v>
      </c>
      <c r="F25">
        <v>4</v>
      </c>
      <c r="G25">
        <v>7</v>
      </c>
      <c r="H25">
        <v>4</v>
      </c>
      <c r="I25">
        <v>69</v>
      </c>
      <c r="J25">
        <v>0</v>
      </c>
      <c r="K25">
        <v>30</v>
      </c>
      <c r="L25" t="str">
        <f>IF(SpringfieldData[[#This Row],[Duff_beers]]&lt;=1,"Low",IF(SpringfieldData[[#This Row],[Duff_beers]]&lt;=6,"Moderate","High"))</f>
        <v>Moderate</v>
      </c>
    </row>
    <row r="26" spans="1:12">
      <c r="A26" t="s">
        <v>57</v>
      </c>
      <c r="B26" t="s">
        <v>54</v>
      </c>
      <c r="C26">
        <v>6</v>
      </c>
      <c r="D26">
        <v>2</v>
      </c>
      <c r="E26">
        <v>3</v>
      </c>
      <c r="F26">
        <v>4</v>
      </c>
      <c r="G26">
        <v>7</v>
      </c>
      <c r="H26">
        <v>4</v>
      </c>
      <c r="I26">
        <v>67</v>
      </c>
      <c r="J26">
        <v>0</v>
      </c>
      <c r="K26">
        <v>31</v>
      </c>
      <c r="L26" t="str">
        <f>IF(SpringfieldData[[#This Row],[Duff_beers]]&lt;=1,"Low",IF(SpringfieldData[[#This Row],[Duff_beers]]&lt;=6,"Moderate","High"))</f>
        <v>Moderate</v>
      </c>
    </row>
    <row r="27" spans="1:12">
      <c r="A27" t="s">
        <v>58</v>
      </c>
      <c r="B27" t="s">
        <v>35</v>
      </c>
      <c r="C27">
        <v>7</v>
      </c>
      <c r="D27">
        <v>1</v>
      </c>
      <c r="E27">
        <v>2</v>
      </c>
      <c r="F27">
        <v>2</v>
      </c>
      <c r="G27">
        <v>9</v>
      </c>
      <c r="H27">
        <v>2</v>
      </c>
      <c r="I27">
        <v>89</v>
      </c>
      <c r="J27">
        <v>0</v>
      </c>
      <c r="K27">
        <v>40</v>
      </c>
      <c r="L27" t="str">
        <f>IF(SpringfieldData[[#This Row],[Duff_beers]]&lt;=1,"Low",IF(SpringfieldData[[#This Row],[Duff_beers]]&lt;=6,"Moderate","High"))</f>
        <v>Low</v>
      </c>
    </row>
    <row r="28" spans="1:12">
      <c r="A28" t="s">
        <v>59</v>
      </c>
      <c r="B28" t="s">
        <v>60</v>
      </c>
      <c r="C28">
        <v>6</v>
      </c>
      <c r="D28">
        <v>3</v>
      </c>
      <c r="E28">
        <v>5</v>
      </c>
      <c r="F28">
        <v>2</v>
      </c>
      <c r="G28">
        <v>6</v>
      </c>
      <c r="H28">
        <v>6</v>
      </c>
      <c r="I28">
        <v>61</v>
      </c>
      <c r="J28">
        <v>1</v>
      </c>
      <c r="K28">
        <v>19</v>
      </c>
      <c r="L28" t="str">
        <f>IF(SpringfieldData[[#This Row],[Duff_beers]]&lt;=1,"Low",IF(SpringfieldData[[#This Row],[Duff_beers]]&lt;=6,"Moderate","High"))</f>
        <v>Moderate</v>
      </c>
    </row>
    <row r="29" spans="1:12">
      <c r="A29" t="s">
        <v>61</v>
      </c>
      <c r="B29" t="s">
        <v>60</v>
      </c>
      <c r="C29">
        <v>6</v>
      </c>
      <c r="D29">
        <v>1</v>
      </c>
      <c r="E29">
        <v>5</v>
      </c>
      <c r="F29">
        <v>3</v>
      </c>
      <c r="G29">
        <v>5</v>
      </c>
      <c r="H29">
        <v>5</v>
      </c>
      <c r="I29">
        <v>59</v>
      </c>
      <c r="J29">
        <v>1</v>
      </c>
      <c r="K29">
        <v>17</v>
      </c>
      <c r="L29" t="str">
        <f>IF(SpringfieldData[[#This Row],[Duff_beers]]&lt;=1,"Low",IF(SpringfieldData[[#This Row],[Duff_beers]]&lt;=6,"Moderate","High"))</f>
        <v>Low</v>
      </c>
    </row>
    <row r="30" spans="1:12">
      <c r="A30" t="s">
        <v>62</v>
      </c>
      <c r="B30" t="s">
        <v>48</v>
      </c>
      <c r="C30">
        <v>6</v>
      </c>
      <c r="D30">
        <v>3</v>
      </c>
      <c r="E30">
        <v>2</v>
      </c>
      <c r="F30">
        <v>1</v>
      </c>
      <c r="G30">
        <v>8</v>
      </c>
      <c r="H30">
        <v>6</v>
      </c>
      <c r="I30">
        <v>67</v>
      </c>
      <c r="J30">
        <v>0</v>
      </c>
      <c r="K30">
        <v>31</v>
      </c>
      <c r="L30" t="str">
        <f>IF(SpringfieldData[[#This Row],[Duff_beers]]&lt;=1,"Low",IF(SpringfieldData[[#This Row],[Duff_beers]]&lt;=6,"Moderate","High"))</f>
        <v>Moderate</v>
      </c>
    </row>
    <row r="31" spans="1:12">
      <c r="A31" t="s">
        <v>63</v>
      </c>
      <c r="B31" t="s">
        <v>48</v>
      </c>
      <c r="C31">
        <v>8</v>
      </c>
      <c r="D31">
        <v>2</v>
      </c>
      <c r="E31">
        <v>2</v>
      </c>
      <c r="F31">
        <v>0</v>
      </c>
      <c r="G31">
        <v>9</v>
      </c>
      <c r="H31">
        <v>1</v>
      </c>
      <c r="I31">
        <v>91</v>
      </c>
      <c r="J31">
        <v>0</v>
      </c>
      <c r="K31">
        <v>43</v>
      </c>
      <c r="L31" t="str">
        <f>IF(SpringfieldData[[#This Row],[Duff_beers]]&lt;=1,"Low",IF(SpringfieldData[[#This Row],[Duff_beers]]&lt;=6,"Moderate","High"))</f>
        <v>Moderate</v>
      </c>
    </row>
    <row r="32" spans="1:12">
      <c r="A32" t="s">
        <v>64</v>
      </c>
      <c r="B32" t="s">
        <v>23</v>
      </c>
      <c r="C32">
        <v>6</v>
      </c>
      <c r="D32">
        <v>2</v>
      </c>
      <c r="E32">
        <v>2</v>
      </c>
      <c r="F32">
        <v>4</v>
      </c>
      <c r="G32">
        <v>6</v>
      </c>
      <c r="H32">
        <v>4</v>
      </c>
      <c r="I32">
        <v>65</v>
      </c>
      <c r="J32">
        <v>1</v>
      </c>
      <c r="K32">
        <v>18</v>
      </c>
      <c r="L32" t="str">
        <f>IF(SpringfieldData[[#This Row],[Duff_beers]]&lt;=1,"Low",IF(SpringfieldData[[#This Row],[Duff_beers]]&lt;=6,"Moderate","High"))</f>
        <v>Moderate</v>
      </c>
    </row>
    <row r="33" spans="1:12">
      <c r="A33" t="s">
        <v>65</v>
      </c>
      <c r="B33" t="s">
        <v>23</v>
      </c>
      <c r="C33">
        <v>6</v>
      </c>
      <c r="D33">
        <v>4</v>
      </c>
      <c r="E33">
        <v>3</v>
      </c>
      <c r="F33">
        <v>3</v>
      </c>
      <c r="G33">
        <v>6</v>
      </c>
      <c r="H33">
        <v>3</v>
      </c>
      <c r="I33">
        <v>62</v>
      </c>
      <c r="J33">
        <v>1</v>
      </c>
      <c r="K33">
        <v>18</v>
      </c>
      <c r="L33" t="str">
        <f>IF(SpringfieldData[[#This Row],[Duff_beers]]&lt;=1,"Low",IF(SpringfieldData[[#This Row],[Duff_beers]]&lt;=6,"Moderate","High"))</f>
        <v>Moderate</v>
      </c>
    </row>
    <row r="34" spans="1:12">
      <c r="A34" t="s">
        <v>66</v>
      </c>
      <c r="B34" t="s">
        <v>67</v>
      </c>
      <c r="C34">
        <v>4</v>
      </c>
      <c r="D34">
        <v>9</v>
      </c>
      <c r="E34">
        <v>5</v>
      </c>
      <c r="F34">
        <v>7</v>
      </c>
      <c r="G34">
        <v>4</v>
      </c>
      <c r="H34">
        <v>7</v>
      </c>
      <c r="I34">
        <v>30</v>
      </c>
      <c r="J34">
        <v>1</v>
      </c>
      <c r="K34">
        <v>23</v>
      </c>
      <c r="L34" t="str">
        <f>IF(SpringfieldData[[#This Row],[Duff_beers]]&lt;=1,"Low",IF(SpringfieldData[[#This Row],[Duff_beers]]&lt;=6,"Moderate","High"))</f>
        <v>High</v>
      </c>
    </row>
    <row r="35" spans="1:12">
      <c r="A35" t="s">
        <v>68</v>
      </c>
      <c r="B35" t="s">
        <v>48</v>
      </c>
      <c r="C35">
        <v>5</v>
      </c>
      <c r="D35">
        <v>9</v>
      </c>
      <c r="E35">
        <v>4</v>
      </c>
      <c r="F35">
        <v>8</v>
      </c>
      <c r="G35">
        <v>2</v>
      </c>
      <c r="H35">
        <v>6</v>
      </c>
      <c r="I35">
        <v>54</v>
      </c>
      <c r="J35">
        <v>1</v>
      </c>
      <c r="K35">
        <v>26</v>
      </c>
      <c r="L35" t="str">
        <f>IF(SpringfieldData[[#This Row],[Duff_beers]]&lt;=1,"Low",IF(SpringfieldData[[#This Row],[Duff_beers]]&lt;=6,"Moderate","High"))</f>
        <v>High</v>
      </c>
    </row>
    <row r="36" spans="1:12">
      <c r="A36" t="s">
        <v>69</v>
      </c>
      <c r="B36" t="s">
        <v>70</v>
      </c>
      <c r="C36">
        <v>5</v>
      </c>
      <c r="D36">
        <v>9</v>
      </c>
      <c r="E36">
        <v>14</v>
      </c>
      <c r="F36">
        <v>7</v>
      </c>
      <c r="G36">
        <v>3</v>
      </c>
      <c r="H36">
        <v>7</v>
      </c>
      <c r="I36">
        <v>30</v>
      </c>
      <c r="J36">
        <v>1</v>
      </c>
      <c r="K36">
        <v>29</v>
      </c>
      <c r="L36" t="str">
        <f>IF(SpringfieldData[[#This Row],[Duff_beers]]&lt;=1,"Low",IF(SpringfieldData[[#This Row],[Duff_beers]]&lt;=6,"Moderate","High"))</f>
        <v>High</v>
      </c>
    </row>
    <row r="37" spans="1:12">
      <c r="A37" t="s">
        <v>71</v>
      </c>
      <c r="B37" t="s">
        <v>72</v>
      </c>
      <c r="C37">
        <v>8</v>
      </c>
      <c r="D37">
        <v>1</v>
      </c>
      <c r="E37">
        <v>1</v>
      </c>
      <c r="F37">
        <v>2</v>
      </c>
      <c r="G37">
        <v>10</v>
      </c>
      <c r="H37">
        <v>4</v>
      </c>
      <c r="I37">
        <v>93</v>
      </c>
      <c r="J37">
        <v>0</v>
      </c>
      <c r="K37">
        <v>42</v>
      </c>
      <c r="L37" t="str">
        <f>IF(SpringfieldData[[#This Row],[Duff_beers]]&lt;=1,"Low",IF(SpringfieldData[[#This Row],[Duff_beers]]&lt;=6,"Moderate","High"))</f>
        <v>Low</v>
      </c>
    </row>
    <row r="38" spans="1:12">
      <c r="A38" t="s">
        <v>73</v>
      </c>
      <c r="B38" t="s">
        <v>52</v>
      </c>
      <c r="C38">
        <v>4</v>
      </c>
      <c r="D38">
        <v>10</v>
      </c>
      <c r="E38">
        <v>13</v>
      </c>
      <c r="F38">
        <v>4</v>
      </c>
      <c r="G38">
        <v>1</v>
      </c>
      <c r="H38">
        <v>8</v>
      </c>
      <c r="I38">
        <v>80</v>
      </c>
      <c r="J38">
        <v>1</v>
      </c>
      <c r="K38">
        <v>28</v>
      </c>
      <c r="L38" t="str">
        <f>IF(SpringfieldData[[#This Row],[Duff_beers]]&lt;=1,"Low",IF(SpringfieldData[[#This Row],[Duff_beers]]&lt;=6,"Moderate","High"))</f>
        <v>High</v>
      </c>
    </row>
    <row r="39" spans="1:12">
      <c r="A39" t="s">
        <v>74</v>
      </c>
      <c r="B39" t="s">
        <v>25</v>
      </c>
      <c r="C39">
        <v>6</v>
      </c>
      <c r="D39">
        <v>3</v>
      </c>
      <c r="E39">
        <v>4</v>
      </c>
      <c r="F39">
        <v>4</v>
      </c>
      <c r="G39">
        <v>5</v>
      </c>
      <c r="H39">
        <v>5</v>
      </c>
      <c r="I39">
        <v>55</v>
      </c>
      <c r="J39">
        <v>1</v>
      </c>
      <c r="K39">
        <v>14</v>
      </c>
      <c r="L39" t="str">
        <f>IF(SpringfieldData[[#This Row],[Duff_beers]]&lt;=1,"Low",IF(SpringfieldData[[#This Row],[Duff_beers]]&lt;=6,"Moderate","High"))</f>
        <v>Moderate</v>
      </c>
    </row>
    <row r="40" spans="1:12">
      <c r="A40" t="s">
        <v>75</v>
      </c>
      <c r="B40" t="s">
        <v>35</v>
      </c>
      <c r="C40">
        <v>9</v>
      </c>
      <c r="D40">
        <v>2</v>
      </c>
      <c r="E40">
        <v>0</v>
      </c>
      <c r="F40">
        <v>2</v>
      </c>
      <c r="G40">
        <v>8</v>
      </c>
      <c r="H40">
        <v>2</v>
      </c>
      <c r="I40">
        <v>95</v>
      </c>
      <c r="J40">
        <v>0</v>
      </c>
      <c r="K40">
        <v>44</v>
      </c>
      <c r="L40" t="str">
        <f>IF(SpringfieldData[[#This Row],[Duff_beers]]&lt;=1,"Low",IF(SpringfieldData[[#This Row],[Duff_beers]]&lt;=6,"Moderate","High"))</f>
        <v>Moderate</v>
      </c>
    </row>
    <row r="41" spans="1:12">
      <c r="A41" t="s">
        <v>76</v>
      </c>
      <c r="B41" t="s">
        <v>77</v>
      </c>
      <c r="C41">
        <v>4</v>
      </c>
      <c r="D41">
        <v>7</v>
      </c>
      <c r="E41">
        <v>9</v>
      </c>
      <c r="F41">
        <v>6</v>
      </c>
      <c r="G41">
        <v>2</v>
      </c>
      <c r="H41">
        <v>6</v>
      </c>
      <c r="I41">
        <v>35</v>
      </c>
      <c r="J41">
        <v>1</v>
      </c>
      <c r="K41">
        <v>27</v>
      </c>
      <c r="L41" t="str">
        <f>IF(SpringfieldData[[#This Row],[Duff_beers]]&lt;=1,"Low",IF(SpringfieldData[[#This Row],[Duff_beers]]&lt;=6,"Moderate","High"))</f>
        <v>High</v>
      </c>
    </row>
    <row r="42" spans="1:12">
      <c r="A42" t="s">
        <v>78</v>
      </c>
      <c r="B42" t="s">
        <v>77</v>
      </c>
      <c r="C42">
        <v>5</v>
      </c>
      <c r="D42">
        <v>7</v>
      </c>
      <c r="E42">
        <v>3</v>
      </c>
      <c r="F42">
        <v>6</v>
      </c>
      <c r="G42">
        <v>3</v>
      </c>
      <c r="H42">
        <v>7</v>
      </c>
      <c r="I42">
        <v>31</v>
      </c>
      <c r="J42">
        <v>1</v>
      </c>
      <c r="K42">
        <v>23</v>
      </c>
      <c r="L42" t="str">
        <f>IF(SpringfieldData[[#This Row],[Duff_beers]]&lt;=1,"Low",IF(SpringfieldData[[#This Row],[Duff_beers]]&lt;=6,"Moderate","High"))</f>
        <v>High</v>
      </c>
    </row>
    <row r="43" spans="1:12">
      <c r="A43" t="s">
        <v>79</v>
      </c>
      <c r="B43" t="s">
        <v>31</v>
      </c>
      <c r="C43">
        <v>7</v>
      </c>
      <c r="D43">
        <v>4</v>
      </c>
      <c r="E43">
        <v>1</v>
      </c>
      <c r="F43">
        <v>2</v>
      </c>
      <c r="G43">
        <v>5</v>
      </c>
      <c r="H43">
        <v>5</v>
      </c>
      <c r="I43">
        <v>62</v>
      </c>
      <c r="J43">
        <v>1</v>
      </c>
      <c r="K43">
        <v>14</v>
      </c>
      <c r="L43" t="str">
        <f>IF(SpringfieldData[[#This Row],[Duff_beers]]&lt;=1,"Low",IF(SpringfieldData[[#This Row],[Duff_beers]]&lt;=6,"Moderate","High"))</f>
        <v>Moderate</v>
      </c>
    </row>
    <row r="44" spans="1:12">
      <c r="A44" t="s">
        <v>80</v>
      </c>
      <c r="B44" t="s">
        <v>43</v>
      </c>
      <c r="C44">
        <v>5</v>
      </c>
      <c r="D44">
        <v>9</v>
      </c>
      <c r="E44">
        <v>13</v>
      </c>
      <c r="F44">
        <v>5</v>
      </c>
      <c r="G44">
        <v>2</v>
      </c>
      <c r="H44">
        <v>9</v>
      </c>
      <c r="I44">
        <v>30</v>
      </c>
      <c r="J44">
        <v>1</v>
      </c>
      <c r="K44">
        <v>25</v>
      </c>
      <c r="L44" t="str">
        <f>IF(SpringfieldData[[#This Row],[Duff_beers]]&lt;=1,"Low",IF(SpringfieldData[[#This Row],[Duff_beers]]&lt;=6,"Moderate","High"))</f>
        <v>High</v>
      </c>
    </row>
    <row r="45" spans="1:12">
      <c r="A45" t="s">
        <v>81</v>
      </c>
      <c r="B45" t="s">
        <v>43</v>
      </c>
      <c r="C45">
        <v>6</v>
      </c>
      <c r="D45">
        <v>1</v>
      </c>
      <c r="E45">
        <v>4</v>
      </c>
      <c r="F45">
        <v>2</v>
      </c>
      <c r="G45">
        <v>5</v>
      </c>
      <c r="H45">
        <v>6</v>
      </c>
      <c r="I45">
        <v>62</v>
      </c>
      <c r="J45">
        <v>1</v>
      </c>
      <c r="K45">
        <v>14</v>
      </c>
      <c r="L45" t="str">
        <f>IF(SpringfieldData[[#This Row],[Duff_beers]]&lt;=1,"Low",IF(SpringfieldData[[#This Row],[Duff_beers]]&lt;=6,"Moderate","High"))</f>
        <v>Low</v>
      </c>
    </row>
    <row r="46" spans="1:12">
      <c r="A46" t="s">
        <v>82</v>
      </c>
      <c r="B46" t="s">
        <v>83</v>
      </c>
      <c r="C46">
        <v>4</v>
      </c>
      <c r="D46">
        <v>9</v>
      </c>
      <c r="E46">
        <v>4</v>
      </c>
      <c r="F46">
        <v>11</v>
      </c>
      <c r="G46">
        <v>3</v>
      </c>
      <c r="H46">
        <v>6</v>
      </c>
      <c r="I46">
        <v>45</v>
      </c>
      <c r="J46">
        <v>1</v>
      </c>
      <c r="K46">
        <v>30</v>
      </c>
      <c r="L46" t="str">
        <f>IF(SpringfieldData[[#This Row],[Duff_beers]]&lt;=1,"Low",IF(SpringfieldData[[#This Row],[Duff_beers]]&lt;=6,"Moderate","High"))</f>
        <v>High</v>
      </c>
    </row>
    <row r="47" spans="1:12">
      <c r="A47" t="s">
        <v>84</v>
      </c>
      <c r="B47" t="s">
        <v>70</v>
      </c>
      <c r="C47">
        <v>5</v>
      </c>
      <c r="D47">
        <v>5</v>
      </c>
      <c r="E47">
        <v>9</v>
      </c>
      <c r="F47">
        <v>5</v>
      </c>
      <c r="G47">
        <v>1</v>
      </c>
      <c r="H47">
        <v>6</v>
      </c>
      <c r="I47">
        <v>65</v>
      </c>
      <c r="J47">
        <v>1</v>
      </c>
      <c r="K47">
        <v>26</v>
      </c>
      <c r="L47" t="str">
        <f>IF(SpringfieldData[[#This Row],[Duff_beers]]&lt;=1,"Low",IF(SpringfieldData[[#This Row],[Duff_beers]]&lt;=6,"Moderate","High"))</f>
        <v>Moderate</v>
      </c>
    </row>
    <row r="48" spans="1:12">
      <c r="A48" t="s">
        <v>85</v>
      </c>
      <c r="B48" t="s">
        <v>48</v>
      </c>
      <c r="C48">
        <v>8</v>
      </c>
      <c r="D48">
        <v>1</v>
      </c>
      <c r="E48">
        <v>2</v>
      </c>
      <c r="F48">
        <v>1</v>
      </c>
      <c r="G48">
        <v>10</v>
      </c>
      <c r="H48">
        <v>2</v>
      </c>
      <c r="I48">
        <v>92</v>
      </c>
      <c r="J48">
        <v>0</v>
      </c>
      <c r="K48">
        <v>42</v>
      </c>
      <c r="L48" t="str">
        <f>IF(SpringfieldData[[#This Row],[Duff_beers]]&lt;=1,"Low",IF(SpringfieldData[[#This Row],[Duff_beers]]&lt;=6,"Moderate","High"))</f>
        <v>Low</v>
      </c>
    </row>
    <row r="49" spans="1:12">
      <c r="A49" t="s">
        <v>86</v>
      </c>
      <c r="B49" t="s">
        <v>60</v>
      </c>
      <c r="C49">
        <v>6</v>
      </c>
      <c r="D49">
        <v>1</v>
      </c>
      <c r="E49">
        <v>4</v>
      </c>
      <c r="F49">
        <v>3</v>
      </c>
      <c r="G49">
        <v>5</v>
      </c>
      <c r="H49">
        <v>4</v>
      </c>
      <c r="I49">
        <v>66</v>
      </c>
      <c r="J49">
        <v>0</v>
      </c>
      <c r="K49">
        <v>28</v>
      </c>
      <c r="L49" t="str">
        <f>IF(SpringfieldData[[#This Row],[Duff_beers]]&lt;=1,"Low",IF(SpringfieldData[[#This Row],[Duff_beers]]&lt;=6,"Moderate","High"))</f>
        <v>Low</v>
      </c>
    </row>
    <row r="50" spans="1:12">
      <c r="A50" t="s">
        <v>87</v>
      </c>
      <c r="B50" t="s">
        <v>88</v>
      </c>
      <c r="C50">
        <v>6</v>
      </c>
      <c r="D50">
        <v>7</v>
      </c>
      <c r="E50">
        <v>9</v>
      </c>
      <c r="F50">
        <v>11</v>
      </c>
      <c r="G50">
        <v>2</v>
      </c>
      <c r="H50">
        <v>8</v>
      </c>
      <c r="I50">
        <v>29</v>
      </c>
      <c r="J50">
        <v>1</v>
      </c>
      <c r="K50">
        <v>23</v>
      </c>
      <c r="L50" t="str">
        <f>IF(SpringfieldData[[#This Row],[Duff_beers]]&lt;=1,"Low",IF(SpringfieldData[[#This Row],[Duff_beers]]&lt;=6,"Moderate","High"))</f>
        <v>High</v>
      </c>
    </row>
    <row r="51" spans="1:12">
      <c r="A51" t="s">
        <v>89</v>
      </c>
      <c r="B51" t="s">
        <v>27</v>
      </c>
      <c r="C51">
        <v>9</v>
      </c>
      <c r="D51">
        <v>0</v>
      </c>
      <c r="E51">
        <v>0</v>
      </c>
      <c r="F51">
        <v>1</v>
      </c>
      <c r="G51">
        <v>10</v>
      </c>
      <c r="H51">
        <v>2</v>
      </c>
      <c r="I51">
        <v>97</v>
      </c>
      <c r="J51">
        <v>0</v>
      </c>
      <c r="K51">
        <v>40</v>
      </c>
      <c r="L51" t="str">
        <f>IF(SpringfieldData[[#This Row],[Duff_beers]]&lt;=1,"Low",IF(SpringfieldData[[#This Row],[Duff_beers]]&lt;=6,"Moderate","High"))</f>
        <v>Low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5200-AF6C-7C43-BC35-AB7ED905B7DE}">
  <dimension ref="A1:O24"/>
  <sheetViews>
    <sheetView showGridLines="0" tabSelected="1" zoomScaleNormal="100" workbookViewId="0">
      <selection activeCell="O1" sqref="O1"/>
    </sheetView>
    <sheetView workbookViewId="1"/>
  </sheetViews>
  <sheetFormatPr defaultColWidth="11" defaultRowHeight="15.95"/>
  <cols>
    <col min="1" max="1" width="15.125" customWidth="1"/>
    <col min="2" max="7" width="15.875" customWidth="1"/>
  </cols>
  <sheetData>
    <row r="1" spans="1:15" s="8" customFormat="1" ht="27">
      <c r="A1" s="8" t="s">
        <v>90</v>
      </c>
      <c r="O1" s="41" t="s">
        <v>25</v>
      </c>
    </row>
    <row r="2" spans="1:15" ht="90.95" customHeight="1">
      <c r="A2" s="13" t="s">
        <v>91</v>
      </c>
    </row>
    <row r="3" spans="1:15">
      <c r="A3" s="9" t="s">
        <v>92</v>
      </c>
    </row>
    <row r="4" spans="1:15" s="10" customFormat="1">
      <c r="A4" s="11"/>
      <c r="B4" s="11" t="s">
        <v>12</v>
      </c>
      <c r="C4" s="11" t="s">
        <v>13</v>
      </c>
      <c r="D4" s="11" t="s">
        <v>14</v>
      </c>
      <c r="E4" s="11" t="s">
        <v>15</v>
      </c>
      <c r="F4" s="11" t="s">
        <v>16</v>
      </c>
      <c r="G4" s="11" t="s">
        <v>17</v>
      </c>
    </row>
    <row r="5" spans="1:15">
      <c r="A5" s="12" t="s">
        <v>93</v>
      </c>
      <c r="B5" s="12">
        <f>AVERAGE(SpringfieldData[Sleep_hours])</f>
        <v>6.24</v>
      </c>
      <c r="C5" s="12"/>
      <c r="D5" s="12"/>
      <c r="E5" s="12"/>
      <c r="F5" s="12"/>
      <c r="G5" s="12"/>
    </row>
    <row r="6" spans="1:15">
      <c r="A6" s="12" t="s">
        <v>94</v>
      </c>
      <c r="B6" s="12">
        <f>MEDIAN(SpringfieldData[Sleep_hours])</f>
        <v>6</v>
      </c>
      <c r="C6" s="12"/>
      <c r="D6" s="12"/>
      <c r="E6" s="12"/>
      <c r="F6" s="12"/>
      <c r="G6" s="12"/>
    </row>
    <row r="7" spans="1:15">
      <c r="A7" s="12" t="s">
        <v>95</v>
      </c>
      <c r="B7" s="12">
        <f>STDEV(SpringfieldData[Sleep_hours])</f>
        <v>1.5059067374976494</v>
      </c>
      <c r="C7" s="12"/>
      <c r="D7" s="12"/>
      <c r="E7" s="12"/>
      <c r="F7" s="12"/>
      <c r="G7" s="12"/>
    </row>
    <row r="8" spans="1:15">
      <c r="A8" s="12" t="s">
        <v>96</v>
      </c>
      <c r="B8" s="12">
        <f>MIN(SpringfieldData[Sleep_hours])</f>
        <v>4</v>
      </c>
      <c r="C8" s="12"/>
      <c r="D8" s="12"/>
      <c r="E8" s="12"/>
      <c r="F8" s="12"/>
      <c r="G8" s="12"/>
    </row>
    <row r="9" spans="1:15">
      <c r="A9" s="12" t="s">
        <v>97</v>
      </c>
      <c r="B9" s="12">
        <f>MAX(SpringfieldData[Sleep_hours])</f>
        <v>9</v>
      </c>
      <c r="C9" s="12"/>
      <c r="D9" s="12"/>
      <c r="E9" s="12"/>
      <c r="F9" s="12"/>
      <c r="G9" s="12"/>
    </row>
    <row r="13" spans="1:15">
      <c r="A13" s="9" t="s">
        <v>98</v>
      </c>
    </row>
    <row r="14" spans="1:15">
      <c r="A14" s="11" t="s">
        <v>99</v>
      </c>
      <c r="B14" s="12">
        <f>CORREL(SpringfieldData[Duff_beers],SpringfieldData[Cigarettes_per_day])</f>
        <v>0.78602125546847601</v>
      </c>
    </row>
    <row r="15" spans="1:15">
      <c r="A15" s="11" t="s">
        <v>100</v>
      </c>
      <c r="B15" s="12"/>
    </row>
    <row r="21" spans="1:3">
      <c r="A21" s="24" t="s">
        <v>101</v>
      </c>
      <c r="B21" s="25"/>
      <c r="C21" s="26"/>
    </row>
    <row r="22" spans="1:3">
      <c r="A22" s="27" t="s">
        <v>102</v>
      </c>
      <c r="B22" s="28"/>
      <c r="C22" s="29"/>
    </row>
    <row r="23" spans="1:3">
      <c r="A23" s="27" t="s">
        <v>103</v>
      </c>
      <c r="B23" s="28"/>
      <c r="C23" s="29"/>
    </row>
    <row r="24" spans="1:3">
      <c r="A24" s="30"/>
      <c r="B24" s="31"/>
      <c r="C24" s="32"/>
    </row>
  </sheetData>
  <hyperlinks>
    <hyperlink ref="O1" location="Dashboard!A1" display="Home" xr:uid="{4374207A-3E76-0948-90BB-B6259D2C8308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AA77-8198-0748-9AC6-4B86D463C778}">
  <dimension ref="A1:O8"/>
  <sheetViews>
    <sheetView showGridLines="0" workbookViewId="0">
      <selection activeCell="I18" sqref="I18"/>
    </sheetView>
    <sheetView workbookViewId="1"/>
  </sheetViews>
  <sheetFormatPr defaultColWidth="11" defaultRowHeight="15.95"/>
  <sheetData>
    <row r="1" spans="1:15" s="8" customFormat="1" ht="27">
      <c r="A1" s="8" t="s">
        <v>104</v>
      </c>
      <c r="O1" s="41" t="s">
        <v>25</v>
      </c>
    </row>
    <row r="4" spans="1:15">
      <c r="A4" s="13" t="s">
        <v>105</v>
      </c>
    </row>
    <row r="5" spans="1:15">
      <c r="A5" s="13" t="s">
        <v>106</v>
      </c>
    </row>
    <row r="6" spans="1:15">
      <c r="A6" s="13" t="s">
        <v>107</v>
      </c>
    </row>
    <row r="7" spans="1:15">
      <c r="A7" s="13" t="s">
        <v>108</v>
      </c>
    </row>
    <row r="8" spans="1:15">
      <c r="A8" s="13" t="s">
        <v>109</v>
      </c>
    </row>
  </sheetData>
  <hyperlinks>
    <hyperlink ref="O1" location="Dashboard!A1" display="Home" xr:uid="{D25BAE57-692F-1549-82F6-2EAAEFE80749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508A-DAB3-F743-8F10-034EDDF2AF15}">
  <dimension ref="A1:O8"/>
  <sheetViews>
    <sheetView showGridLines="0" workbookViewId="0">
      <selection activeCell="O1" sqref="O1"/>
    </sheetView>
    <sheetView workbookViewId="1"/>
  </sheetViews>
  <sheetFormatPr defaultColWidth="11" defaultRowHeight="15.95"/>
  <sheetData>
    <row r="1" spans="1:15" s="8" customFormat="1" ht="27">
      <c r="A1" s="8" t="s">
        <v>110</v>
      </c>
      <c r="O1" s="41" t="s">
        <v>25</v>
      </c>
    </row>
    <row r="4" spans="1:15">
      <c r="A4" s="13" t="s">
        <v>111</v>
      </c>
    </row>
    <row r="5" spans="1:15">
      <c r="A5" s="13" t="s">
        <v>112</v>
      </c>
    </row>
    <row r="6" spans="1:15">
      <c r="A6" s="13" t="s">
        <v>113</v>
      </c>
    </row>
    <row r="7" spans="1:15">
      <c r="A7" s="13" t="s">
        <v>114</v>
      </c>
    </row>
    <row r="8" spans="1:15">
      <c r="A8" s="13" t="s">
        <v>115</v>
      </c>
    </row>
  </sheetData>
  <hyperlinks>
    <hyperlink ref="O1" location="Dashboard!A1" display="Home" xr:uid="{3C03E54D-B096-0347-80F7-C0C8BD45E74A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BD63-7928-5240-A58B-311FCEA2A3DA}">
  <dimension ref="A1:O54"/>
  <sheetViews>
    <sheetView showGridLines="0" workbookViewId="0">
      <selection activeCell="F41" sqref="F41"/>
    </sheetView>
    <sheetView workbookViewId="1"/>
  </sheetViews>
  <sheetFormatPr defaultColWidth="11" defaultRowHeight="15.95"/>
  <cols>
    <col min="1" max="1" width="15" customWidth="1"/>
    <col min="2" max="4" width="15.875" customWidth="1"/>
    <col min="8" max="8" width="10.875" customWidth="1"/>
    <col min="9" max="9" width="15" bestFit="1" customWidth="1"/>
    <col min="10" max="13" width="15.875" customWidth="1"/>
  </cols>
  <sheetData>
    <row r="1" spans="1:15" s="8" customFormat="1" ht="27">
      <c r="A1" s="8" t="s">
        <v>116</v>
      </c>
      <c r="O1" s="41" t="s">
        <v>25</v>
      </c>
    </row>
    <row r="4" spans="1:15">
      <c r="A4" t="s">
        <v>117</v>
      </c>
    </row>
    <row r="5" spans="1:15">
      <c r="A5" t="s">
        <v>118</v>
      </c>
    </row>
    <row r="6" spans="1:15">
      <c r="A6" t="s">
        <v>119</v>
      </c>
    </row>
    <row r="7" spans="1:15">
      <c r="A7" t="s">
        <v>120</v>
      </c>
    </row>
    <row r="12" spans="1:15">
      <c r="B12" s="16" t="s">
        <v>121</v>
      </c>
      <c r="C12" s="16" t="s">
        <v>122</v>
      </c>
      <c r="D12" s="16" t="s">
        <v>123</v>
      </c>
      <c r="J12" s="23" t="s">
        <v>124</v>
      </c>
      <c r="K12" s="23" t="s">
        <v>125</v>
      </c>
      <c r="L12" s="23" t="s">
        <v>126</v>
      </c>
    </row>
    <row r="13" spans="1:15">
      <c r="B13" s="12" cm="1">
        <f t="array" ref="B13:B24">_xlfn._xlws.FILTER(SpringfieldData[Productivity_score], SpringfieldData[Duff_level]="High")</f>
        <v>30</v>
      </c>
      <c r="C13" s="12" cm="1">
        <f t="array" ref="C13:C28">_xlfn._xlws.FILTER(SpringfieldData[Productivity_score], SpringfieldData[Duff_level]="Moderate")</f>
        <v>55</v>
      </c>
      <c r="D13" s="12" cm="1">
        <f t="array" ref="D13:D34">_xlfn._xlws.FILTER(SpringfieldData[Productivity_score], SpringfieldData[Duff_level]="Low")</f>
        <v>83</v>
      </c>
    </row>
    <row r="14" spans="1:15">
      <c r="B14" s="12">
        <v>34</v>
      </c>
      <c r="C14" s="12">
        <v>63</v>
      </c>
      <c r="D14" s="12">
        <v>36</v>
      </c>
    </row>
    <row r="15" spans="1:15">
      <c r="B15" s="12">
        <v>27</v>
      </c>
      <c r="C15" s="12">
        <v>84</v>
      </c>
      <c r="D15" s="12">
        <v>97</v>
      </c>
    </row>
    <row r="16" spans="1:15">
      <c r="B16" s="12">
        <v>30</v>
      </c>
      <c r="C16" s="12">
        <v>30</v>
      </c>
      <c r="D16" s="12">
        <v>98</v>
      </c>
    </row>
    <row r="17" spans="2:4">
      <c r="B17" s="12">
        <v>54</v>
      </c>
      <c r="C17" s="12">
        <v>60</v>
      </c>
      <c r="D17" s="12">
        <v>91</v>
      </c>
    </row>
    <row r="18" spans="2:4">
      <c r="B18" s="12">
        <v>30</v>
      </c>
      <c r="C18" s="12">
        <v>69</v>
      </c>
      <c r="D18" s="12">
        <v>98</v>
      </c>
    </row>
    <row r="19" spans="2:4">
      <c r="B19" s="12">
        <v>80</v>
      </c>
      <c r="C19" s="12">
        <v>67</v>
      </c>
      <c r="D19" s="12">
        <v>85</v>
      </c>
    </row>
    <row r="20" spans="2:4">
      <c r="B20" s="12">
        <v>35</v>
      </c>
      <c r="C20" s="12">
        <v>61</v>
      </c>
      <c r="D20" s="12">
        <v>82</v>
      </c>
    </row>
    <row r="21" spans="2:4">
      <c r="B21" s="12">
        <v>31</v>
      </c>
      <c r="C21" s="12">
        <v>67</v>
      </c>
      <c r="D21" s="12">
        <v>61</v>
      </c>
    </row>
    <row r="22" spans="2:4">
      <c r="B22" s="12">
        <v>30</v>
      </c>
      <c r="C22" s="12">
        <v>91</v>
      </c>
      <c r="D22" s="12">
        <v>31</v>
      </c>
    </row>
    <row r="23" spans="2:4">
      <c r="B23" s="12">
        <v>45</v>
      </c>
      <c r="C23" s="12">
        <v>65</v>
      </c>
      <c r="D23" s="12">
        <v>36</v>
      </c>
    </row>
    <row r="24" spans="2:4">
      <c r="B24" s="12">
        <v>29</v>
      </c>
      <c r="C24" s="12">
        <v>62</v>
      </c>
      <c r="D24" s="12">
        <v>89</v>
      </c>
    </row>
    <row r="25" spans="2:4">
      <c r="B25" s="12"/>
      <c r="C25" s="12">
        <v>55</v>
      </c>
      <c r="D25" s="12">
        <v>96</v>
      </c>
    </row>
    <row r="26" spans="2:4">
      <c r="B26" s="12"/>
      <c r="C26" s="12">
        <v>95</v>
      </c>
      <c r="D26" s="12">
        <v>97</v>
      </c>
    </row>
    <row r="27" spans="2:4">
      <c r="B27" s="12"/>
      <c r="C27" s="12">
        <v>62</v>
      </c>
      <c r="D27" s="12">
        <v>91</v>
      </c>
    </row>
    <row r="28" spans="2:4">
      <c r="B28" s="12"/>
      <c r="C28" s="12">
        <v>65</v>
      </c>
      <c r="D28" s="12">
        <v>89</v>
      </c>
    </row>
    <row r="29" spans="2:4">
      <c r="B29" s="12"/>
      <c r="C29" s="12"/>
      <c r="D29" s="12">
        <v>59</v>
      </c>
    </row>
    <row r="30" spans="2:4">
      <c r="B30" s="12"/>
      <c r="C30" s="12"/>
      <c r="D30" s="12">
        <v>93</v>
      </c>
    </row>
    <row r="31" spans="2:4">
      <c r="B31" s="12"/>
      <c r="C31" s="12"/>
      <c r="D31" s="12">
        <v>62</v>
      </c>
    </row>
    <row r="32" spans="2:4">
      <c r="B32" s="12"/>
      <c r="C32" s="12"/>
      <c r="D32" s="12">
        <v>92</v>
      </c>
    </row>
    <row r="33" spans="1:12">
      <c r="B33" s="12"/>
      <c r="C33" s="12"/>
      <c r="D33" s="12">
        <v>66</v>
      </c>
    </row>
    <row r="34" spans="1:12">
      <c r="B34" s="12"/>
      <c r="C34" s="12"/>
      <c r="D34" s="12">
        <v>97</v>
      </c>
    </row>
    <row r="38" spans="1:12">
      <c r="A38" s="17" t="s">
        <v>127</v>
      </c>
      <c r="B38" s="18"/>
      <c r="C38" s="18"/>
      <c r="D38" s="19"/>
    </row>
    <row r="39" spans="1:12">
      <c r="A39" s="20" t="s">
        <v>128</v>
      </c>
      <c r="B39" s="21" t="s">
        <v>121</v>
      </c>
      <c r="C39" s="21" t="s">
        <v>122</v>
      </c>
      <c r="D39" s="21" t="s">
        <v>123</v>
      </c>
    </row>
    <row r="40" spans="1:12">
      <c r="A40" s="12" t="s">
        <v>93</v>
      </c>
      <c r="B40" s="12">
        <f>AVERAGE(B13:B34)</f>
        <v>37.916666666666664</v>
      </c>
      <c r="C40" s="12">
        <f>AVERAGE(C13:C34)</f>
        <v>65.6875</v>
      </c>
      <c r="D40" s="12">
        <f>AVERAGE(D13:D34)</f>
        <v>78.590909090909093</v>
      </c>
    </row>
    <row r="41" spans="1:12">
      <c r="A41" s="12" t="s">
        <v>94</v>
      </c>
      <c r="B41" s="12">
        <f>MEDIAN(B13:B34)</f>
        <v>30.5</v>
      </c>
      <c r="C41" s="12">
        <f>MEDIAN(C13:C34)</f>
        <v>64</v>
      </c>
      <c r="D41" s="12">
        <f>MEDIAN(D13:D34)</f>
        <v>89</v>
      </c>
    </row>
    <row r="42" spans="1:12">
      <c r="A42" s="12" t="s">
        <v>95</v>
      </c>
      <c r="B42" s="12">
        <f>STDEV(B13:B34)</f>
        <v>15.376832238694996</v>
      </c>
      <c r="C42" s="12">
        <f>STDEV(C13:C34)</f>
        <v>15.146919378760378</v>
      </c>
      <c r="D42" s="12">
        <f>STDEV(D13:D34)</f>
        <v>21.90598763745415</v>
      </c>
    </row>
    <row r="44" spans="1:12">
      <c r="A44" s="22" t="s">
        <v>129</v>
      </c>
      <c r="B44" s="12">
        <f>_xlfn.T.TEST(B13:B34,C13:C34,2,2)</f>
        <v>6.1629465521790728E-5</v>
      </c>
    </row>
    <row r="45" spans="1:12">
      <c r="A45" s="22" t="s">
        <v>130</v>
      </c>
      <c r="B45" s="12">
        <f>_xlfn.T.TEST(C13:C34,D13:D34,2,2)</f>
        <v>5.0160777998798471E-2</v>
      </c>
    </row>
    <row r="47" spans="1:12">
      <c r="I47" s="17" t="s">
        <v>127</v>
      </c>
      <c r="J47" s="18"/>
      <c r="K47" s="18"/>
      <c r="L47" s="19"/>
    </row>
    <row r="48" spans="1:12">
      <c r="I48" s="20" t="s">
        <v>128</v>
      </c>
      <c r="J48" s="21" t="s">
        <v>124</v>
      </c>
      <c r="K48" s="21" t="s">
        <v>131</v>
      </c>
      <c r="L48" s="21" t="s">
        <v>126</v>
      </c>
    </row>
    <row r="49" spans="9:12">
      <c r="I49" s="12" t="s">
        <v>93</v>
      </c>
      <c r="J49" s="12"/>
      <c r="K49" s="12"/>
      <c r="L49" s="12"/>
    </row>
    <row r="50" spans="9:12">
      <c r="I50" s="12" t="s">
        <v>94</v>
      </c>
      <c r="J50" s="12"/>
      <c r="K50" s="12"/>
      <c r="L50" s="12"/>
    </row>
    <row r="51" spans="9:12">
      <c r="I51" s="12" t="s">
        <v>95</v>
      </c>
      <c r="J51" s="12"/>
      <c r="K51" s="12"/>
      <c r="L51" s="12"/>
    </row>
    <row r="53" spans="9:12">
      <c r="I53" s="22" t="s">
        <v>129</v>
      </c>
      <c r="J53" s="12"/>
    </row>
    <row r="54" spans="9:12">
      <c r="I54" s="22" t="s">
        <v>130</v>
      </c>
      <c r="J54" s="12"/>
    </row>
  </sheetData>
  <hyperlinks>
    <hyperlink ref="O1" location="Dashboard!A1" display="Home" xr:uid="{D25A3935-B944-3549-964E-392F0291719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7479-5E21-6848-887A-690BF3B6DFDF}">
  <dimension ref="A1:O42"/>
  <sheetViews>
    <sheetView showGridLines="0" workbookViewId="0">
      <selection activeCell="J14" sqref="J14"/>
    </sheetView>
    <sheetView workbookViewId="1"/>
  </sheetViews>
  <sheetFormatPr defaultColWidth="11" defaultRowHeight="15.95"/>
  <cols>
    <col min="3" max="3" width="15.625" customWidth="1"/>
  </cols>
  <sheetData>
    <row r="1" spans="1:15" s="8" customFormat="1" ht="27">
      <c r="A1" s="8" t="s">
        <v>132</v>
      </c>
      <c r="O1" s="41" t="s">
        <v>25</v>
      </c>
    </row>
    <row r="3" spans="1:15">
      <c r="A3" s="13" t="s">
        <v>133</v>
      </c>
    </row>
    <row r="4" spans="1:15">
      <c r="A4" s="13" t="s">
        <v>134</v>
      </c>
    </row>
    <row r="5" spans="1:15">
      <c r="A5" s="13" t="s">
        <v>135</v>
      </c>
    </row>
    <row r="6" spans="1:15">
      <c r="A6" s="13" t="s">
        <v>108</v>
      </c>
    </row>
    <row r="7" spans="1:15">
      <c r="A7" s="13" t="s">
        <v>109</v>
      </c>
    </row>
    <row r="40" spans="1:3">
      <c r="A40" s="24" t="s">
        <v>101</v>
      </c>
      <c r="B40" s="25"/>
      <c r="C40" s="26"/>
    </row>
    <row r="41" spans="1:3">
      <c r="A41" s="27" t="s">
        <v>136</v>
      </c>
      <c r="B41" s="28"/>
      <c r="C41" s="29"/>
    </row>
    <row r="42" spans="1:3">
      <c r="A42" s="30" t="s">
        <v>137</v>
      </c>
      <c r="B42" s="31"/>
      <c r="C42" s="32"/>
    </row>
  </sheetData>
  <hyperlinks>
    <hyperlink ref="O1" location="Dashboard!A1" display="Home" xr:uid="{B3587DBE-4A5D-6E40-BD0D-92318B6F4CA6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3B08-3E80-324C-B8A3-97A077BBBE12}">
  <dimension ref="A1:O15"/>
  <sheetViews>
    <sheetView showGridLines="0" workbookViewId="0">
      <selection activeCell="F7" sqref="F7"/>
    </sheetView>
    <sheetView workbookViewId="1"/>
  </sheetViews>
  <sheetFormatPr defaultColWidth="11" defaultRowHeight="15.95"/>
  <sheetData>
    <row r="1" spans="1:15" s="8" customFormat="1" ht="27">
      <c r="A1" s="8" t="s">
        <v>138</v>
      </c>
      <c r="O1" s="41" t="s">
        <v>25</v>
      </c>
    </row>
    <row r="2" spans="1:15" ht="29.1" customHeight="1">
      <c r="A2" s="13" t="s">
        <v>139</v>
      </c>
    </row>
    <row r="6" spans="1:15">
      <c r="A6" s="34" t="s">
        <v>140</v>
      </c>
      <c r="B6" s="36" t="s">
        <v>19</v>
      </c>
      <c r="C6" s="36" t="s">
        <v>141</v>
      </c>
      <c r="D6" s="36" t="s">
        <v>142</v>
      </c>
      <c r="G6" s="34" t="s">
        <v>140</v>
      </c>
      <c r="H6" s="36" t="s">
        <v>143</v>
      </c>
      <c r="I6" s="36" t="s">
        <v>144</v>
      </c>
      <c r="J6" s="36" t="s">
        <v>142</v>
      </c>
    </row>
    <row r="7" spans="1:15">
      <c r="A7" s="14" t="s">
        <v>145</v>
      </c>
      <c r="B7" s="12">
        <f>COUNTIFS(Raw_Data!D:D, "&gt;=3", Raw_Data!J:J, 1)</f>
        <v>19</v>
      </c>
      <c r="C7" s="12">
        <f>COUNTIFS(Raw_Data!D:D, "&gt;=3", Raw_Data!J:J, 0)</f>
        <v>1</v>
      </c>
      <c r="D7" s="33">
        <f>SUM(B7:C7)</f>
        <v>20</v>
      </c>
      <c r="G7" s="14" t="s">
        <v>146</v>
      </c>
      <c r="H7" s="12"/>
      <c r="I7" s="12"/>
      <c r="J7" s="33">
        <f>SUM(H7:I7)</f>
        <v>0</v>
      </c>
    </row>
    <row r="8" spans="1:15">
      <c r="A8" s="14" t="s">
        <v>147</v>
      </c>
      <c r="B8" s="12">
        <f>COUNTIFS(Raw_Data!D:D, "&lt;3", Raw_Data!J:J, 1)</f>
        <v>9</v>
      </c>
      <c r="C8" s="12">
        <f>COUNTIFS(Raw_Data!D:D, "&lt;3", Raw_Data!J:J, 0)</f>
        <v>21</v>
      </c>
      <c r="D8" s="33">
        <f>SUM(B8:C8)</f>
        <v>30</v>
      </c>
      <c r="G8" s="14" t="s">
        <v>147</v>
      </c>
      <c r="H8" s="12"/>
      <c r="I8" s="12"/>
      <c r="J8" s="33">
        <f>SUM(H8:I8)</f>
        <v>0</v>
      </c>
    </row>
    <row r="9" spans="1:15">
      <c r="A9" s="14" t="s">
        <v>142</v>
      </c>
      <c r="B9" s="33">
        <f>SUM(B7:B8)</f>
        <v>28</v>
      </c>
      <c r="C9" s="33">
        <f>SUM(C7:C8)</f>
        <v>22</v>
      </c>
      <c r="D9" s="33">
        <f>SUM(B9:C9)</f>
        <v>50</v>
      </c>
      <c r="G9" s="14" t="s">
        <v>142</v>
      </c>
      <c r="H9" s="33">
        <f>SUM(H7:H8)</f>
        <v>0</v>
      </c>
      <c r="I9" s="33">
        <f>SUM(I7:I8)</f>
        <v>0</v>
      </c>
      <c r="J9" s="33">
        <f>SUM(H9:I9)</f>
        <v>0</v>
      </c>
    </row>
    <row r="12" spans="1:15">
      <c r="A12" s="37" t="s">
        <v>148</v>
      </c>
      <c r="B12" s="35"/>
      <c r="C12" s="38" t="s">
        <v>149</v>
      </c>
      <c r="D12" s="22"/>
      <c r="G12" s="37" t="s">
        <v>148</v>
      </c>
      <c r="H12" s="35"/>
      <c r="I12" s="38" t="s">
        <v>149</v>
      </c>
      <c r="J12" s="22"/>
    </row>
    <row r="13" spans="1:15">
      <c r="A13" s="35" t="str">
        <f>A7</f>
        <v>Duff &gt;=3</v>
      </c>
      <c r="B13" s="39">
        <f>B7/D7</f>
        <v>0.95</v>
      </c>
      <c r="C13" s="40" t="str">
        <f>A7</f>
        <v>Duff &gt;=3</v>
      </c>
      <c r="D13" s="39">
        <f>B7/C7</f>
        <v>19</v>
      </c>
      <c r="G13" s="35" t="str">
        <f>G7</f>
        <v>Category</v>
      </c>
      <c r="H13" s="39" t="e">
        <f>H7/J7</f>
        <v>#DIV/0!</v>
      </c>
      <c r="I13" s="40" t="str">
        <f>G7</f>
        <v>Category</v>
      </c>
      <c r="J13" s="39" t="e">
        <f>H7/I7</f>
        <v>#DIV/0!</v>
      </c>
    </row>
    <row r="14" spans="1:15">
      <c r="A14" s="35" t="str">
        <f>A8</f>
        <v>Other</v>
      </c>
      <c r="B14" s="39">
        <f>B8/D8</f>
        <v>0.3</v>
      </c>
      <c r="C14" s="40" t="str">
        <f>A8</f>
        <v>Other</v>
      </c>
      <c r="D14" s="39">
        <f>B8/C8</f>
        <v>0.42857142857142855</v>
      </c>
      <c r="G14" s="35" t="str">
        <f>G8</f>
        <v>Other</v>
      </c>
      <c r="H14" s="39" t="e">
        <f>H8/J8</f>
        <v>#DIV/0!</v>
      </c>
      <c r="I14" s="40" t="str">
        <f>G8</f>
        <v>Other</v>
      </c>
      <c r="J14" s="39" t="e">
        <f>H8/I8</f>
        <v>#DIV/0!</v>
      </c>
    </row>
    <row r="15" spans="1:15">
      <c r="A15" s="35" t="s">
        <v>150</v>
      </c>
      <c r="B15" s="39">
        <f>B13/B14</f>
        <v>3.1666666666666665</v>
      </c>
      <c r="C15" s="40" t="s">
        <v>151</v>
      </c>
      <c r="D15" s="39">
        <f>D13/D14</f>
        <v>44.333333333333336</v>
      </c>
      <c r="G15" s="35" t="s">
        <v>150</v>
      </c>
      <c r="H15" s="39" t="e">
        <f>H13/H14</f>
        <v>#DIV/0!</v>
      </c>
      <c r="I15" s="40" t="s">
        <v>151</v>
      </c>
      <c r="J15" s="39" t="e">
        <f>J13/J14</f>
        <v>#DIV/0!</v>
      </c>
    </row>
  </sheetData>
  <hyperlinks>
    <hyperlink ref="O1" location="Dashboard!A1" display="Home" xr:uid="{17A7ED02-2C45-D145-B376-523688587EF2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6E3F-095E-8A4D-B879-0BAC9DA17A47}">
  <dimension ref="A1:O59"/>
  <sheetViews>
    <sheetView showGridLines="0" workbookViewId="0">
      <selection activeCell="L25" sqref="L25"/>
    </sheetView>
    <sheetView workbookViewId="1"/>
  </sheetViews>
  <sheetFormatPr defaultColWidth="11" defaultRowHeight="15.95"/>
  <cols>
    <col min="1" max="1" width="5.875" customWidth="1"/>
    <col min="2" max="2" width="22.125" bestFit="1" customWidth="1"/>
    <col min="3" max="5" width="5.875" customWidth="1"/>
    <col min="6" max="8" width="15.875" customWidth="1"/>
    <col min="10" max="10" width="12.875" bestFit="1" customWidth="1"/>
  </cols>
  <sheetData>
    <row r="1" spans="1:15" s="8" customFormat="1" ht="27">
      <c r="A1" s="8" t="s">
        <v>152</v>
      </c>
      <c r="O1" s="41" t="s">
        <v>25</v>
      </c>
    </row>
    <row r="2" spans="1:15" ht="29.1" customHeight="1">
      <c r="A2" s="13" t="s">
        <v>153</v>
      </c>
    </row>
    <row r="3" spans="1:1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5">
      <c r="B4" s="45"/>
      <c r="C4" s="45"/>
      <c r="D4" s="45"/>
      <c r="E4" s="45"/>
      <c r="F4" s="45"/>
      <c r="G4" s="45"/>
      <c r="H4" s="45"/>
      <c r="I4" s="45"/>
      <c r="K4" s="56" t="s">
        <v>154</v>
      </c>
      <c r="L4" s="45"/>
    </row>
    <row r="5" spans="1:15">
      <c r="A5" s="47"/>
      <c r="B5" s="47"/>
      <c r="C5" s="47"/>
      <c r="D5" s="47"/>
      <c r="E5" s="47"/>
      <c r="F5" s="45"/>
      <c r="G5" s="48"/>
      <c r="H5" s="48"/>
      <c r="I5" s="45"/>
      <c r="J5" s="45"/>
      <c r="K5" s="45"/>
      <c r="L5" s="45"/>
    </row>
    <row r="6" spans="1:15">
      <c r="A6" s="49"/>
      <c r="B6" s="49"/>
      <c r="C6" s="49"/>
      <c r="D6" s="50"/>
      <c r="E6" s="50"/>
      <c r="F6" s="45"/>
      <c r="G6" s="45"/>
      <c r="H6" s="45"/>
      <c r="I6" s="46"/>
      <c r="J6" s="46"/>
      <c r="K6" s="45"/>
      <c r="L6" s="45"/>
    </row>
    <row r="7" spans="1:15">
      <c r="B7" s="14"/>
      <c r="C7" s="55" t="s">
        <v>155</v>
      </c>
      <c r="D7" s="55" t="s">
        <v>156</v>
      </c>
      <c r="E7" s="55" t="s">
        <v>157</v>
      </c>
      <c r="F7" s="55" t="s">
        <v>19</v>
      </c>
      <c r="G7" s="55" t="s">
        <v>158</v>
      </c>
      <c r="H7" s="55" t="s">
        <v>159</v>
      </c>
      <c r="I7" s="55" t="s">
        <v>160</v>
      </c>
      <c r="J7" s="55" t="s">
        <v>161</v>
      </c>
      <c r="K7" s="45"/>
      <c r="L7" s="52" t="s">
        <v>162</v>
      </c>
      <c r="M7" s="53">
        <v>5</v>
      </c>
    </row>
    <row r="8" spans="1:15">
      <c r="B8" s="12" t="s">
        <v>22</v>
      </c>
      <c r="C8" s="53">
        <v>4</v>
      </c>
      <c r="D8" s="53">
        <v>7</v>
      </c>
      <c r="E8" s="53">
        <v>11</v>
      </c>
      <c r="F8" s="53">
        <v>1</v>
      </c>
      <c r="G8" s="53">
        <f>$M$7+$M$8*C8+$M$9*D8+$M$10*E8</f>
        <v>7.2</v>
      </c>
      <c r="H8" s="53">
        <f>EXP(G8)</f>
        <v>1339.430764394418</v>
      </c>
      <c r="I8" s="53">
        <f>H8/(1+H8)</f>
        <v>0.99925397116616332</v>
      </c>
      <c r="J8" s="53">
        <f>IF(F8=1,LN(I8),LN(1-I8))</f>
        <v>-7.4630725182764542E-4</v>
      </c>
      <c r="K8" s="45"/>
      <c r="L8" s="52" t="s">
        <v>155</v>
      </c>
      <c r="M8" s="53">
        <v>-0.7</v>
      </c>
    </row>
    <row r="9" spans="1:15">
      <c r="B9" s="12" t="s">
        <v>24</v>
      </c>
      <c r="C9" s="53">
        <v>7</v>
      </c>
      <c r="D9" s="53">
        <v>1</v>
      </c>
      <c r="E9" s="53">
        <v>0</v>
      </c>
      <c r="F9" s="53">
        <v>1</v>
      </c>
      <c r="G9" s="53">
        <f>$M$7+$M$8*C9+$M$9*D9+$M$10*E9</f>
        <v>0.50000000000000056</v>
      </c>
      <c r="H9" s="53">
        <f>EXP(G9)</f>
        <v>1.6487212707001291</v>
      </c>
      <c r="I9" s="53">
        <f>H9/(1+H9)</f>
        <v>0.6224593312018547</v>
      </c>
      <c r="J9" s="53">
        <f>IF(F9=1,LN(I9),LN(1-I9))</f>
        <v>-0.47407698418010646</v>
      </c>
      <c r="K9" s="45"/>
      <c r="L9" s="52" t="s">
        <v>156</v>
      </c>
      <c r="M9" s="53">
        <v>0.4</v>
      </c>
    </row>
    <row r="10" spans="1:15">
      <c r="B10" s="12" t="s">
        <v>26</v>
      </c>
      <c r="C10" s="53">
        <v>5</v>
      </c>
      <c r="D10" s="53">
        <v>0</v>
      </c>
      <c r="E10" s="53">
        <v>0</v>
      </c>
      <c r="F10" s="53">
        <v>1</v>
      </c>
      <c r="G10" s="53">
        <f>$M$7+$M$8*C10+$M$9*D10+$M$10*E10</f>
        <v>1.5</v>
      </c>
      <c r="H10" s="53">
        <f>EXP(G10)</f>
        <v>4.4816890703380645</v>
      </c>
      <c r="I10" s="53">
        <f>H10/(1+H10)</f>
        <v>0.81757447619364365</v>
      </c>
      <c r="J10" s="53">
        <f>IF(F10=1,LN(I10),LN(1-I10))</f>
        <v>-0.20141327798275241</v>
      </c>
      <c r="K10" s="45"/>
      <c r="L10" s="52" t="s">
        <v>157</v>
      </c>
      <c r="M10" s="53">
        <v>0.2</v>
      </c>
    </row>
    <row r="11" spans="1:15">
      <c r="B11" s="12" t="s">
        <v>28</v>
      </c>
      <c r="C11" s="53">
        <v>8</v>
      </c>
      <c r="D11" s="53">
        <v>0</v>
      </c>
      <c r="E11" s="53">
        <v>0</v>
      </c>
      <c r="F11" s="53">
        <v>1</v>
      </c>
      <c r="G11" s="53">
        <f>$M$7+$M$8*C11+$M$9*D11+$M$10*E11</f>
        <v>-0.59999999999999964</v>
      </c>
      <c r="H11" s="53">
        <f>EXP(G11)</f>
        <v>0.54881163609402661</v>
      </c>
      <c r="I11" s="53">
        <f>H11/(1+H11)</f>
        <v>0.35434369377420466</v>
      </c>
      <c r="J11" s="53">
        <f>IF(F11=1,LN(I11),LN(1-I11))</f>
        <v>-1.0374879504858854</v>
      </c>
      <c r="K11" s="45"/>
      <c r="L11" s="45"/>
      <c r="M11" s="45"/>
    </row>
    <row r="12" spans="1:15">
      <c r="B12" s="12" t="s">
        <v>29</v>
      </c>
      <c r="C12" s="53">
        <v>9</v>
      </c>
      <c r="D12" s="53">
        <v>0</v>
      </c>
      <c r="E12" s="53">
        <v>0</v>
      </c>
      <c r="F12" s="53">
        <v>1</v>
      </c>
      <c r="G12" s="53">
        <f>$M$7+$M$8*C12+$M$9*D12+$M$10*E12</f>
        <v>-1.2999999999999998</v>
      </c>
      <c r="H12" s="53">
        <f>EXP(G12)</f>
        <v>0.27253179303401265</v>
      </c>
      <c r="I12" s="53">
        <f>H12/(1+H12)</f>
        <v>0.21416501695744145</v>
      </c>
      <c r="J12" s="53">
        <f>IF(F12=1,LN(I12),LN(1-I12))</f>
        <v>-1.541008453832992</v>
      </c>
      <c r="K12" s="45"/>
      <c r="L12" s="45"/>
      <c r="M12" s="45"/>
    </row>
    <row r="13" spans="1:15">
      <c r="B13" s="12" t="s">
        <v>30</v>
      </c>
      <c r="C13" s="53">
        <v>6</v>
      </c>
      <c r="D13" s="53">
        <v>2</v>
      </c>
      <c r="E13" s="53">
        <v>4</v>
      </c>
      <c r="F13" s="53">
        <v>0</v>
      </c>
      <c r="G13" s="53">
        <f>$M$7+$M$8*C13+$M$9*D13+$M$10*E13</f>
        <v>2.4000000000000008</v>
      </c>
      <c r="H13" s="53">
        <f>EXP(G13)</f>
        <v>11.02317638064161</v>
      </c>
      <c r="I13" s="53">
        <f>H13/(1+H13)</f>
        <v>0.91682730350607766</v>
      </c>
      <c r="J13" s="53">
        <f>IF(F13=1,LN(I13),LN(1-I13))</f>
        <v>-2.4868361521539502</v>
      </c>
      <c r="K13" s="45"/>
      <c r="L13" s="54" t="s">
        <v>163</v>
      </c>
      <c r="M13" s="54"/>
    </row>
    <row r="14" spans="1:15">
      <c r="B14" s="12" t="s">
        <v>32</v>
      </c>
      <c r="C14" s="53">
        <v>6</v>
      </c>
      <c r="D14" s="53">
        <v>2</v>
      </c>
      <c r="E14" s="53">
        <v>7</v>
      </c>
      <c r="F14" s="53">
        <v>1</v>
      </c>
      <c r="G14" s="53">
        <f>$M$7+$M$8*C14+$M$9*D14+$M$10*E14</f>
        <v>3.0000000000000009</v>
      </c>
      <c r="H14" s="53">
        <f>EXP(G14)</f>
        <v>20.085536923187686</v>
      </c>
      <c r="I14" s="53">
        <f>H14/(1+H14)</f>
        <v>0.95257412682243325</v>
      </c>
      <c r="J14" s="53">
        <f>IF(F14=1,LN(I14),LN(1-I14))</f>
        <v>-4.858735157374202E-2</v>
      </c>
      <c r="K14" s="45"/>
      <c r="L14" s="53">
        <f>SUM(J8:J57)</f>
        <v>-49.489469989893642</v>
      </c>
      <c r="M14" s="53"/>
    </row>
    <row r="15" spans="1:15">
      <c r="B15" s="12" t="s">
        <v>33</v>
      </c>
      <c r="C15" s="53">
        <v>7</v>
      </c>
      <c r="D15" s="53">
        <v>0</v>
      </c>
      <c r="E15" s="53">
        <v>1</v>
      </c>
      <c r="F15" s="53">
        <v>0</v>
      </c>
      <c r="G15" s="53">
        <f>$M$7+$M$8*C15+$M$9*D15+$M$10*E15</f>
        <v>0.30000000000000054</v>
      </c>
      <c r="H15" s="53">
        <f>EXP(G15)</f>
        <v>1.3498588075760038</v>
      </c>
      <c r="I15" s="53">
        <f>H15/(1+H15)</f>
        <v>0.57444251681165914</v>
      </c>
      <c r="J15" s="53">
        <f>IF(F15=1,LN(I15),LN(1-I15))</f>
        <v>-0.85435524446852751</v>
      </c>
      <c r="K15" s="45"/>
      <c r="L15" s="45"/>
      <c r="M15" s="45"/>
    </row>
    <row r="16" spans="1:15">
      <c r="B16" s="12" t="s">
        <v>34</v>
      </c>
      <c r="C16" s="53">
        <v>8</v>
      </c>
      <c r="D16" s="53">
        <v>0</v>
      </c>
      <c r="E16" s="53">
        <v>1</v>
      </c>
      <c r="F16" s="53">
        <v>1</v>
      </c>
      <c r="G16" s="53">
        <f>$M$7+$M$8*C16+$M$9*D16+$M$10*E16</f>
        <v>-0.39999999999999963</v>
      </c>
      <c r="H16" s="53">
        <f>EXP(G16)</f>
        <v>0.67032004603563955</v>
      </c>
      <c r="I16" s="53">
        <f>H16/(1+H16)</f>
        <v>0.40131233988754811</v>
      </c>
      <c r="J16" s="53">
        <f>IF(F16=1,LN(I16),LN(1-I16))</f>
        <v>-0.9130152523999524</v>
      </c>
      <c r="K16" s="45"/>
      <c r="L16" s="45"/>
      <c r="M16" s="45"/>
    </row>
    <row r="17" spans="2:13">
      <c r="B17" s="12" t="s">
        <v>36</v>
      </c>
      <c r="C17" s="53">
        <v>8</v>
      </c>
      <c r="D17" s="53">
        <v>2</v>
      </c>
      <c r="E17" s="53">
        <v>2</v>
      </c>
      <c r="F17" s="53">
        <v>1</v>
      </c>
      <c r="G17" s="53">
        <f>$M$7+$M$8*C17+$M$9*D17+$M$10*E17</f>
        <v>0.60000000000000042</v>
      </c>
      <c r="H17" s="53">
        <f>EXP(G17)</f>
        <v>1.8221188003905098</v>
      </c>
      <c r="I17" s="53">
        <f>H17/(1+H17)</f>
        <v>0.64565630622579551</v>
      </c>
      <c r="J17" s="53">
        <f>IF(F17=1,LN(I17),LN(1-I17))</f>
        <v>-0.43748795048588557</v>
      </c>
      <c r="K17" s="45"/>
      <c r="L17" s="45"/>
      <c r="M17" s="45"/>
    </row>
    <row r="18" spans="2:13">
      <c r="B18" s="12" t="s">
        <v>37</v>
      </c>
      <c r="C18" s="53">
        <v>7</v>
      </c>
      <c r="D18" s="53">
        <v>0</v>
      </c>
      <c r="E18" s="53">
        <v>0</v>
      </c>
      <c r="F18" s="53">
        <v>0</v>
      </c>
      <c r="G18" s="53">
        <f>$M$7+$M$8*C18+$M$9*D18+$M$10*E18</f>
        <v>0.10000000000000053</v>
      </c>
      <c r="H18" s="53">
        <f>EXP(G18)</f>
        <v>1.1051709180756482</v>
      </c>
      <c r="I18" s="53">
        <f>H18/(1+H18)</f>
        <v>0.52497918747894012</v>
      </c>
      <c r="J18" s="53">
        <f>IF(F18=1,LN(I18),LN(1-I18))</f>
        <v>-0.74439666007357119</v>
      </c>
      <c r="K18" s="45"/>
      <c r="L18" s="45"/>
      <c r="M18" s="45"/>
    </row>
    <row r="19" spans="2:13">
      <c r="B19" s="12" t="s">
        <v>38</v>
      </c>
      <c r="C19" s="53">
        <v>7</v>
      </c>
      <c r="D19" s="53">
        <v>0</v>
      </c>
      <c r="E19" s="53">
        <v>0</v>
      </c>
      <c r="F19" s="53">
        <v>1</v>
      </c>
      <c r="G19" s="53">
        <f>$M$7+$M$8*C19+$M$9*D19+$M$10*E19</f>
        <v>0.10000000000000053</v>
      </c>
      <c r="H19" s="53">
        <f>EXP(G19)</f>
        <v>1.1051709180756482</v>
      </c>
      <c r="I19" s="53">
        <f>H19/(1+H19)</f>
        <v>0.52497918747894012</v>
      </c>
      <c r="J19" s="53">
        <f>IF(F19=1,LN(I19),LN(1-I19))</f>
        <v>-0.64439666007357066</v>
      </c>
      <c r="K19" s="45"/>
      <c r="L19" s="45"/>
      <c r="M19" s="45"/>
    </row>
    <row r="20" spans="2:13">
      <c r="B20" s="12" t="s">
        <v>39</v>
      </c>
      <c r="C20" s="53">
        <v>5</v>
      </c>
      <c r="D20" s="53">
        <v>0</v>
      </c>
      <c r="E20" s="53">
        <v>0</v>
      </c>
      <c r="F20" s="53">
        <v>0</v>
      </c>
      <c r="G20" s="53">
        <f>$M$7+$M$8*C20+$M$9*D20+$M$10*E20</f>
        <v>1.5</v>
      </c>
      <c r="H20" s="53">
        <f>EXP(G20)</f>
        <v>4.4816890703380645</v>
      </c>
      <c r="I20" s="53">
        <f>H20/(1+H20)</f>
        <v>0.81757447619364365</v>
      </c>
      <c r="J20" s="53">
        <f>IF(F20=1,LN(I20),LN(1-I20))</f>
        <v>-1.7014132779827524</v>
      </c>
      <c r="K20" s="45"/>
      <c r="L20" s="45"/>
      <c r="M20" s="45"/>
    </row>
    <row r="21" spans="2:13">
      <c r="B21" s="12" t="s">
        <v>40</v>
      </c>
      <c r="C21" s="53">
        <v>5</v>
      </c>
      <c r="D21" s="53">
        <v>0</v>
      </c>
      <c r="E21" s="53">
        <v>0</v>
      </c>
      <c r="F21" s="53">
        <v>0</v>
      </c>
      <c r="G21" s="53">
        <f>$M$7+$M$8*C21+$M$9*D21+$M$10*E21</f>
        <v>1.5</v>
      </c>
      <c r="H21" s="53">
        <f>EXP(G21)</f>
        <v>4.4816890703380645</v>
      </c>
      <c r="I21" s="53">
        <f>H21/(1+H21)</f>
        <v>0.81757447619364365</v>
      </c>
      <c r="J21" s="53">
        <f>IF(F21=1,LN(I21),LN(1-I21))</f>
        <v>-1.7014132779827524</v>
      </c>
      <c r="K21" s="45"/>
      <c r="L21" s="45"/>
      <c r="M21" s="45"/>
    </row>
    <row r="22" spans="2:13">
      <c r="B22" s="12" t="s">
        <v>41</v>
      </c>
      <c r="C22" s="53">
        <v>5</v>
      </c>
      <c r="D22" s="53">
        <v>0</v>
      </c>
      <c r="E22" s="53">
        <v>0</v>
      </c>
      <c r="F22" s="53">
        <v>1</v>
      </c>
      <c r="G22" s="53">
        <f>$M$7+$M$8*C22+$M$9*D22+$M$10*E22</f>
        <v>1.5</v>
      </c>
      <c r="H22" s="53">
        <f>EXP(G22)</f>
        <v>4.4816890703380645</v>
      </c>
      <c r="I22" s="53">
        <f>H22/(1+H22)</f>
        <v>0.81757447619364365</v>
      </c>
      <c r="J22" s="53">
        <f>IF(F22=1,LN(I22),LN(1-I22))</f>
        <v>-0.20141327798275241</v>
      </c>
      <c r="K22" s="45"/>
      <c r="L22" s="45"/>
      <c r="M22" s="45"/>
    </row>
    <row r="23" spans="2:13">
      <c r="B23" s="12" t="s">
        <v>42</v>
      </c>
      <c r="C23" s="53">
        <v>8</v>
      </c>
      <c r="D23" s="53">
        <v>1</v>
      </c>
      <c r="E23" s="53">
        <v>0</v>
      </c>
      <c r="F23" s="53">
        <v>1</v>
      </c>
      <c r="G23" s="53">
        <f>$M$7+$M$8*C23+$M$9*D23+$M$10*E23</f>
        <v>-0.19999999999999962</v>
      </c>
      <c r="H23" s="53">
        <f>EXP(G23)</f>
        <v>0.81873075307798215</v>
      </c>
      <c r="I23" s="53">
        <f>H23/(1+H23)</f>
        <v>0.45016600268752216</v>
      </c>
      <c r="J23" s="53">
        <f>IF(F23=1,LN(I23),LN(1-I23))</f>
        <v>-0.79813886938159173</v>
      </c>
      <c r="K23" s="45"/>
      <c r="L23" s="45"/>
      <c r="M23" s="45"/>
    </row>
    <row r="24" spans="2:13">
      <c r="B24" s="12" t="s">
        <v>44</v>
      </c>
      <c r="C24" s="53">
        <v>4</v>
      </c>
      <c r="D24" s="53">
        <v>6</v>
      </c>
      <c r="E24" s="53">
        <v>5</v>
      </c>
      <c r="F24" s="53">
        <v>0</v>
      </c>
      <c r="G24" s="53">
        <f>$M$7+$M$8*C24+$M$9*D24+$M$10*E24</f>
        <v>5.6000000000000005</v>
      </c>
      <c r="H24" s="53">
        <f>EXP(G24)</f>
        <v>270.42640742615276</v>
      </c>
      <c r="I24" s="53">
        <f>H24/(1+H24)</f>
        <v>0.996315760100564</v>
      </c>
      <c r="J24" s="53">
        <f>IF(F24=1,LN(I24),LN(1-I24))</f>
        <v>-5.6036910434269425</v>
      </c>
      <c r="K24" s="45"/>
      <c r="L24" s="45"/>
      <c r="M24" s="45"/>
    </row>
    <row r="25" spans="2:13">
      <c r="B25" s="12" t="s">
        <v>46</v>
      </c>
      <c r="C25" s="53">
        <v>5</v>
      </c>
      <c r="D25" s="53">
        <v>9</v>
      </c>
      <c r="E25" s="53">
        <v>8</v>
      </c>
      <c r="F25" s="53">
        <v>1</v>
      </c>
      <c r="G25" s="53">
        <f>$M$7+$M$8*C25+$M$9*D25+$M$10*E25</f>
        <v>6.6999999999999993</v>
      </c>
      <c r="H25" s="53">
        <f>EXP(G25)</f>
        <v>812.4058251675425</v>
      </c>
      <c r="I25" s="53">
        <f>H25/(1+H25)</f>
        <v>0.99877060137872253</v>
      </c>
      <c r="J25" s="53">
        <f>IF(F25=1,LN(I25),LN(1-I25))</f>
        <v>-1.2301549517137456E-3</v>
      </c>
      <c r="K25" s="45"/>
      <c r="L25" s="45"/>
      <c r="M25" s="45"/>
    </row>
    <row r="26" spans="2:13">
      <c r="B26" s="12" t="s">
        <v>47</v>
      </c>
      <c r="C26" s="53">
        <v>6</v>
      </c>
      <c r="D26" s="53">
        <v>4</v>
      </c>
      <c r="E26" s="53">
        <v>1</v>
      </c>
      <c r="F26" s="53">
        <v>1</v>
      </c>
      <c r="G26" s="53">
        <f>$M$7+$M$8*C26+$M$9*D26+$M$10*E26</f>
        <v>2.600000000000001</v>
      </c>
      <c r="H26" s="53">
        <f>EXP(G26)</f>
        <v>13.463738035001704</v>
      </c>
      <c r="I26" s="53">
        <f>H26/(1+H26)</f>
        <v>0.93086157965665328</v>
      </c>
      <c r="J26" s="53">
        <f>IF(F26=1,LN(I26),LN(1-I26))</f>
        <v>-7.1644691967669705E-2</v>
      </c>
      <c r="K26" s="45"/>
      <c r="L26" s="45"/>
      <c r="M26" s="45"/>
    </row>
    <row r="27" spans="2:13">
      <c r="B27" s="12" t="s">
        <v>49</v>
      </c>
      <c r="C27" s="53">
        <v>4</v>
      </c>
      <c r="D27" s="53">
        <v>11</v>
      </c>
      <c r="E27" s="53">
        <v>9</v>
      </c>
      <c r="F27" s="53">
        <v>1</v>
      </c>
      <c r="G27" s="53">
        <f>$M$7+$M$8*C27+$M$9*D27+$M$10*E27</f>
        <v>8.4</v>
      </c>
      <c r="H27" s="53">
        <f>EXP(G27)</f>
        <v>4447.0667476998578</v>
      </c>
      <c r="I27" s="53">
        <f>H27/(1+H27)</f>
        <v>0.99977518322976666</v>
      </c>
      <c r="J27" s="53">
        <f>IF(F27=1,LN(I27),LN(1-I27))</f>
        <v>-2.2484204531167249E-4</v>
      </c>
      <c r="K27" s="45"/>
      <c r="L27" s="45"/>
      <c r="M27" s="45"/>
    </row>
    <row r="28" spans="2:13">
      <c r="B28" s="12" t="s">
        <v>51</v>
      </c>
      <c r="C28" s="53">
        <v>9</v>
      </c>
      <c r="D28" s="53">
        <v>1</v>
      </c>
      <c r="E28" s="53">
        <v>1</v>
      </c>
      <c r="F28" s="53">
        <v>1</v>
      </c>
      <c r="G28" s="53">
        <f>$M$7+$M$8*C28+$M$9*D28+$M$10*E28</f>
        <v>-0.69999999999999973</v>
      </c>
      <c r="H28" s="53">
        <f>EXP(G28)</f>
        <v>0.49658530379140964</v>
      </c>
      <c r="I28" s="53">
        <f>H28/(1+H28)</f>
        <v>0.33181222783183395</v>
      </c>
      <c r="J28" s="53">
        <f>IF(F28=1,LN(I28),LN(1-I28))</f>
        <v>-1.1031860488854577</v>
      </c>
      <c r="K28" s="45"/>
      <c r="L28" s="45"/>
      <c r="M28" s="45"/>
    </row>
    <row r="29" spans="2:13">
      <c r="B29" s="12" t="s">
        <v>53</v>
      </c>
      <c r="C29" s="53">
        <v>8</v>
      </c>
      <c r="D29" s="53">
        <v>0</v>
      </c>
      <c r="E29" s="53">
        <v>2</v>
      </c>
      <c r="F29" s="53">
        <v>1</v>
      </c>
      <c r="G29" s="53">
        <f>$M$7+$M$8*C29+$M$9*D29+$M$10*E29</f>
        <v>-0.19999999999999962</v>
      </c>
      <c r="H29" s="53">
        <f>EXP(G29)</f>
        <v>0.81873075307798215</v>
      </c>
      <c r="I29" s="53">
        <f>H29/(1+H29)</f>
        <v>0.45016600268752216</v>
      </c>
      <c r="J29" s="53">
        <f>IF(F29=1,LN(I29),LN(1-I29))</f>
        <v>-0.79813886938159173</v>
      </c>
      <c r="K29" s="45"/>
      <c r="L29" s="45"/>
      <c r="M29" s="45"/>
    </row>
    <row r="30" spans="2:13">
      <c r="B30" s="12" t="s">
        <v>55</v>
      </c>
      <c r="C30" s="53">
        <v>7</v>
      </c>
      <c r="D30" s="53">
        <v>1</v>
      </c>
      <c r="E30" s="53">
        <v>1</v>
      </c>
      <c r="F30" s="53">
        <v>1</v>
      </c>
      <c r="G30" s="53">
        <f>$M$7+$M$8*C30+$M$9*D30+$M$10*E30</f>
        <v>0.70000000000000062</v>
      </c>
      <c r="H30" s="53">
        <f>EXP(G30)</f>
        <v>2.013752707470478</v>
      </c>
      <c r="I30" s="53">
        <f>H30/(1+H30)</f>
        <v>0.66818777216816627</v>
      </c>
      <c r="J30" s="53">
        <f>IF(F30=1,LN(I30),LN(1-I30))</f>
        <v>-0.40318604888545767</v>
      </c>
      <c r="K30" s="45"/>
      <c r="L30" s="45"/>
      <c r="M30" s="45"/>
    </row>
    <row r="31" spans="2:13">
      <c r="B31" s="12" t="s">
        <v>56</v>
      </c>
      <c r="C31" s="53">
        <v>7</v>
      </c>
      <c r="D31" s="53">
        <v>2</v>
      </c>
      <c r="E31" s="53">
        <v>5</v>
      </c>
      <c r="F31" s="53">
        <v>1</v>
      </c>
      <c r="G31" s="53">
        <f>$M$7+$M$8*C31+$M$9*D31+$M$10*E31</f>
        <v>1.9000000000000006</v>
      </c>
      <c r="H31" s="53">
        <f>EXP(G31)</f>
        <v>6.685894442279273</v>
      </c>
      <c r="I31" s="53">
        <f>H31/(1+H31)</f>
        <v>0.86989152563700223</v>
      </c>
      <c r="J31" s="53">
        <f>IF(F31=1,LN(I31),LN(1-I31))</f>
        <v>-0.13938675828296049</v>
      </c>
      <c r="K31" s="45"/>
      <c r="L31" s="45"/>
      <c r="M31" s="45"/>
    </row>
    <row r="32" spans="2:13">
      <c r="B32" s="12" t="s">
        <v>57</v>
      </c>
      <c r="C32" s="53">
        <v>6</v>
      </c>
      <c r="D32" s="53">
        <v>2</v>
      </c>
      <c r="E32" s="53">
        <v>3</v>
      </c>
      <c r="F32" s="53">
        <v>1</v>
      </c>
      <c r="G32" s="53">
        <f>$M$7+$M$8*C32+$M$9*D32+$M$10*E32</f>
        <v>2.2000000000000011</v>
      </c>
      <c r="H32" s="53">
        <f>EXP(G32)</f>
        <v>9.0250134994341309</v>
      </c>
      <c r="I32" s="53">
        <f>H32/(1+H32)</f>
        <v>0.90024951088031491</v>
      </c>
      <c r="J32" s="53">
        <f>IF(F32=1,LN(I32),LN(1-I32))</f>
        <v>-0.10508331976869585</v>
      </c>
      <c r="K32" s="45"/>
      <c r="L32" s="45"/>
      <c r="M32" s="45"/>
    </row>
    <row r="33" spans="2:13">
      <c r="B33" s="12" t="s">
        <v>58</v>
      </c>
      <c r="C33" s="53">
        <v>7</v>
      </c>
      <c r="D33" s="53">
        <v>1</v>
      </c>
      <c r="E33" s="53">
        <v>2</v>
      </c>
      <c r="F33" s="53">
        <v>1</v>
      </c>
      <c r="G33" s="53">
        <f>$M$7+$M$8*C33+$M$9*D33+$M$10*E33</f>
        <v>0.90000000000000058</v>
      </c>
      <c r="H33" s="53">
        <f>EXP(G33)</f>
        <v>2.4596031111569512</v>
      </c>
      <c r="I33" s="53">
        <f>H33/(1+H33)</f>
        <v>0.71094950262500411</v>
      </c>
      <c r="J33" s="53">
        <f>IF(F33=1,LN(I33),LN(1-I33))</f>
        <v>-0.34115387473208764</v>
      </c>
      <c r="K33" s="45"/>
      <c r="L33" s="45"/>
      <c r="M33" s="45"/>
    </row>
    <row r="34" spans="2:13">
      <c r="B34" s="12" t="s">
        <v>59</v>
      </c>
      <c r="C34" s="53">
        <v>6</v>
      </c>
      <c r="D34" s="53">
        <v>3</v>
      </c>
      <c r="E34" s="53">
        <v>5</v>
      </c>
      <c r="F34" s="53">
        <v>0</v>
      </c>
      <c r="G34" s="53">
        <f>$M$7+$M$8*C34+$M$9*D34+$M$10*E34</f>
        <v>3.0000000000000009</v>
      </c>
      <c r="H34" s="53">
        <f>EXP(G34)</f>
        <v>20.085536923187686</v>
      </c>
      <c r="I34" s="53">
        <f>H34/(1+H34)</f>
        <v>0.95257412682243325</v>
      </c>
      <c r="J34" s="53">
        <f>IF(F34=1,LN(I34),LN(1-I34))</f>
        <v>-3.0485873515737429</v>
      </c>
      <c r="K34" s="45"/>
      <c r="L34" s="45"/>
      <c r="M34" s="45"/>
    </row>
    <row r="35" spans="2:13">
      <c r="B35" s="12" t="s">
        <v>61</v>
      </c>
      <c r="C35" s="53">
        <v>6</v>
      </c>
      <c r="D35" s="53">
        <v>1</v>
      </c>
      <c r="E35" s="53">
        <v>5</v>
      </c>
      <c r="F35" s="53">
        <v>0</v>
      </c>
      <c r="G35" s="53">
        <f>$M$7+$M$8*C35+$M$9*D35+$M$10*E35</f>
        <v>2.2000000000000006</v>
      </c>
      <c r="H35" s="53">
        <f>EXP(G35)</f>
        <v>9.0250134994341273</v>
      </c>
      <c r="I35" s="53">
        <f>H35/(1+H35)</f>
        <v>0.90024951088031491</v>
      </c>
      <c r="J35" s="53">
        <f>IF(F35=1,LN(I35),LN(1-I35))</f>
        <v>-2.3050833197686966</v>
      </c>
      <c r="K35" s="45"/>
      <c r="L35" s="45"/>
      <c r="M35" s="45"/>
    </row>
    <row r="36" spans="2:13">
      <c r="B36" s="12" t="s">
        <v>62</v>
      </c>
      <c r="C36" s="53">
        <v>6</v>
      </c>
      <c r="D36" s="53">
        <v>3</v>
      </c>
      <c r="E36" s="53">
        <v>2</v>
      </c>
      <c r="F36" s="53">
        <v>0</v>
      </c>
      <c r="G36" s="53">
        <f>$M$7+$M$8*C36+$M$9*D36+$M$10*E36</f>
        <v>2.4000000000000008</v>
      </c>
      <c r="H36" s="53">
        <f>EXP(G36)</f>
        <v>11.02317638064161</v>
      </c>
      <c r="I36" s="53">
        <f>H36/(1+H36)</f>
        <v>0.91682730350607766</v>
      </c>
      <c r="J36" s="53">
        <f>IF(F36=1,LN(I36),LN(1-I36))</f>
        <v>-2.4868361521539502</v>
      </c>
      <c r="K36" s="45"/>
      <c r="L36" s="45"/>
      <c r="M36" s="45"/>
    </row>
    <row r="37" spans="2:13">
      <c r="B37" s="12" t="s">
        <v>63</v>
      </c>
      <c r="C37" s="53">
        <v>8</v>
      </c>
      <c r="D37" s="53">
        <v>2</v>
      </c>
      <c r="E37" s="53">
        <v>2</v>
      </c>
      <c r="F37" s="53">
        <v>0</v>
      </c>
      <c r="G37" s="53">
        <f>$M$7+$M$8*C37+$M$9*D37+$M$10*E37</f>
        <v>0.60000000000000042</v>
      </c>
      <c r="H37" s="53">
        <f>EXP(G37)</f>
        <v>1.8221188003905098</v>
      </c>
      <c r="I37" s="53">
        <f>H37/(1+H37)</f>
        <v>0.64565630622579551</v>
      </c>
      <c r="J37" s="53">
        <f>IF(F37=1,LN(I37),LN(1-I37))</f>
        <v>-1.0374879504858858</v>
      </c>
      <c r="K37" s="45"/>
      <c r="L37" s="45"/>
      <c r="M37" s="45"/>
    </row>
    <row r="38" spans="2:13">
      <c r="B38" s="12" t="s">
        <v>64</v>
      </c>
      <c r="C38" s="53">
        <v>6</v>
      </c>
      <c r="D38" s="53">
        <v>2</v>
      </c>
      <c r="E38" s="53">
        <v>2</v>
      </c>
      <c r="F38" s="53">
        <v>1</v>
      </c>
      <c r="G38" s="53">
        <f>$M$7+$M$8*C38+$M$9*D38+$M$10*E38</f>
        <v>2.0000000000000009</v>
      </c>
      <c r="H38" s="53">
        <f>EXP(G38)</f>
        <v>7.3890560989306566</v>
      </c>
      <c r="I38" s="53">
        <f>H38/(1+H38)</f>
        <v>0.88079707797788265</v>
      </c>
      <c r="J38" s="53">
        <f>IF(F38=1,LN(I38),LN(1-I38))</f>
        <v>-0.12692801104297227</v>
      </c>
      <c r="K38" s="45"/>
      <c r="L38" s="45"/>
      <c r="M38" s="45"/>
    </row>
    <row r="39" spans="2:13">
      <c r="B39" s="12" t="s">
        <v>65</v>
      </c>
      <c r="C39" s="53">
        <v>6</v>
      </c>
      <c r="D39" s="53">
        <v>4</v>
      </c>
      <c r="E39" s="53">
        <v>3</v>
      </c>
      <c r="F39" s="53">
        <v>1</v>
      </c>
      <c r="G39" s="53">
        <f>$M$7+$M$8*C39+$M$9*D39+$M$10*E39</f>
        <v>3.0000000000000009</v>
      </c>
      <c r="H39" s="53">
        <f>EXP(G39)</f>
        <v>20.085536923187686</v>
      </c>
      <c r="I39" s="53">
        <f>H39/(1+H39)</f>
        <v>0.95257412682243325</v>
      </c>
      <c r="J39" s="53">
        <f>IF(F39=1,LN(I39),LN(1-I39))</f>
        <v>-4.858735157374202E-2</v>
      </c>
      <c r="K39" s="45"/>
      <c r="L39" s="45"/>
      <c r="M39" s="45"/>
    </row>
    <row r="40" spans="2:13">
      <c r="B40" s="12" t="s">
        <v>66</v>
      </c>
      <c r="C40" s="53">
        <v>4</v>
      </c>
      <c r="D40" s="53">
        <v>9</v>
      </c>
      <c r="E40" s="53">
        <v>5</v>
      </c>
      <c r="F40" s="53">
        <v>0</v>
      </c>
      <c r="G40" s="53">
        <f>$M$7+$M$8*C40+$M$9*D40+$M$10*E40</f>
        <v>6.8000000000000007</v>
      </c>
      <c r="H40" s="53">
        <f>EXP(G40)</f>
        <v>897.84729165041836</v>
      </c>
      <c r="I40" s="53">
        <f>H40/(1+H40)</f>
        <v>0.99888746396713968</v>
      </c>
      <c r="J40" s="53">
        <f>IF(F40=1,LN(I40),LN(1-I40))</f>
        <v>-6.8011131553604631</v>
      </c>
      <c r="K40" s="45"/>
      <c r="L40" s="45"/>
      <c r="M40" s="45"/>
    </row>
    <row r="41" spans="2:13">
      <c r="B41" s="12" t="s">
        <v>68</v>
      </c>
      <c r="C41" s="53">
        <v>5</v>
      </c>
      <c r="D41" s="53">
        <v>9</v>
      </c>
      <c r="E41" s="53">
        <v>4</v>
      </c>
      <c r="F41" s="53">
        <v>1</v>
      </c>
      <c r="G41" s="53">
        <f>$M$7+$M$8*C41+$M$9*D41+$M$10*E41</f>
        <v>5.8999999999999995</v>
      </c>
      <c r="H41" s="53">
        <f>EXP(G41)</f>
        <v>365.03746786532861</v>
      </c>
      <c r="I41" s="53">
        <f>H41/(1+H41)</f>
        <v>0.99726803923698892</v>
      </c>
      <c r="J41" s="53">
        <f>IF(F41=1,LN(I41),LN(1-I41))</f>
        <v>-2.735699378536135E-3</v>
      </c>
      <c r="K41" s="45"/>
      <c r="L41" s="45"/>
      <c r="M41" s="45"/>
    </row>
    <row r="42" spans="2:13">
      <c r="B42" s="12" t="s">
        <v>69</v>
      </c>
      <c r="C42" s="53">
        <v>5</v>
      </c>
      <c r="D42" s="53">
        <v>9</v>
      </c>
      <c r="E42" s="53">
        <v>14</v>
      </c>
      <c r="F42" s="53">
        <v>1</v>
      </c>
      <c r="G42" s="53">
        <f>$M$7+$M$8*C42+$M$9*D42+$M$10*E42</f>
        <v>7.9</v>
      </c>
      <c r="H42" s="53">
        <f>EXP(G42)</f>
        <v>2697.2823282685099</v>
      </c>
      <c r="I42" s="53">
        <f>H42/(1+H42)</f>
        <v>0.99962939385937355</v>
      </c>
      <c r="J42" s="53">
        <f>IF(F42=1,LN(I42),LN(1-I42))</f>
        <v>-3.7067483205435308E-4</v>
      </c>
      <c r="K42" s="45"/>
      <c r="L42" s="45"/>
      <c r="M42" s="45"/>
    </row>
    <row r="43" spans="2:13">
      <c r="B43" s="12" t="s">
        <v>71</v>
      </c>
      <c r="C43" s="53">
        <v>8</v>
      </c>
      <c r="D43" s="53">
        <v>1</v>
      </c>
      <c r="E43" s="53">
        <v>1</v>
      </c>
      <c r="F43" s="53">
        <v>1</v>
      </c>
      <c r="G43" s="53">
        <f>$M$7+$M$8*C43+$M$9*D43+$M$10*E43</f>
        <v>3.8857805861880479E-16</v>
      </c>
      <c r="H43" s="53">
        <f>EXP(G43)</f>
        <v>1.0000000000000004</v>
      </c>
      <c r="I43" s="53">
        <f>H43/(1+H43)</f>
        <v>0.50000000000000011</v>
      </c>
      <c r="J43" s="53">
        <f>IF(F43=1,LN(I43),LN(1-I43))</f>
        <v>-0.69314718055994506</v>
      </c>
      <c r="K43" s="45"/>
      <c r="L43" s="45"/>
      <c r="M43" s="45"/>
    </row>
    <row r="44" spans="2:13">
      <c r="B44" s="12" t="s">
        <v>73</v>
      </c>
      <c r="C44" s="53">
        <v>4</v>
      </c>
      <c r="D44" s="53">
        <v>10</v>
      </c>
      <c r="E44" s="53">
        <v>13</v>
      </c>
      <c r="F44" s="53">
        <v>1</v>
      </c>
      <c r="G44" s="53">
        <f>$M$7+$M$8*C44+$M$9*D44+$M$10*E44</f>
        <v>8.8000000000000007</v>
      </c>
      <c r="H44" s="53">
        <f>EXP(G44)</f>
        <v>6634.2440062778896</v>
      </c>
      <c r="I44" s="53">
        <f>H44/(1+H44)</f>
        <v>0.9998492896419402</v>
      </c>
      <c r="J44" s="53">
        <f>IF(F44=1,LN(I44),LN(1-I44))</f>
        <v>-1.5072171600700348E-4</v>
      </c>
      <c r="K44" s="45"/>
      <c r="L44" s="45"/>
      <c r="M44" s="45"/>
    </row>
    <row r="45" spans="2:13">
      <c r="B45" s="12" t="s">
        <v>74</v>
      </c>
      <c r="C45" s="53">
        <v>6</v>
      </c>
      <c r="D45" s="53">
        <v>3</v>
      </c>
      <c r="E45" s="53">
        <v>4</v>
      </c>
      <c r="F45" s="53">
        <v>1</v>
      </c>
      <c r="G45" s="53">
        <f>$M$7+$M$8*C45+$M$9*D45+$M$10*E45</f>
        <v>2.8000000000000007</v>
      </c>
      <c r="H45" s="53">
        <f>EXP(G45)</f>
        <v>16.444646771097062</v>
      </c>
      <c r="I45" s="53">
        <f>H45/(1+H45)</f>
        <v>0.94267582410113127</v>
      </c>
      <c r="J45" s="53">
        <f>IF(F45=1,LN(I45),LN(1-I45))</f>
        <v>-5.9032826287971386E-2</v>
      </c>
      <c r="K45" s="45"/>
      <c r="L45" s="45"/>
      <c r="M45" s="45"/>
    </row>
    <row r="46" spans="2:13">
      <c r="B46" s="12" t="s">
        <v>75</v>
      </c>
      <c r="C46" s="53">
        <v>9</v>
      </c>
      <c r="D46" s="53">
        <v>2</v>
      </c>
      <c r="E46" s="53">
        <v>0</v>
      </c>
      <c r="F46" s="53">
        <v>0</v>
      </c>
      <c r="G46" s="53">
        <f>$M$7+$M$8*C46+$M$9*D46+$M$10*E46</f>
        <v>-0.49999999999999978</v>
      </c>
      <c r="H46" s="53">
        <f>EXP(G46)</f>
        <v>0.60653065971263354</v>
      </c>
      <c r="I46" s="53">
        <f>H46/(1+H46)</f>
        <v>0.37754066879814546</v>
      </c>
      <c r="J46" s="53">
        <f>IF(F46=1,LN(I46),LN(1-I46))</f>
        <v>-0.4740769841801068</v>
      </c>
      <c r="K46" s="45"/>
      <c r="L46" s="45"/>
      <c r="M46" s="45"/>
    </row>
    <row r="47" spans="2:13">
      <c r="B47" s="12" t="s">
        <v>76</v>
      </c>
      <c r="C47" s="53">
        <v>4</v>
      </c>
      <c r="D47" s="53">
        <v>7</v>
      </c>
      <c r="E47" s="53">
        <v>9</v>
      </c>
      <c r="F47" s="53">
        <v>0</v>
      </c>
      <c r="G47" s="53">
        <f>$M$7+$M$8*C47+$M$9*D47+$M$10*E47</f>
        <v>6.8</v>
      </c>
      <c r="H47" s="53">
        <f>EXP(G47)</f>
        <v>897.84729165041756</v>
      </c>
      <c r="I47" s="53">
        <f>H47/(1+H47)</f>
        <v>0.99888746396713968</v>
      </c>
      <c r="J47" s="53">
        <f>IF(F47=1,LN(I47),LN(1-I47))</f>
        <v>-6.8011131553604631</v>
      </c>
      <c r="K47" s="45"/>
      <c r="L47" s="45"/>
      <c r="M47" s="45"/>
    </row>
    <row r="48" spans="2:13">
      <c r="B48" s="12" t="s">
        <v>78</v>
      </c>
      <c r="C48" s="53">
        <v>5</v>
      </c>
      <c r="D48" s="53">
        <v>7</v>
      </c>
      <c r="E48" s="53">
        <v>3</v>
      </c>
      <c r="F48" s="53">
        <v>1</v>
      </c>
      <c r="G48" s="53">
        <f>$M$7+$M$8*C48+$M$9*D48+$M$10*E48</f>
        <v>4.9000000000000004</v>
      </c>
      <c r="H48" s="53">
        <f>EXP(G48)</f>
        <v>134.28977968493552</v>
      </c>
      <c r="I48" s="53">
        <f>H48/(1+H48)</f>
        <v>0.99260845865571801</v>
      </c>
      <c r="J48" s="53">
        <f>IF(F48=1,LN(I48),LN(1-I48))</f>
        <v>-7.4189941486867304E-3</v>
      </c>
      <c r="K48" s="45"/>
      <c r="L48" s="45"/>
      <c r="M48" s="45"/>
    </row>
    <row r="49" spans="1:13">
      <c r="B49" s="12" t="s">
        <v>79</v>
      </c>
      <c r="C49" s="53">
        <v>7</v>
      </c>
      <c r="D49" s="53">
        <v>4</v>
      </c>
      <c r="E49" s="53">
        <v>1</v>
      </c>
      <c r="F49" s="53">
        <v>1</v>
      </c>
      <c r="G49" s="53">
        <f>$M$7+$M$8*C49+$M$9*D49+$M$10*E49</f>
        <v>1.9000000000000006</v>
      </c>
      <c r="H49" s="53">
        <f>EXP(G49)</f>
        <v>6.685894442279273</v>
      </c>
      <c r="I49" s="53">
        <f>H49/(1+H49)</f>
        <v>0.86989152563700223</v>
      </c>
      <c r="J49" s="53">
        <f>IF(F49=1,LN(I49),LN(1-I49))</f>
        <v>-0.13938675828296049</v>
      </c>
      <c r="K49" s="45"/>
      <c r="L49" s="45"/>
      <c r="M49" s="45"/>
    </row>
    <row r="50" spans="1:13">
      <c r="B50" s="12" t="s">
        <v>80</v>
      </c>
      <c r="C50" s="53">
        <v>5</v>
      </c>
      <c r="D50" s="53">
        <v>9</v>
      </c>
      <c r="E50" s="53">
        <v>13</v>
      </c>
      <c r="F50" s="53">
        <v>1</v>
      </c>
      <c r="G50" s="53">
        <f>$M$7+$M$8*C50+$M$9*D50+$M$10*E50</f>
        <v>7.6999999999999993</v>
      </c>
      <c r="H50" s="53">
        <f>EXP(G50)</f>
        <v>2208.3479918872072</v>
      </c>
      <c r="I50" s="53">
        <f>H50/(1+H50)</f>
        <v>0.9995473777767595</v>
      </c>
      <c r="J50" s="53">
        <f>IF(F50=1,LN(I50),LN(1-I50))</f>
        <v>-4.5272468759857774E-4</v>
      </c>
      <c r="K50" s="45"/>
      <c r="L50" s="45"/>
      <c r="M50" s="45"/>
    </row>
    <row r="51" spans="1:13">
      <c r="B51" s="12" t="s">
        <v>81</v>
      </c>
      <c r="C51" s="53">
        <v>6</v>
      </c>
      <c r="D51" s="53">
        <v>1</v>
      </c>
      <c r="E51" s="53">
        <v>4</v>
      </c>
      <c r="F51" s="53">
        <v>0</v>
      </c>
      <c r="G51" s="53">
        <f>$M$7+$M$8*C51+$M$9*D51+$M$10*E51</f>
        <v>2.0000000000000009</v>
      </c>
      <c r="H51" s="53">
        <f>EXP(G51)</f>
        <v>7.3890560989306566</v>
      </c>
      <c r="I51" s="53">
        <f>H51/(1+H51)</f>
        <v>0.88079707797788265</v>
      </c>
      <c r="J51" s="53">
        <f>IF(F51=1,LN(I51),LN(1-I51))</f>
        <v>-2.126928011042974</v>
      </c>
      <c r="K51" s="45"/>
      <c r="L51" s="45"/>
      <c r="M51" s="45"/>
    </row>
    <row r="52" spans="1:13">
      <c r="B52" s="12" t="s">
        <v>82</v>
      </c>
      <c r="C52" s="53">
        <v>4</v>
      </c>
      <c r="D52" s="53">
        <v>9</v>
      </c>
      <c r="E52" s="53">
        <v>4</v>
      </c>
      <c r="F52" s="53">
        <v>1</v>
      </c>
      <c r="G52" s="53">
        <f>$M$7+$M$8*C52+$M$9*D52+$M$10*E52</f>
        <v>6.6000000000000005</v>
      </c>
      <c r="H52" s="53">
        <f>EXP(G52)</f>
        <v>735.09518924197323</v>
      </c>
      <c r="I52" s="53">
        <f>H52/(1+H52)</f>
        <v>0.9986414800495711</v>
      </c>
      <c r="J52" s="53">
        <f>IF(F52=1,LN(I52),LN(1-I52))</f>
        <v>-1.3594435752600376E-3</v>
      </c>
      <c r="K52" s="45"/>
      <c r="L52" s="45"/>
      <c r="M52" s="45"/>
    </row>
    <row r="53" spans="1:13">
      <c r="B53" s="12" t="s">
        <v>84</v>
      </c>
      <c r="C53" s="53">
        <v>5</v>
      </c>
      <c r="D53" s="53">
        <v>5</v>
      </c>
      <c r="E53" s="53">
        <v>9</v>
      </c>
      <c r="F53" s="53">
        <v>1</v>
      </c>
      <c r="G53" s="53">
        <f>$M$7+$M$8*C53+$M$9*D53+$M$10*E53</f>
        <v>5.3</v>
      </c>
      <c r="H53" s="53">
        <f>EXP(G53)</f>
        <v>200.33680997479166</v>
      </c>
      <c r="I53" s="53">
        <f>H53/(1+H53)</f>
        <v>0.99503319834994308</v>
      </c>
      <c r="J53" s="53">
        <f>IF(F53=1,LN(I53),LN(1-I53))</f>
        <v>-4.9791772043271867E-3</v>
      </c>
      <c r="K53" s="45"/>
      <c r="L53" s="45"/>
      <c r="M53" s="45"/>
    </row>
    <row r="54" spans="1:13">
      <c r="B54" s="12" t="s">
        <v>85</v>
      </c>
      <c r="C54" s="53">
        <v>8</v>
      </c>
      <c r="D54" s="53">
        <v>1</v>
      </c>
      <c r="E54" s="53">
        <v>2</v>
      </c>
      <c r="F54" s="53">
        <v>1</v>
      </c>
      <c r="G54" s="53">
        <f>$M$7+$M$8*C54+$M$9*D54+$M$10*E54</f>
        <v>0.2000000000000004</v>
      </c>
      <c r="H54" s="53">
        <f>EXP(G54)</f>
        <v>1.2214027581601703</v>
      </c>
      <c r="I54" s="53">
        <f>H54/(1+H54)</f>
        <v>0.54983399731247795</v>
      </c>
      <c r="J54" s="53">
        <f>IF(F54=1,LN(I54),LN(1-I54))</f>
        <v>-0.59813886938159178</v>
      </c>
      <c r="K54" s="45"/>
      <c r="L54" s="45"/>
      <c r="M54" s="45"/>
    </row>
    <row r="55" spans="1:13">
      <c r="B55" s="12" t="s">
        <v>86</v>
      </c>
      <c r="C55" s="53">
        <v>6</v>
      </c>
      <c r="D55" s="53">
        <v>1</v>
      </c>
      <c r="E55" s="53">
        <v>4</v>
      </c>
      <c r="F55" s="53">
        <v>1</v>
      </c>
      <c r="G55" s="53">
        <f>$M$7+$M$8*C55+$M$9*D55+$M$10*E55</f>
        <v>2.0000000000000009</v>
      </c>
      <c r="H55" s="53">
        <f>EXP(G55)</f>
        <v>7.3890560989306566</v>
      </c>
      <c r="I55" s="53">
        <f>H55/(1+H55)</f>
        <v>0.88079707797788265</v>
      </c>
      <c r="J55" s="53">
        <f>IF(F55=1,LN(I55),LN(1-I55))</f>
        <v>-0.12692801104297227</v>
      </c>
      <c r="K55" s="45"/>
      <c r="L55" s="45"/>
      <c r="M55" s="45"/>
    </row>
    <row r="56" spans="1:13">
      <c r="B56" s="12" t="s">
        <v>87</v>
      </c>
      <c r="C56" s="53">
        <v>6</v>
      </c>
      <c r="D56" s="53">
        <v>7</v>
      </c>
      <c r="E56" s="53">
        <v>9</v>
      </c>
      <c r="F56" s="53">
        <v>1</v>
      </c>
      <c r="G56" s="53">
        <f>$M$7+$M$8*C56+$M$9*D56+$M$10*E56</f>
        <v>5.4000000000000012</v>
      </c>
      <c r="H56" s="53">
        <f>EXP(G56)</f>
        <v>221.40641620418737</v>
      </c>
      <c r="I56" s="53">
        <f>H56/(1+H56)</f>
        <v>0.99550372683905886</v>
      </c>
      <c r="J56" s="53">
        <f>IF(F56=1,LN(I56),LN(1-I56))</f>
        <v>-4.506411799249389E-3</v>
      </c>
      <c r="K56" s="45"/>
      <c r="L56" s="45"/>
      <c r="M56" s="45"/>
    </row>
    <row r="57" spans="1:13">
      <c r="B57" s="12" t="s">
        <v>89</v>
      </c>
      <c r="C57" s="53">
        <v>9</v>
      </c>
      <c r="D57" s="53">
        <v>0</v>
      </c>
      <c r="E57" s="53">
        <v>0</v>
      </c>
      <c r="F57" s="53">
        <v>0</v>
      </c>
      <c r="G57" s="53">
        <f>$M$7+$M$8*C57+$M$9*D57+$M$10*E57</f>
        <v>-1.2999999999999998</v>
      </c>
      <c r="H57" s="53">
        <f>EXP(G57)</f>
        <v>0.27253179303401265</v>
      </c>
      <c r="I57" s="53">
        <f>H57/(1+H57)</f>
        <v>0.21416501695744145</v>
      </c>
      <c r="J57" s="53">
        <f>IF(F57=1,LN(I57),LN(1-I57))</f>
        <v>-0.24100845383299221</v>
      </c>
      <c r="K57" s="45"/>
      <c r="L57" s="45"/>
      <c r="M57" s="45"/>
    </row>
    <row r="58" spans="1:13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13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</sheetData>
  <hyperlinks>
    <hyperlink ref="O1" location="Dashboard!A1" display="Home" xr:uid="{050963A6-DA66-5844-A9ED-EE8B6CD746CB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811E-D299-8547-A517-6761DDDFE27B}">
  <dimension ref="A1:O36"/>
  <sheetViews>
    <sheetView showGridLines="0" workbookViewId="0">
      <selection activeCell="M10" sqref="M10"/>
    </sheetView>
    <sheetView workbookViewId="1"/>
  </sheetViews>
  <sheetFormatPr defaultColWidth="11" defaultRowHeight="15.95"/>
  <sheetData>
    <row r="1" spans="1:15" s="8" customFormat="1" ht="27">
      <c r="A1" s="8" t="s">
        <v>152</v>
      </c>
      <c r="O1" s="41" t="s">
        <v>25</v>
      </c>
    </row>
    <row r="2" spans="1:15" ht="29.1" customHeight="1">
      <c r="A2" s="13" t="s">
        <v>164</v>
      </c>
    </row>
    <row r="4" spans="1:15">
      <c r="A4" s="45"/>
      <c r="B4" s="45"/>
      <c r="C4" s="45"/>
      <c r="D4" s="45"/>
      <c r="E4" s="45"/>
      <c r="F4" s="45"/>
    </row>
    <row r="5" spans="1:15">
      <c r="F5" s="45"/>
    </row>
    <row r="6" spans="1:15">
      <c r="F6" s="45"/>
      <c r="G6" s="42"/>
      <c r="H6" s="43"/>
      <c r="I6" s="43"/>
      <c r="J6" s="43"/>
    </row>
    <row r="7" spans="1:15">
      <c r="F7" s="45"/>
    </row>
    <row r="8" spans="1:15">
      <c r="C8" s="57" t="s">
        <v>165</v>
      </c>
      <c r="D8" s="57" t="s">
        <v>166</v>
      </c>
      <c r="E8" s="57" t="s">
        <v>167</v>
      </c>
      <c r="F8" s="57" t="s">
        <v>168</v>
      </c>
      <c r="G8" s="57" t="s">
        <v>169</v>
      </c>
    </row>
    <row r="9" spans="1:15">
      <c r="C9" s="58">
        <v>5</v>
      </c>
      <c r="D9" s="58">
        <f>COUNTIF(Raw_Data!K:K,"&gt;="&amp;C9)</f>
        <v>50</v>
      </c>
      <c r="E9" s="58">
        <f>COUNTIFS(Raw_Data!K:K,C9,Raw_Data!J:J,1)</f>
        <v>0</v>
      </c>
      <c r="F9" s="58">
        <f>1-(E9/D9)</f>
        <v>1</v>
      </c>
      <c r="G9" s="58">
        <f>F9</f>
        <v>1</v>
      </c>
    </row>
    <row r="10" spans="1:15">
      <c r="C10" s="58">
        <v>10</v>
      </c>
      <c r="D10" s="58">
        <f>COUNTIF(Raw_Data!K:K,"&gt;="&amp;C10)</f>
        <v>50</v>
      </c>
      <c r="E10" s="58">
        <f>COUNTIFS(Raw_Data!K:K,C10,Raw_Data!J:J,1)</f>
        <v>0</v>
      </c>
      <c r="F10" s="58">
        <f>1-(E10/D10)</f>
        <v>1</v>
      </c>
      <c r="G10" s="58">
        <f>G9*F10</f>
        <v>1</v>
      </c>
    </row>
    <row r="11" spans="1:15">
      <c r="C11" s="58">
        <v>15</v>
      </c>
      <c r="D11" s="58">
        <f>COUNTIF(Raw_Data!K:K,"&gt;="&amp;C11)</f>
        <v>47</v>
      </c>
      <c r="E11" s="58">
        <f>COUNTIFS(Raw_Data!K:K,C11,Raw_Data!J:J,1)</f>
        <v>1</v>
      </c>
      <c r="F11" s="58">
        <f>1-(E11/D11)</f>
        <v>0.97872340425531912</v>
      </c>
      <c r="G11" s="58">
        <f>G10*F11</f>
        <v>0.97872340425531912</v>
      </c>
    </row>
    <row r="12" spans="1:15">
      <c r="C12" s="58">
        <v>20</v>
      </c>
      <c r="D12" s="58">
        <f>COUNTIF(Raw_Data!K:K,"&gt;="&amp;C12)</f>
        <v>40</v>
      </c>
      <c r="E12" s="58">
        <f>COUNTIFS(Raw_Data!K:K,C12,Raw_Data!J:J,1)</f>
        <v>0</v>
      </c>
      <c r="F12" s="58">
        <f>1-(E12/D12)</f>
        <v>1</v>
      </c>
      <c r="G12" s="58">
        <f>G11*F12</f>
        <v>0.97872340425531912</v>
      </c>
      <c r="I12" s="42"/>
    </row>
    <row r="13" spans="1:15">
      <c r="C13" s="58">
        <v>25</v>
      </c>
      <c r="D13" s="58">
        <f>COUNTIF(Raw_Data!K:K,"&gt;="&amp;C13)</f>
        <v>36</v>
      </c>
      <c r="E13" s="58">
        <f>COUNTIFS(Raw_Data!K:K,C13,Raw_Data!J:J,1)</f>
        <v>3</v>
      </c>
      <c r="F13" s="58">
        <f>1-(E13/D13)</f>
        <v>0.91666666666666663</v>
      </c>
      <c r="G13" s="58">
        <f>G12*F13</f>
        <v>0.89716312056737579</v>
      </c>
      <c r="H13" s="44"/>
      <c r="I13" s="44"/>
      <c r="J13" s="44"/>
    </row>
    <row r="14" spans="1:15">
      <c r="C14" s="58">
        <v>30</v>
      </c>
      <c r="D14" s="58">
        <f>COUNTIF(Raw_Data!K:K,"&gt;="&amp;C14)</f>
        <v>22</v>
      </c>
      <c r="E14" s="58">
        <f>COUNTIFS(Raw_Data!K:K,C14,Raw_Data!J:J,1)</f>
        <v>1</v>
      </c>
      <c r="F14" s="58">
        <f>1-(E14/D14)</f>
        <v>0.95454545454545459</v>
      </c>
      <c r="G14" s="58">
        <f>G13*F14</f>
        <v>0.85638297872340419</v>
      </c>
      <c r="H14" s="44"/>
      <c r="I14" s="44"/>
      <c r="J14" s="44"/>
    </row>
    <row r="15" spans="1:15">
      <c r="A15" s="45"/>
      <c r="B15" s="45"/>
      <c r="C15" s="58">
        <v>35</v>
      </c>
      <c r="D15" s="58">
        <f>COUNTIF(Raw_Data!K:K,"&gt;="&amp;C15)</f>
        <v>16</v>
      </c>
      <c r="E15" s="58">
        <f>COUNTIFS(Raw_Data!K:K,C15,Raw_Data!J:J,1)</f>
        <v>0</v>
      </c>
      <c r="F15" s="58">
        <f>1-(E15/D15)</f>
        <v>1</v>
      </c>
      <c r="G15" s="58">
        <f>G14*F15</f>
        <v>0.85638297872340419</v>
      </c>
      <c r="H15" s="44"/>
      <c r="I15" s="44"/>
      <c r="J15" s="44"/>
    </row>
    <row r="16" spans="1:15">
      <c r="C16" s="58">
        <v>40</v>
      </c>
      <c r="D16" s="58">
        <f>COUNTIF(Raw_Data!K:K,"&gt;="&amp;C16)</f>
        <v>13</v>
      </c>
      <c r="E16" s="58">
        <f>COUNTIFS(Raw_Data!K:K,C16,Raw_Data!J:J,1)</f>
        <v>0</v>
      </c>
      <c r="F16" s="58">
        <f>1-(E16/D16)</f>
        <v>1</v>
      </c>
      <c r="G16" s="58">
        <f>G15*F16</f>
        <v>0.85638297872340419</v>
      </c>
    </row>
    <row r="17" spans="3:7">
      <c r="C17" s="58">
        <v>45</v>
      </c>
      <c r="D17" s="58">
        <f>COUNTIF(Raw_Data!K:K,"&gt;="&amp;C17)</f>
        <v>1</v>
      </c>
      <c r="E17" s="58">
        <f>COUNTIFS(Raw_Data!K:K,C17,Raw_Data!J:J,1)</f>
        <v>0</v>
      </c>
      <c r="F17" s="58">
        <f>1-(E17/D17)</f>
        <v>1</v>
      </c>
      <c r="G17" s="58">
        <f>G16*F17</f>
        <v>0.85638297872340419</v>
      </c>
    </row>
    <row r="36" spans="6:6">
      <c r="F36" s="10" t="s">
        <v>170</v>
      </c>
    </row>
  </sheetData>
  <hyperlinks>
    <hyperlink ref="O1" location="Dashboard!A1" display="Home" xr:uid="{21FAB232-B5DA-4141-8DF6-0550981EB5AF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 Al-Huda</dc:creator>
  <cp:keywords/>
  <dc:description/>
  <cp:lastModifiedBy/>
  <cp:revision/>
  <dcterms:created xsi:type="dcterms:W3CDTF">2026-04-01T08:53:56Z</dcterms:created>
  <dcterms:modified xsi:type="dcterms:W3CDTF">2026-04-01T15:58:42Z</dcterms:modified>
  <cp:category/>
  <cp:contentStatus/>
</cp:coreProperties>
</file>