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dneyfort/Dropbox/ToWork/"/>
    </mc:Choice>
  </mc:AlternateContent>
  <bookViews>
    <workbookView xWindow="12520" yWindow="6300" windowWidth="38680" windowHeight="21600" tabRatio="500"/>
  </bookViews>
  <sheets>
    <sheet name="Corrected" sheetId="1" r:id="rId1"/>
    <sheet name="NOTES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5" l="1"/>
  <c r="H115" i="5"/>
  <c r="I115" i="5"/>
  <c r="G115" i="5"/>
  <c r="A145" i="5"/>
  <c r="G103" i="1"/>
  <c r="H103" i="1"/>
  <c r="H105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6" i="1"/>
  <c r="AJ33" i="1"/>
  <c r="AJ103" i="1"/>
  <c r="AK103" i="1"/>
  <c r="AL6" i="1"/>
  <c r="AL33" i="1"/>
  <c r="AL103" i="1"/>
  <c r="AM103" i="1"/>
  <c r="AN6" i="1"/>
  <c r="AN33" i="1"/>
  <c r="AN103" i="1"/>
  <c r="AO103" i="1"/>
  <c r="AP6" i="1"/>
  <c r="AP33" i="1"/>
  <c r="AP103" i="1"/>
  <c r="AQ103" i="1"/>
  <c r="AR6" i="1"/>
  <c r="AR33" i="1"/>
  <c r="AR103" i="1"/>
  <c r="AS103" i="1"/>
  <c r="AT6" i="1"/>
  <c r="AT33" i="1"/>
  <c r="AT103" i="1"/>
  <c r="AU103" i="1"/>
  <c r="AV6" i="1"/>
  <c r="AV33" i="1"/>
  <c r="AV103" i="1"/>
  <c r="AW103" i="1"/>
  <c r="AX6" i="1"/>
  <c r="AX33" i="1"/>
  <c r="AX103" i="1"/>
  <c r="AY103" i="1"/>
  <c r="AZ103" i="1"/>
  <c r="BA103" i="1"/>
  <c r="BB103" i="1"/>
  <c r="BC6" i="1"/>
  <c r="BC13" i="1"/>
  <c r="BC14" i="1"/>
  <c r="BC33" i="1"/>
  <c r="BC62" i="1"/>
  <c r="BC90" i="1"/>
  <c r="BC103" i="1"/>
  <c r="BD103" i="1"/>
  <c r="BE103" i="1"/>
  <c r="BF103" i="1"/>
  <c r="BG103" i="1"/>
  <c r="BH103" i="1"/>
  <c r="BI14" i="1"/>
  <c r="BI27" i="1"/>
  <c r="BI103" i="1"/>
  <c r="BJ103" i="1"/>
  <c r="BK103" i="1"/>
  <c r="BL103" i="1"/>
  <c r="BM103" i="1"/>
  <c r="BN103" i="1"/>
  <c r="BO6" i="1"/>
  <c r="BO14" i="1"/>
  <c r="BO23" i="1"/>
  <c r="BO62" i="1"/>
  <c r="BO67" i="1"/>
  <c r="BO90" i="1"/>
  <c r="BO86" i="1"/>
  <c r="BO103" i="1"/>
  <c r="BP103" i="1"/>
  <c r="BQ103" i="1"/>
  <c r="BR103" i="1"/>
  <c r="BS103" i="1"/>
  <c r="BT103" i="1"/>
  <c r="BU6" i="1"/>
  <c r="BU13" i="1"/>
  <c r="BU14" i="1"/>
  <c r="BU62" i="1"/>
  <c r="BU67" i="1"/>
  <c r="BU90" i="1"/>
  <c r="BU86" i="1"/>
  <c r="BU103" i="1"/>
  <c r="BV103" i="1"/>
  <c r="BW103" i="1"/>
  <c r="BX103" i="1"/>
  <c r="BY103" i="1"/>
  <c r="BZ103" i="1"/>
  <c r="CA6" i="1"/>
  <c r="CA14" i="1"/>
  <c r="CA2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6" i="1"/>
  <c r="CM14" i="1"/>
  <c r="CM62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23" i="1"/>
  <c r="CY62" i="1"/>
  <c r="CY90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3" i="1"/>
  <c r="DK14" i="1"/>
  <c r="DK23" i="1"/>
  <c r="DK90" i="1"/>
  <c r="DK103" i="1"/>
  <c r="DL103" i="1"/>
  <c r="DM103" i="1"/>
  <c r="DN103" i="1"/>
  <c r="DO103" i="1"/>
  <c r="DP103" i="1"/>
  <c r="DQ14" i="1"/>
  <c r="DQ23" i="1"/>
  <c r="DQ90" i="1"/>
  <c r="DQ103" i="1"/>
  <c r="DR103" i="1"/>
  <c r="DS103" i="1"/>
  <c r="DT103" i="1"/>
  <c r="DU103" i="1"/>
  <c r="DV103" i="1"/>
  <c r="DW13" i="1"/>
  <c r="DW14" i="1"/>
  <c r="DW23" i="1"/>
  <c r="DW62" i="1"/>
  <c r="DW90" i="1"/>
  <c r="DW103" i="1"/>
  <c r="DX103" i="1"/>
  <c r="DY103" i="1"/>
  <c r="DZ103" i="1"/>
  <c r="EA103" i="1"/>
  <c r="EB103" i="1"/>
  <c r="EC6" i="1"/>
  <c r="EC62" i="1"/>
  <c r="EC90" i="1"/>
  <c r="EC103" i="1"/>
  <c r="ED103" i="1"/>
  <c r="EE103" i="1"/>
  <c r="EF103" i="1"/>
  <c r="EG103" i="1"/>
  <c r="EH103" i="1"/>
  <c r="EI14" i="1"/>
  <c r="EI23" i="1"/>
  <c r="EI26" i="1"/>
  <c r="EI62" i="1"/>
  <c r="EI90" i="1"/>
  <c r="EI103" i="1"/>
  <c r="EJ103" i="1"/>
  <c r="EK103" i="1"/>
  <c r="EL13" i="1"/>
  <c r="EL62" i="1"/>
  <c r="EL103" i="1"/>
  <c r="EM13" i="1"/>
  <c r="EM62" i="1"/>
  <c r="EM103" i="1"/>
  <c r="EN13" i="1"/>
  <c r="EN62" i="1"/>
  <c r="EN103" i="1"/>
  <c r="EO6" i="1"/>
  <c r="EO13" i="1"/>
  <c r="EO14" i="1"/>
  <c r="EO23" i="1"/>
  <c r="EO27" i="1"/>
  <c r="EO62" i="1"/>
  <c r="EO90" i="1"/>
  <c r="EO86" i="1"/>
  <c r="EO103" i="1"/>
  <c r="EP13" i="1"/>
  <c r="EP62" i="1"/>
  <c r="EP103" i="1"/>
  <c r="EQ13" i="1"/>
  <c r="EQ62" i="1"/>
  <c r="EQ103" i="1"/>
  <c r="ER103" i="1"/>
  <c r="ES103" i="1"/>
  <c r="ET103" i="1"/>
  <c r="EU6" i="1"/>
  <c r="EU13" i="1"/>
  <c r="EU23" i="1"/>
  <c r="EU62" i="1"/>
  <c r="EU68" i="1"/>
  <c r="EU90" i="1"/>
  <c r="EU86" i="1"/>
  <c r="EU103" i="1"/>
  <c r="EV103" i="1"/>
  <c r="EW103" i="1"/>
  <c r="EX103" i="1"/>
  <c r="EY103" i="1"/>
  <c r="EZ103" i="1"/>
  <c r="FA6" i="1"/>
  <c r="FA23" i="1"/>
  <c r="FA62" i="1"/>
  <c r="FA90" i="1"/>
  <c r="FA103" i="1"/>
  <c r="FB103" i="1"/>
  <c r="FC103" i="1"/>
  <c r="FD6" i="1"/>
  <c r="FD13" i="1"/>
  <c r="FD14" i="1"/>
  <c r="FD23" i="1"/>
  <c r="FD62" i="1"/>
  <c r="FD90" i="1"/>
  <c r="FD103" i="1"/>
  <c r="FE6" i="1"/>
  <c r="FE13" i="1"/>
  <c r="FE14" i="1"/>
  <c r="FE23" i="1"/>
  <c r="FE62" i="1"/>
  <c r="FE90" i="1"/>
  <c r="FE103" i="1"/>
  <c r="FF6" i="1"/>
  <c r="FF13" i="1"/>
  <c r="FF23" i="1"/>
  <c r="FF90" i="1"/>
  <c r="FF103" i="1"/>
  <c r="FG6" i="1"/>
  <c r="FG13" i="1"/>
  <c r="FG23" i="1"/>
  <c r="FG62" i="1"/>
  <c r="FG90" i="1"/>
  <c r="FG103" i="1"/>
  <c r="FH103" i="1"/>
  <c r="FI103" i="1"/>
  <c r="FJ6" i="1"/>
  <c r="FJ14" i="1"/>
  <c r="FJ103" i="1"/>
  <c r="FK6" i="1"/>
  <c r="FK14" i="1"/>
  <c r="FK103" i="1"/>
  <c r="FL6" i="1"/>
  <c r="FL103" i="1"/>
  <c r="FM6" i="1"/>
  <c r="FM23" i="1"/>
  <c r="FM103" i="1"/>
  <c r="FN103" i="1"/>
  <c r="FO103" i="1"/>
  <c r="FP103" i="1"/>
  <c r="FQ103" i="1"/>
  <c r="FR103" i="1"/>
  <c r="FS6" i="1"/>
  <c r="FS13" i="1"/>
  <c r="FS23" i="1"/>
  <c r="FS62" i="1"/>
  <c r="FS81" i="1"/>
  <c r="FS90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23" i="1"/>
  <c r="GE103" i="1"/>
  <c r="GF103" i="1"/>
  <c r="GG103" i="1"/>
  <c r="GH103" i="1"/>
  <c r="GI103" i="1"/>
  <c r="GJ103" i="1"/>
  <c r="GK6" i="1"/>
  <c r="GK13" i="1"/>
  <c r="GK23" i="1"/>
  <c r="GK37" i="1"/>
  <c r="GK62" i="1"/>
  <c r="GK90" i="1"/>
  <c r="GK103" i="1"/>
  <c r="GL103" i="1"/>
  <c r="GM103" i="1"/>
  <c r="GN103" i="1"/>
  <c r="GO103" i="1"/>
  <c r="GP103" i="1"/>
  <c r="GQ6" i="1"/>
  <c r="GQ13" i="1"/>
  <c r="GQ23" i="1"/>
  <c r="GQ62" i="1"/>
  <c r="GQ90" i="1"/>
  <c r="GQ103" i="1"/>
  <c r="GR103" i="1"/>
  <c r="GS103" i="1"/>
  <c r="GT103" i="1"/>
  <c r="GU103" i="1"/>
  <c r="GV103" i="1"/>
  <c r="GW6" i="1"/>
  <c r="GW13" i="1"/>
  <c r="GW23" i="1"/>
  <c r="GW62" i="1"/>
  <c r="GW90" i="1"/>
  <c r="GW103" i="1"/>
  <c r="GX103" i="1"/>
  <c r="GY103" i="1"/>
  <c r="GZ103" i="1"/>
  <c r="HA103" i="1"/>
  <c r="HB103" i="1"/>
  <c r="HC6" i="1"/>
  <c r="HC13" i="1"/>
  <c r="HC23" i="1"/>
  <c r="HC62" i="1"/>
  <c r="HC90" i="1"/>
  <c r="HC86" i="1"/>
  <c r="HC103" i="1"/>
  <c r="HD103" i="1"/>
  <c r="HE103" i="1"/>
  <c r="HF103" i="1"/>
  <c r="HG103" i="1"/>
  <c r="HH103" i="1"/>
  <c r="HI6" i="1"/>
  <c r="HI23" i="1"/>
  <c r="HI62" i="1"/>
  <c r="HI90" i="1"/>
  <c r="HI103" i="1"/>
  <c r="HJ103" i="1"/>
  <c r="HK103" i="1"/>
  <c r="HL103" i="1"/>
  <c r="HM103" i="1"/>
  <c r="HN103" i="1"/>
  <c r="HO13" i="1"/>
  <c r="HO23" i="1"/>
  <c r="HO62" i="1"/>
  <c r="HO90" i="1"/>
  <c r="HO103" i="1"/>
  <c r="HP103" i="1"/>
  <c r="HQ103" i="1"/>
  <c r="HR103" i="1"/>
  <c r="HS103" i="1"/>
  <c r="HT103" i="1"/>
  <c r="HU6" i="1"/>
  <c r="HU13" i="1"/>
  <c r="HU23" i="1"/>
  <c r="HU62" i="1"/>
  <c r="HU90" i="1"/>
  <c r="HU103" i="1"/>
  <c r="HV103" i="1"/>
  <c r="HW103" i="1"/>
  <c r="HX103" i="1"/>
  <c r="HY103" i="1"/>
  <c r="HZ103" i="1"/>
  <c r="IA6" i="1"/>
  <c r="IA23" i="1"/>
  <c r="IA62" i="1"/>
  <c r="IA103" i="1"/>
  <c r="IB103" i="1"/>
  <c r="IC103" i="1"/>
  <c r="ID103" i="1"/>
  <c r="IE103" i="1"/>
  <c r="IF103" i="1"/>
  <c r="IG6" i="1"/>
  <c r="IG62" i="1"/>
  <c r="IG103" i="1"/>
  <c r="IH103" i="1"/>
  <c r="II103" i="1"/>
  <c r="IJ103" i="1"/>
  <c r="IK103" i="1"/>
  <c r="IL103" i="1"/>
  <c r="IM6" i="1"/>
  <c r="IM23" i="1"/>
  <c r="IM62" i="1"/>
  <c r="IM86" i="1"/>
  <c r="IM103" i="1"/>
  <c r="IN103" i="1"/>
  <c r="IO103" i="1"/>
  <c r="IP103" i="1"/>
  <c r="IQ103" i="1"/>
  <c r="IR103" i="1"/>
  <c r="IS6" i="1"/>
  <c r="IS62" i="1"/>
  <c r="IS90" i="1"/>
  <c r="IS23" i="1"/>
  <c r="IS86" i="1"/>
  <c r="IS103" i="1"/>
  <c r="IT103" i="1"/>
  <c r="IU103" i="1"/>
  <c r="IV103" i="1"/>
  <c r="IW103" i="1"/>
  <c r="IX103" i="1"/>
  <c r="IY6" i="1"/>
  <c r="IY13" i="1"/>
  <c r="IY23" i="1"/>
  <c r="IY27" i="1"/>
  <c r="IY33" i="1"/>
  <c r="IY62" i="1"/>
  <c r="IY90" i="1"/>
  <c r="IY86" i="1"/>
  <c r="IY103" i="1"/>
  <c r="IZ103" i="1"/>
  <c r="JA103" i="1"/>
  <c r="JB13" i="1"/>
  <c r="JB62" i="1"/>
  <c r="JB103" i="1"/>
  <c r="JC13" i="1"/>
  <c r="JC62" i="1"/>
  <c r="JC103" i="1"/>
  <c r="JD13" i="1"/>
  <c r="JD62" i="1"/>
  <c r="JD103" i="1"/>
  <c r="JE6" i="1"/>
  <c r="JE13" i="1"/>
  <c r="JE23" i="1"/>
  <c r="JE27" i="1"/>
  <c r="JE62" i="1"/>
  <c r="JE90" i="1"/>
  <c r="JE86" i="1"/>
  <c r="JE103" i="1"/>
  <c r="JF13" i="1"/>
  <c r="JF62" i="1"/>
  <c r="JF103" i="1"/>
  <c r="JG13" i="1"/>
  <c r="JG62" i="1"/>
  <c r="JG103" i="1"/>
  <c r="JH103" i="1"/>
  <c r="JI103" i="1"/>
  <c r="JJ103" i="1"/>
  <c r="JK103" i="1"/>
  <c r="JL103" i="1"/>
  <c r="JM103" i="1"/>
  <c r="JN103" i="1"/>
  <c r="JO103" i="1"/>
  <c r="JP103" i="1"/>
  <c r="JQ6" i="1"/>
  <c r="JQ17" i="1"/>
  <c r="JQ23" i="1"/>
  <c r="JQ27" i="1"/>
  <c r="JQ90" i="1"/>
  <c r="JQ86" i="1"/>
  <c r="JQ103" i="1"/>
  <c r="JR103" i="1"/>
  <c r="JS103" i="1"/>
  <c r="KA77" i="1"/>
  <c r="KB77" i="1"/>
  <c r="JU77" i="1"/>
  <c r="JV77" i="1"/>
  <c r="JW77" i="1"/>
  <c r="JX77" i="1"/>
  <c r="JY77" i="1"/>
  <c r="JZ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S77" i="1"/>
  <c r="KT77" i="1"/>
  <c r="KU77" i="1"/>
  <c r="KV77" i="1"/>
  <c r="KW77" i="1"/>
  <c r="KX77" i="1"/>
  <c r="KQ77" i="1"/>
  <c r="KR77" i="1"/>
  <c r="KY77" i="1"/>
  <c r="KZ77" i="1"/>
  <c r="LA77" i="1"/>
  <c r="LB77" i="1"/>
  <c r="LC77" i="1"/>
  <c r="LD77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U77" i="1"/>
  <c r="LV77" i="1"/>
  <c r="LW77" i="1"/>
  <c r="LX77" i="1"/>
  <c r="LY77" i="1"/>
  <c r="LZ77" i="1"/>
  <c r="LS77" i="1"/>
  <c r="LT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MT77" i="1"/>
  <c r="MV77" i="1"/>
  <c r="LU12" i="1"/>
  <c r="LV12" i="1"/>
  <c r="MM12" i="1"/>
  <c r="MN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S12" i="1"/>
  <c r="KT12" i="1"/>
  <c r="KU12" i="1"/>
  <c r="KV12" i="1"/>
  <c r="KW12" i="1"/>
  <c r="KX12" i="1"/>
  <c r="KQ12" i="1"/>
  <c r="KR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W12" i="1"/>
  <c r="LX12" i="1"/>
  <c r="LY12" i="1"/>
  <c r="LZ12" i="1"/>
  <c r="LS12" i="1"/>
  <c r="LT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O12" i="1"/>
  <c r="MP12" i="1"/>
  <c r="MQ12" i="1"/>
  <c r="MR12" i="1"/>
  <c r="MT12" i="1"/>
  <c r="MV12" i="1"/>
  <c r="LM24" i="1"/>
  <c r="LN24" i="1"/>
  <c r="MO24" i="1"/>
  <c r="MP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S24" i="1"/>
  <c r="KT24" i="1"/>
  <c r="KU24" i="1"/>
  <c r="KV24" i="1"/>
  <c r="KW24" i="1"/>
  <c r="KX24" i="1"/>
  <c r="KQ24" i="1"/>
  <c r="KR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O24" i="1"/>
  <c r="LP24" i="1"/>
  <c r="LQ24" i="1"/>
  <c r="LR24" i="1"/>
  <c r="LU24" i="1"/>
  <c r="LV24" i="1"/>
  <c r="LW24" i="1"/>
  <c r="LX24" i="1"/>
  <c r="LY24" i="1"/>
  <c r="LZ24" i="1"/>
  <c r="LS24" i="1"/>
  <c r="LT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Q24" i="1"/>
  <c r="MR24" i="1"/>
  <c r="MT24" i="1"/>
  <c r="MV24" i="1"/>
  <c r="LM25" i="1"/>
  <c r="LN25" i="1"/>
  <c r="MC25" i="1"/>
  <c r="MD25" i="1"/>
  <c r="MO25" i="1"/>
  <c r="MP25" i="1"/>
  <c r="MQ25" i="1"/>
  <c r="MR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S25" i="1"/>
  <c r="KT25" i="1"/>
  <c r="KU25" i="1"/>
  <c r="KV25" i="1"/>
  <c r="KW25" i="1"/>
  <c r="KX25" i="1"/>
  <c r="KQ25" i="1"/>
  <c r="KR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O25" i="1"/>
  <c r="LP25" i="1"/>
  <c r="LQ25" i="1"/>
  <c r="LR25" i="1"/>
  <c r="LU25" i="1"/>
  <c r="LV25" i="1"/>
  <c r="LW25" i="1"/>
  <c r="LX25" i="1"/>
  <c r="LY25" i="1"/>
  <c r="LZ25" i="1"/>
  <c r="LS25" i="1"/>
  <c r="LT25" i="1"/>
  <c r="MA25" i="1"/>
  <c r="MB25" i="1"/>
  <c r="ME25" i="1"/>
  <c r="MF25" i="1"/>
  <c r="MG25" i="1"/>
  <c r="MH25" i="1"/>
  <c r="MI25" i="1"/>
  <c r="MJ25" i="1"/>
  <c r="MK25" i="1"/>
  <c r="ML25" i="1"/>
  <c r="MM25" i="1"/>
  <c r="MN25" i="1"/>
  <c r="MT25" i="1"/>
  <c r="MV25" i="1"/>
  <c r="MO26" i="1"/>
  <c r="MP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S26" i="1"/>
  <c r="KT26" i="1"/>
  <c r="KU26" i="1"/>
  <c r="KV26" i="1"/>
  <c r="KW26" i="1"/>
  <c r="KX26" i="1"/>
  <c r="KQ26" i="1"/>
  <c r="KR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U26" i="1"/>
  <c r="LV26" i="1"/>
  <c r="LW26" i="1"/>
  <c r="LX26" i="1"/>
  <c r="LY26" i="1"/>
  <c r="LZ26" i="1"/>
  <c r="LS26" i="1"/>
  <c r="LT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Q26" i="1"/>
  <c r="MR26" i="1"/>
  <c r="MT26" i="1"/>
  <c r="MV26" i="1"/>
  <c r="LE73" i="1"/>
  <c r="LF73" i="1"/>
  <c r="LG73" i="1"/>
  <c r="LH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S73" i="1"/>
  <c r="KT73" i="1"/>
  <c r="KU73" i="1"/>
  <c r="KV73" i="1"/>
  <c r="KW73" i="1"/>
  <c r="KX73" i="1"/>
  <c r="KQ73" i="1"/>
  <c r="KR73" i="1"/>
  <c r="KY73" i="1"/>
  <c r="KZ73" i="1"/>
  <c r="LA73" i="1"/>
  <c r="LB73" i="1"/>
  <c r="LC73" i="1"/>
  <c r="LD73" i="1"/>
  <c r="LI73" i="1"/>
  <c r="LJ73" i="1"/>
  <c r="LK73" i="1"/>
  <c r="LL73" i="1"/>
  <c r="LM73" i="1"/>
  <c r="LN73" i="1"/>
  <c r="LO73" i="1"/>
  <c r="LP73" i="1"/>
  <c r="LQ73" i="1"/>
  <c r="LR73" i="1"/>
  <c r="LU73" i="1"/>
  <c r="LV73" i="1"/>
  <c r="LW73" i="1"/>
  <c r="LX73" i="1"/>
  <c r="LY73" i="1"/>
  <c r="LZ73" i="1"/>
  <c r="LS73" i="1"/>
  <c r="LT73" i="1"/>
  <c r="MA73" i="1"/>
  <c r="MB73" i="1"/>
  <c r="MC73" i="1"/>
  <c r="MD73" i="1"/>
  <c r="ME73" i="1"/>
  <c r="MF73" i="1"/>
  <c r="MG73" i="1"/>
  <c r="MH73" i="1"/>
  <c r="MI73" i="1"/>
  <c r="MJ73" i="1"/>
  <c r="MK73" i="1"/>
  <c r="ML73" i="1"/>
  <c r="MM73" i="1"/>
  <c r="MN73" i="1"/>
  <c r="MO73" i="1"/>
  <c r="MP73" i="1"/>
  <c r="MQ73" i="1"/>
  <c r="MR73" i="1"/>
  <c r="MT73" i="1"/>
  <c r="MV73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W74" i="1"/>
  <c r="LX74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MK74" i="1"/>
  <c r="ML74" i="1"/>
  <c r="MM74" i="1"/>
  <c r="MN74" i="1"/>
  <c r="MO74" i="1"/>
  <c r="MP74" i="1"/>
  <c r="MQ74" i="1"/>
  <c r="MR74" i="1"/>
  <c r="JU74" i="1"/>
  <c r="JV74" i="1"/>
  <c r="JW74" i="1"/>
  <c r="JX74" i="1"/>
  <c r="JY74" i="1"/>
  <c r="JZ74" i="1"/>
  <c r="KA74" i="1"/>
  <c r="KB74" i="1"/>
  <c r="MT74" i="1"/>
  <c r="MV74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S3" i="1"/>
  <c r="KT3" i="1"/>
  <c r="KU3" i="1"/>
  <c r="KV3" i="1"/>
  <c r="KW3" i="1"/>
  <c r="KX3" i="1"/>
  <c r="KQ3" i="1"/>
  <c r="KR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U3" i="1"/>
  <c r="LV3" i="1"/>
  <c r="LW3" i="1"/>
  <c r="LX3" i="1"/>
  <c r="LY3" i="1"/>
  <c r="LZ3" i="1"/>
  <c r="LS3" i="1"/>
  <c r="LT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T3" i="1"/>
  <c r="MV3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S4" i="1"/>
  <c r="KT4" i="1"/>
  <c r="KU4" i="1"/>
  <c r="KV4" i="1"/>
  <c r="KW4" i="1"/>
  <c r="KX4" i="1"/>
  <c r="KQ4" i="1"/>
  <c r="KR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U4" i="1"/>
  <c r="LV4" i="1"/>
  <c r="LW4" i="1"/>
  <c r="LX4" i="1"/>
  <c r="LY4" i="1"/>
  <c r="LZ4" i="1"/>
  <c r="LS4" i="1"/>
  <c r="LT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T4" i="1"/>
  <c r="MV4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S5" i="1"/>
  <c r="KT5" i="1"/>
  <c r="KU5" i="1"/>
  <c r="KV5" i="1"/>
  <c r="KW5" i="1"/>
  <c r="KX5" i="1"/>
  <c r="KQ5" i="1"/>
  <c r="KR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U5" i="1"/>
  <c r="LV5" i="1"/>
  <c r="LW5" i="1"/>
  <c r="LX5" i="1"/>
  <c r="LY5" i="1"/>
  <c r="LZ5" i="1"/>
  <c r="LS5" i="1"/>
  <c r="LT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T5" i="1"/>
  <c r="MV5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S6" i="1"/>
  <c r="KT6" i="1"/>
  <c r="KU6" i="1"/>
  <c r="KV6" i="1"/>
  <c r="KW6" i="1"/>
  <c r="KX6" i="1"/>
  <c r="KQ6" i="1"/>
  <c r="KR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U6" i="1"/>
  <c r="LV6" i="1"/>
  <c r="LW6" i="1"/>
  <c r="LX6" i="1"/>
  <c r="LY6" i="1"/>
  <c r="LZ6" i="1"/>
  <c r="LS6" i="1"/>
  <c r="LT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T6" i="1"/>
  <c r="MV6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S7" i="1"/>
  <c r="KT7" i="1"/>
  <c r="KU7" i="1"/>
  <c r="KV7" i="1"/>
  <c r="KW7" i="1"/>
  <c r="KX7" i="1"/>
  <c r="KQ7" i="1"/>
  <c r="KR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U7" i="1"/>
  <c r="LV7" i="1"/>
  <c r="LW7" i="1"/>
  <c r="LX7" i="1"/>
  <c r="LY7" i="1"/>
  <c r="LZ7" i="1"/>
  <c r="LS7" i="1"/>
  <c r="LT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T7" i="1"/>
  <c r="MV7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S8" i="1"/>
  <c r="KT8" i="1"/>
  <c r="KU8" i="1"/>
  <c r="KV8" i="1"/>
  <c r="KW8" i="1"/>
  <c r="KX8" i="1"/>
  <c r="KQ8" i="1"/>
  <c r="KR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U8" i="1"/>
  <c r="LV8" i="1"/>
  <c r="LW8" i="1"/>
  <c r="LX8" i="1"/>
  <c r="LY8" i="1"/>
  <c r="LZ8" i="1"/>
  <c r="LS8" i="1"/>
  <c r="LT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T8" i="1"/>
  <c r="MV8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S9" i="1"/>
  <c r="KT9" i="1"/>
  <c r="KU9" i="1"/>
  <c r="KV9" i="1"/>
  <c r="KW9" i="1"/>
  <c r="KX9" i="1"/>
  <c r="KQ9" i="1"/>
  <c r="KR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U9" i="1"/>
  <c r="LV9" i="1"/>
  <c r="LW9" i="1"/>
  <c r="LX9" i="1"/>
  <c r="LY9" i="1"/>
  <c r="LZ9" i="1"/>
  <c r="LS9" i="1"/>
  <c r="LT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T9" i="1"/>
  <c r="MV9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S10" i="1"/>
  <c r="KT10" i="1"/>
  <c r="KU10" i="1"/>
  <c r="KV10" i="1"/>
  <c r="KW10" i="1"/>
  <c r="KX10" i="1"/>
  <c r="KQ10" i="1"/>
  <c r="KR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U10" i="1"/>
  <c r="LV10" i="1"/>
  <c r="LW10" i="1"/>
  <c r="LX10" i="1"/>
  <c r="LY10" i="1"/>
  <c r="LZ10" i="1"/>
  <c r="LS10" i="1"/>
  <c r="LT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T10" i="1"/>
  <c r="MV10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S11" i="1"/>
  <c r="KT11" i="1"/>
  <c r="KU11" i="1"/>
  <c r="KV11" i="1"/>
  <c r="KW11" i="1"/>
  <c r="KX11" i="1"/>
  <c r="KQ11" i="1"/>
  <c r="KR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U11" i="1"/>
  <c r="LV11" i="1"/>
  <c r="LW11" i="1"/>
  <c r="LX11" i="1"/>
  <c r="LY11" i="1"/>
  <c r="LZ11" i="1"/>
  <c r="LS11" i="1"/>
  <c r="LT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T11" i="1"/>
  <c r="MV11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S13" i="1"/>
  <c r="KT13" i="1"/>
  <c r="KU13" i="1"/>
  <c r="KV13" i="1"/>
  <c r="KW13" i="1"/>
  <c r="KX13" i="1"/>
  <c r="KQ13" i="1"/>
  <c r="KR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U13" i="1"/>
  <c r="LV13" i="1"/>
  <c r="LW13" i="1"/>
  <c r="LX13" i="1"/>
  <c r="LY13" i="1"/>
  <c r="LZ13" i="1"/>
  <c r="LS13" i="1"/>
  <c r="LT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T13" i="1"/>
  <c r="MV13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S14" i="1"/>
  <c r="KT14" i="1"/>
  <c r="KU14" i="1"/>
  <c r="KV14" i="1"/>
  <c r="KW14" i="1"/>
  <c r="KX14" i="1"/>
  <c r="KQ14" i="1"/>
  <c r="KR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U14" i="1"/>
  <c r="LV14" i="1"/>
  <c r="LW14" i="1"/>
  <c r="LX14" i="1"/>
  <c r="LY14" i="1"/>
  <c r="LZ14" i="1"/>
  <c r="LS14" i="1"/>
  <c r="LT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T14" i="1"/>
  <c r="MV14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S15" i="1"/>
  <c r="KT15" i="1"/>
  <c r="KU15" i="1"/>
  <c r="KV15" i="1"/>
  <c r="KW15" i="1"/>
  <c r="KX15" i="1"/>
  <c r="KQ15" i="1"/>
  <c r="KR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U15" i="1"/>
  <c r="LV15" i="1"/>
  <c r="LW15" i="1"/>
  <c r="LX15" i="1"/>
  <c r="LY15" i="1"/>
  <c r="LZ15" i="1"/>
  <c r="LS15" i="1"/>
  <c r="LT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T15" i="1"/>
  <c r="MV15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S16" i="1"/>
  <c r="KT16" i="1"/>
  <c r="KU16" i="1"/>
  <c r="KV16" i="1"/>
  <c r="KW16" i="1"/>
  <c r="KX16" i="1"/>
  <c r="KQ16" i="1"/>
  <c r="KR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U16" i="1"/>
  <c r="LV16" i="1"/>
  <c r="LW16" i="1"/>
  <c r="LX16" i="1"/>
  <c r="LY16" i="1"/>
  <c r="LZ16" i="1"/>
  <c r="LS16" i="1"/>
  <c r="LT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T16" i="1"/>
  <c r="MV16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S17" i="1"/>
  <c r="KT17" i="1"/>
  <c r="KU17" i="1"/>
  <c r="KV17" i="1"/>
  <c r="KW17" i="1"/>
  <c r="KX17" i="1"/>
  <c r="KQ17" i="1"/>
  <c r="KR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U17" i="1"/>
  <c r="LV17" i="1"/>
  <c r="LW17" i="1"/>
  <c r="LX17" i="1"/>
  <c r="LY17" i="1"/>
  <c r="LZ17" i="1"/>
  <c r="LS17" i="1"/>
  <c r="LT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T17" i="1"/>
  <c r="MV17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S18" i="1"/>
  <c r="KT18" i="1"/>
  <c r="KU18" i="1"/>
  <c r="KV18" i="1"/>
  <c r="KW18" i="1"/>
  <c r="KX18" i="1"/>
  <c r="KQ18" i="1"/>
  <c r="KR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U18" i="1"/>
  <c r="LV18" i="1"/>
  <c r="LW18" i="1"/>
  <c r="LX18" i="1"/>
  <c r="LY18" i="1"/>
  <c r="LZ18" i="1"/>
  <c r="LS18" i="1"/>
  <c r="LT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T18" i="1"/>
  <c r="MV18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S19" i="1"/>
  <c r="KT19" i="1"/>
  <c r="KU19" i="1"/>
  <c r="KV19" i="1"/>
  <c r="KW19" i="1"/>
  <c r="KX19" i="1"/>
  <c r="KQ19" i="1"/>
  <c r="KR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U19" i="1"/>
  <c r="LV19" i="1"/>
  <c r="LW19" i="1"/>
  <c r="LX19" i="1"/>
  <c r="LY19" i="1"/>
  <c r="LZ19" i="1"/>
  <c r="LS19" i="1"/>
  <c r="LT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T19" i="1"/>
  <c r="MV19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S20" i="1"/>
  <c r="KT20" i="1"/>
  <c r="KU20" i="1"/>
  <c r="KV20" i="1"/>
  <c r="KW20" i="1"/>
  <c r="KX20" i="1"/>
  <c r="KQ20" i="1"/>
  <c r="KR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U20" i="1"/>
  <c r="LV20" i="1"/>
  <c r="LW20" i="1"/>
  <c r="LX20" i="1"/>
  <c r="LY20" i="1"/>
  <c r="LZ20" i="1"/>
  <c r="LS20" i="1"/>
  <c r="LT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T20" i="1"/>
  <c r="MV20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S21" i="1"/>
  <c r="KT21" i="1"/>
  <c r="KU21" i="1"/>
  <c r="KV21" i="1"/>
  <c r="KW21" i="1"/>
  <c r="KX21" i="1"/>
  <c r="KQ21" i="1"/>
  <c r="KR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U21" i="1"/>
  <c r="LV21" i="1"/>
  <c r="LW21" i="1"/>
  <c r="LX21" i="1"/>
  <c r="LY21" i="1"/>
  <c r="LZ21" i="1"/>
  <c r="LS21" i="1"/>
  <c r="LT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T21" i="1"/>
  <c r="MV21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S22" i="1"/>
  <c r="KT22" i="1"/>
  <c r="KU22" i="1"/>
  <c r="KV22" i="1"/>
  <c r="KW22" i="1"/>
  <c r="KX22" i="1"/>
  <c r="KQ22" i="1"/>
  <c r="KR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U22" i="1"/>
  <c r="LV22" i="1"/>
  <c r="LW22" i="1"/>
  <c r="LX22" i="1"/>
  <c r="LY22" i="1"/>
  <c r="LZ22" i="1"/>
  <c r="LS22" i="1"/>
  <c r="LT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T22" i="1"/>
  <c r="MV22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S23" i="1"/>
  <c r="KT23" i="1"/>
  <c r="KU23" i="1"/>
  <c r="KV23" i="1"/>
  <c r="KW23" i="1"/>
  <c r="KX23" i="1"/>
  <c r="KQ23" i="1"/>
  <c r="KR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U23" i="1"/>
  <c r="LV23" i="1"/>
  <c r="LW23" i="1"/>
  <c r="LX23" i="1"/>
  <c r="LY23" i="1"/>
  <c r="LZ23" i="1"/>
  <c r="LS23" i="1"/>
  <c r="LT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T23" i="1"/>
  <c r="MV23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S27" i="1"/>
  <c r="KT27" i="1"/>
  <c r="KU27" i="1"/>
  <c r="KV27" i="1"/>
  <c r="KW27" i="1"/>
  <c r="KX27" i="1"/>
  <c r="KQ27" i="1"/>
  <c r="KR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U27" i="1"/>
  <c r="LV27" i="1"/>
  <c r="LW27" i="1"/>
  <c r="LX27" i="1"/>
  <c r="LY27" i="1"/>
  <c r="LZ27" i="1"/>
  <c r="LS27" i="1"/>
  <c r="LT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T27" i="1"/>
  <c r="MV27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S28" i="1"/>
  <c r="KT28" i="1"/>
  <c r="KU28" i="1"/>
  <c r="KV28" i="1"/>
  <c r="KW28" i="1"/>
  <c r="KX28" i="1"/>
  <c r="KQ28" i="1"/>
  <c r="KR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U28" i="1"/>
  <c r="LV28" i="1"/>
  <c r="LW28" i="1"/>
  <c r="LX28" i="1"/>
  <c r="LY28" i="1"/>
  <c r="LZ28" i="1"/>
  <c r="LS28" i="1"/>
  <c r="LT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T28" i="1"/>
  <c r="MV28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S29" i="1"/>
  <c r="KT29" i="1"/>
  <c r="KU29" i="1"/>
  <c r="KV29" i="1"/>
  <c r="KW29" i="1"/>
  <c r="KX29" i="1"/>
  <c r="KQ29" i="1"/>
  <c r="KR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U29" i="1"/>
  <c r="LV29" i="1"/>
  <c r="LW29" i="1"/>
  <c r="LX29" i="1"/>
  <c r="LY29" i="1"/>
  <c r="LZ29" i="1"/>
  <c r="LS29" i="1"/>
  <c r="LT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T29" i="1"/>
  <c r="MV29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S30" i="1"/>
  <c r="KT30" i="1"/>
  <c r="KU30" i="1"/>
  <c r="KV30" i="1"/>
  <c r="KW30" i="1"/>
  <c r="KX30" i="1"/>
  <c r="KQ30" i="1"/>
  <c r="KR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U30" i="1"/>
  <c r="LV30" i="1"/>
  <c r="LW30" i="1"/>
  <c r="LX30" i="1"/>
  <c r="LY30" i="1"/>
  <c r="LZ30" i="1"/>
  <c r="LS30" i="1"/>
  <c r="LT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T30" i="1"/>
  <c r="MV30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S31" i="1"/>
  <c r="KT31" i="1"/>
  <c r="KU31" i="1"/>
  <c r="KV31" i="1"/>
  <c r="KW31" i="1"/>
  <c r="KX31" i="1"/>
  <c r="KQ31" i="1"/>
  <c r="KR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U31" i="1"/>
  <c r="LV31" i="1"/>
  <c r="LW31" i="1"/>
  <c r="LX31" i="1"/>
  <c r="LY31" i="1"/>
  <c r="LZ31" i="1"/>
  <c r="LS31" i="1"/>
  <c r="LT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T31" i="1"/>
  <c r="MV31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S32" i="1"/>
  <c r="KT32" i="1"/>
  <c r="KU32" i="1"/>
  <c r="KV32" i="1"/>
  <c r="KW32" i="1"/>
  <c r="KX32" i="1"/>
  <c r="KQ32" i="1"/>
  <c r="KR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U32" i="1"/>
  <c r="LV32" i="1"/>
  <c r="LW32" i="1"/>
  <c r="LX32" i="1"/>
  <c r="LY32" i="1"/>
  <c r="LZ32" i="1"/>
  <c r="LS32" i="1"/>
  <c r="LT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T32" i="1"/>
  <c r="MV32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S33" i="1"/>
  <c r="KT33" i="1"/>
  <c r="KU33" i="1"/>
  <c r="KV33" i="1"/>
  <c r="KW33" i="1"/>
  <c r="KX33" i="1"/>
  <c r="KQ33" i="1"/>
  <c r="KR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U33" i="1"/>
  <c r="LV33" i="1"/>
  <c r="LW33" i="1"/>
  <c r="LX33" i="1"/>
  <c r="LY33" i="1"/>
  <c r="LZ33" i="1"/>
  <c r="LS33" i="1"/>
  <c r="LT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T33" i="1"/>
  <c r="MV33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S34" i="1"/>
  <c r="KT34" i="1"/>
  <c r="KU34" i="1"/>
  <c r="KV34" i="1"/>
  <c r="KW34" i="1"/>
  <c r="KX34" i="1"/>
  <c r="KQ34" i="1"/>
  <c r="KR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U34" i="1"/>
  <c r="LV34" i="1"/>
  <c r="LW34" i="1"/>
  <c r="LX34" i="1"/>
  <c r="LY34" i="1"/>
  <c r="LZ34" i="1"/>
  <c r="LS34" i="1"/>
  <c r="LT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T34" i="1"/>
  <c r="MV34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S35" i="1"/>
  <c r="KT35" i="1"/>
  <c r="KU35" i="1"/>
  <c r="KV35" i="1"/>
  <c r="KW35" i="1"/>
  <c r="KX35" i="1"/>
  <c r="KQ35" i="1"/>
  <c r="KR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U35" i="1"/>
  <c r="LV35" i="1"/>
  <c r="LW35" i="1"/>
  <c r="LX35" i="1"/>
  <c r="LY35" i="1"/>
  <c r="LZ35" i="1"/>
  <c r="LS35" i="1"/>
  <c r="LT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T35" i="1"/>
  <c r="MV35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S36" i="1"/>
  <c r="KT36" i="1"/>
  <c r="KU36" i="1"/>
  <c r="KV36" i="1"/>
  <c r="KW36" i="1"/>
  <c r="KX36" i="1"/>
  <c r="KQ36" i="1"/>
  <c r="KR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U36" i="1"/>
  <c r="LV36" i="1"/>
  <c r="LW36" i="1"/>
  <c r="LX36" i="1"/>
  <c r="LY36" i="1"/>
  <c r="LZ36" i="1"/>
  <c r="LS36" i="1"/>
  <c r="LT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T36" i="1"/>
  <c r="MV36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S37" i="1"/>
  <c r="KT37" i="1"/>
  <c r="KU37" i="1"/>
  <c r="KV37" i="1"/>
  <c r="KW37" i="1"/>
  <c r="KX37" i="1"/>
  <c r="KQ37" i="1"/>
  <c r="KR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U37" i="1"/>
  <c r="LV37" i="1"/>
  <c r="LW37" i="1"/>
  <c r="LX37" i="1"/>
  <c r="LY37" i="1"/>
  <c r="LZ37" i="1"/>
  <c r="LS37" i="1"/>
  <c r="LT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T37" i="1"/>
  <c r="MV37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S38" i="1"/>
  <c r="KT38" i="1"/>
  <c r="KU38" i="1"/>
  <c r="KV38" i="1"/>
  <c r="KW38" i="1"/>
  <c r="KX38" i="1"/>
  <c r="KQ38" i="1"/>
  <c r="KR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U38" i="1"/>
  <c r="LV38" i="1"/>
  <c r="LW38" i="1"/>
  <c r="LX38" i="1"/>
  <c r="LY38" i="1"/>
  <c r="LZ38" i="1"/>
  <c r="LS38" i="1"/>
  <c r="LT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T38" i="1"/>
  <c r="MV38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S39" i="1"/>
  <c r="KT39" i="1"/>
  <c r="KU39" i="1"/>
  <c r="KV39" i="1"/>
  <c r="KW39" i="1"/>
  <c r="KX39" i="1"/>
  <c r="KQ39" i="1"/>
  <c r="KR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U39" i="1"/>
  <c r="LV39" i="1"/>
  <c r="LW39" i="1"/>
  <c r="LX39" i="1"/>
  <c r="LY39" i="1"/>
  <c r="LZ39" i="1"/>
  <c r="LS39" i="1"/>
  <c r="LT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T39" i="1"/>
  <c r="MV39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S40" i="1"/>
  <c r="KT40" i="1"/>
  <c r="KU40" i="1"/>
  <c r="KV40" i="1"/>
  <c r="KW40" i="1"/>
  <c r="KX40" i="1"/>
  <c r="KQ40" i="1"/>
  <c r="KR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U40" i="1"/>
  <c r="LV40" i="1"/>
  <c r="LW40" i="1"/>
  <c r="LX40" i="1"/>
  <c r="LY40" i="1"/>
  <c r="LZ40" i="1"/>
  <c r="LS40" i="1"/>
  <c r="LT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T40" i="1"/>
  <c r="MV40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S41" i="1"/>
  <c r="KT41" i="1"/>
  <c r="KU41" i="1"/>
  <c r="KV41" i="1"/>
  <c r="KW41" i="1"/>
  <c r="KX41" i="1"/>
  <c r="KQ41" i="1"/>
  <c r="KR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U41" i="1"/>
  <c r="LV41" i="1"/>
  <c r="LW41" i="1"/>
  <c r="LX41" i="1"/>
  <c r="LY41" i="1"/>
  <c r="LZ41" i="1"/>
  <c r="LS41" i="1"/>
  <c r="LT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T41" i="1"/>
  <c r="MV41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S42" i="1"/>
  <c r="KT42" i="1"/>
  <c r="KU42" i="1"/>
  <c r="KV42" i="1"/>
  <c r="KW42" i="1"/>
  <c r="KX42" i="1"/>
  <c r="KQ42" i="1"/>
  <c r="KR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U42" i="1"/>
  <c r="LV42" i="1"/>
  <c r="LW42" i="1"/>
  <c r="LX42" i="1"/>
  <c r="LY42" i="1"/>
  <c r="LZ42" i="1"/>
  <c r="LS42" i="1"/>
  <c r="LT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T42" i="1"/>
  <c r="MV42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S43" i="1"/>
  <c r="KT43" i="1"/>
  <c r="KU43" i="1"/>
  <c r="KV43" i="1"/>
  <c r="KW43" i="1"/>
  <c r="KX43" i="1"/>
  <c r="KQ43" i="1"/>
  <c r="KR43" i="1"/>
  <c r="KY43" i="1"/>
  <c r="KZ43" i="1"/>
  <c r="LA43" i="1"/>
  <c r="LB43" i="1"/>
  <c r="LC43" i="1"/>
  <c r="LD43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U43" i="1"/>
  <c r="LV43" i="1"/>
  <c r="LW43" i="1"/>
  <c r="LX43" i="1"/>
  <c r="LY43" i="1"/>
  <c r="LZ43" i="1"/>
  <c r="LS43" i="1"/>
  <c r="LT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T43" i="1"/>
  <c r="MV43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S44" i="1"/>
  <c r="KT44" i="1"/>
  <c r="KU44" i="1"/>
  <c r="KV44" i="1"/>
  <c r="KW44" i="1"/>
  <c r="KX44" i="1"/>
  <c r="KQ44" i="1"/>
  <c r="KR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U44" i="1"/>
  <c r="LV44" i="1"/>
  <c r="LW44" i="1"/>
  <c r="LX44" i="1"/>
  <c r="LY44" i="1"/>
  <c r="LZ44" i="1"/>
  <c r="LS44" i="1"/>
  <c r="LT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T44" i="1"/>
  <c r="MV44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S45" i="1"/>
  <c r="KT45" i="1"/>
  <c r="KU45" i="1"/>
  <c r="KV45" i="1"/>
  <c r="KW45" i="1"/>
  <c r="KX45" i="1"/>
  <c r="KQ45" i="1"/>
  <c r="KR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U45" i="1"/>
  <c r="LV45" i="1"/>
  <c r="LW45" i="1"/>
  <c r="LX45" i="1"/>
  <c r="LY45" i="1"/>
  <c r="LZ45" i="1"/>
  <c r="LS45" i="1"/>
  <c r="LT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T45" i="1"/>
  <c r="MV45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S46" i="1"/>
  <c r="KT46" i="1"/>
  <c r="KU46" i="1"/>
  <c r="KV46" i="1"/>
  <c r="KW46" i="1"/>
  <c r="KX46" i="1"/>
  <c r="KQ46" i="1"/>
  <c r="KR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U46" i="1"/>
  <c r="LV46" i="1"/>
  <c r="LW46" i="1"/>
  <c r="LX46" i="1"/>
  <c r="LY46" i="1"/>
  <c r="LZ46" i="1"/>
  <c r="LS46" i="1"/>
  <c r="LT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T46" i="1"/>
  <c r="MV46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S47" i="1"/>
  <c r="KT47" i="1"/>
  <c r="KU47" i="1"/>
  <c r="KV47" i="1"/>
  <c r="KW47" i="1"/>
  <c r="KX47" i="1"/>
  <c r="KQ47" i="1"/>
  <c r="KR47" i="1"/>
  <c r="KY47" i="1"/>
  <c r="KZ47" i="1"/>
  <c r="LA47" i="1"/>
  <c r="LB47" i="1"/>
  <c r="LC47" i="1"/>
  <c r="LD47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U47" i="1"/>
  <c r="LV47" i="1"/>
  <c r="LW47" i="1"/>
  <c r="LX47" i="1"/>
  <c r="LY47" i="1"/>
  <c r="LZ47" i="1"/>
  <c r="LS47" i="1"/>
  <c r="LT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T47" i="1"/>
  <c r="MV47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S48" i="1"/>
  <c r="KT48" i="1"/>
  <c r="KU48" i="1"/>
  <c r="KV48" i="1"/>
  <c r="KW48" i="1"/>
  <c r="KX48" i="1"/>
  <c r="KQ48" i="1"/>
  <c r="KR48" i="1"/>
  <c r="KY48" i="1"/>
  <c r="KZ48" i="1"/>
  <c r="LA48" i="1"/>
  <c r="LB48" i="1"/>
  <c r="LC48" i="1"/>
  <c r="LD48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U48" i="1"/>
  <c r="LV48" i="1"/>
  <c r="LW48" i="1"/>
  <c r="LX48" i="1"/>
  <c r="LY48" i="1"/>
  <c r="LZ48" i="1"/>
  <c r="LS48" i="1"/>
  <c r="LT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T48" i="1"/>
  <c r="MV48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S49" i="1"/>
  <c r="KT49" i="1"/>
  <c r="KU49" i="1"/>
  <c r="KV49" i="1"/>
  <c r="KW49" i="1"/>
  <c r="KX49" i="1"/>
  <c r="KQ49" i="1"/>
  <c r="KR49" i="1"/>
  <c r="KY49" i="1"/>
  <c r="KZ49" i="1"/>
  <c r="LA49" i="1"/>
  <c r="LB49" i="1"/>
  <c r="LC49" i="1"/>
  <c r="LD49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U49" i="1"/>
  <c r="LV49" i="1"/>
  <c r="LW49" i="1"/>
  <c r="LX49" i="1"/>
  <c r="LY49" i="1"/>
  <c r="LZ49" i="1"/>
  <c r="LS49" i="1"/>
  <c r="LT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T49" i="1"/>
  <c r="MV49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S50" i="1"/>
  <c r="KT50" i="1"/>
  <c r="KU50" i="1"/>
  <c r="KV50" i="1"/>
  <c r="KW50" i="1"/>
  <c r="KX50" i="1"/>
  <c r="KQ50" i="1"/>
  <c r="KR50" i="1"/>
  <c r="KY50" i="1"/>
  <c r="KZ50" i="1"/>
  <c r="LA50" i="1"/>
  <c r="LB50" i="1"/>
  <c r="LC50" i="1"/>
  <c r="LD50" i="1"/>
  <c r="LE50" i="1"/>
  <c r="LF50" i="1"/>
  <c r="LG50" i="1"/>
  <c r="LH50" i="1"/>
  <c r="LI50" i="1"/>
  <c r="LJ50" i="1"/>
  <c r="LK50" i="1"/>
  <c r="LL50" i="1"/>
  <c r="LM50" i="1"/>
  <c r="LN50" i="1"/>
  <c r="LO50" i="1"/>
  <c r="LP50" i="1"/>
  <c r="LQ50" i="1"/>
  <c r="LR50" i="1"/>
  <c r="LU50" i="1"/>
  <c r="LV50" i="1"/>
  <c r="LW50" i="1"/>
  <c r="LX50" i="1"/>
  <c r="LY50" i="1"/>
  <c r="LZ50" i="1"/>
  <c r="LS50" i="1"/>
  <c r="LT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MT50" i="1"/>
  <c r="MV50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S51" i="1"/>
  <c r="KT51" i="1"/>
  <c r="KU51" i="1"/>
  <c r="KV51" i="1"/>
  <c r="KW51" i="1"/>
  <c r="KX51" i="1"/>
  <c r="KQ51" i="1"/>
  <c r="KR51" i="1"/>
  <c r="KY51" i="1"/>
  <c r="KZ51" i="1"/>
  <c r="LA51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U51" i="1"/>
  <c r="LV51" i="1"/>
  <c r="LW51" i="1"/>
  <c r="LX51" i="1"/>
  <c r="LY51" i="1"/>
  <c r="LZ51" i="1"/>
  <c r="LS51" i="1"/>
  <c r="LT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T51" i="1"/>
  <c r="MV51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S52" i="1"/>
  <c r="KT52" i="1"/>
  <c r="KU52" i="1"/>
  <c r="KV52" i="1"/>
  <c r="KW52" i="1"/>
  <c r="KX52" i="1"/>
  <c r="KQ52" i="1"/>
  <c r="KR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U52" i="1"/>
  <c r="LV52" i="1"/>
  <c r="LW52" i="1"/>
  <c r="LX52" i="1"/>
  <c r="LY52" i="1"/>
  <c r="LZ52" i="1"/>
  <c r="LS52" i="1"/>
  <c r="LT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T52" i="1"/>
  <c r="MV52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S53" i="1"/>
  <c r="KT53" i="1"/>
  <c r="KU53" i="1"/>
  <c r="KV53" i="1"/>
  <c r="KW53" i="1"/>
  <c r="KX53" i="1"/>
  <c r="KQ53" i="1"/>
  <c r="KR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U53" i="1"/>
  <c r="LV53" i="1"/>
  <c r="LW53" i="1"/>
  <c r="LX53" i="1"/>
  <c r="LY53" i="1"/>
  <c r="LZ53" i="1"/>
  <c r="LS53" i="1"/>
  <c r="LT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T53" i="1"/>
  <c r="MV53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S54" i="1"/>
  <c r="KT54" i="1"/>
  <c r="KU54" i="1"/>
  <c r="KV54" i="1"/>
  <c r="KW54" i="1"/>
  <c r="KX54" i="1"/>
  <c r="KQ54" i="1"/>
  <c r="KR54" i="1"/>
  <c r="KY54" i="1"/>
  <c r="KZ54" i="1"/>
  <c r="LA54" i="1"/>
  <c r="LB54" i="1"/>
  <c r="LC54" i="1"/>
  <c r="LD54" i="1"/>
  <c r="LE54" i="1"/>
  <c r="LF54" i="1"/>
  <c r="LG54" i="1"/>
  <c r="LH54" i="1"/>
  <c r="LI54" i="1"/>
  <c r="LJ54" i="1"/>
  <c r="LK54" i="1"/>
  <c r="LL54" i="1"/>
  <c r="LM54" i="1"/>
  <c r="LN54" i="1"/>
  <c r="LO54" i="1"/>
  <c r="LP54" i="1"/>
  <c r="LQ54" i="1"/>
  <c r="LR54" i="1"/>
  <c r="LU54" i="1"/>
  <c r="LV54" i="1"/>
  <c r="LW54" i="1"/>
  <c r="LX54" i="1"/>
  <c r="LY54" i="1"/>
  <c r="LZ54" i="1"/>
  <c r="LS54" i="1"/>
  <c r="LT54" i="1"/>
  <c r="MA54" i="1"/>
  <c r="MB54" i="1"/>
  <c r="MC54" i="1"/>
  <c r="MD54" i="1"/>
  <c r="ME54" i="1"/>
  <c r="MF54" i="1"/>
  <c r="MG54" i="1"/>
  <c r="MH54" i="1"/>
  <c r="MI54" i="1"/>
  <c r="MJ54" i="1"/>
  <c r="MK54" i="1"/>
  <c r="ML54" i="1"/>
  <c r="MM54" i="1"/>
  <c r="MN54" i="1"/>
  <c r="MO54" i="1"/>
  <c r="MP54" i="1"/>
  <c r="MQ54" i="1"/>
  <c r="MR54" i="1"/>
  <c r="MT54" i="1"/>
  <c r="MV54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S55" i="1"/>
  <c r="KT55" i="1"/>
  <c r="KU55" i="1"/>
  <c r="KV55" i="1"/>
  <c r="KW55" i="1"/>
  <c r="KX55" i="1"/>
  <c r="KQ55" i="1"/>
  <c r="KR55" i="1"/>
  <c r="KY55" i="1"/>
  <c r="KZ55" i="1"/>
  <c r="LA55" i="1"/>
  <c r="LB55" i="1"/>
  <c r="LC55" i="1"/>
  <c r="LD55" i="1"/>
  <c r="LE55" i="1"/>
  <c r="LF55" i="1"/>
  <c r="LG55" i="1"/>
  <c r="LH55" i="1"/>
  <c r="LI55" i="1"/>
  <c r="LJ55" i="1"/>
  <c r="LK55" i="1"/>
  <c r="LL55" i="1"/>
  <c r="LM55" i="1"/>
  <c r="LN55" i="1"/>
  <c r="LO55" i="1"/>
  <c r="LP55" i="1"/>
  <c r="LQ55" i="1"/>
  <c r="LR55" i="1"/>
  <c r="LU55" i="1"/>
  <c r="LV55" i="1"/>
  <c r="LW55" i="1"/>
  <c r="LX55" i="1"/>
  <c r="LY55" i="1"/>
  <c r="LZ55" i="1"/>
  <c r="LS55" i="1"/>
  <c r="LT55" i="1"/>
  <c r="MA55" i="1"/>
  <c r="MB55" i="1"/>
  <c r="MC55" i="1"/>
  <c r="MD55" i="1"/>
  <c r="ME55" i="1"/>
  <c r="MF55" i="1"/>
  <c r="MG55" i="1"/>
  <c r="MH55" i="1"/>
  <c r="MI55" i="1"/>
  <c r="MJ55" i="1"/>
  <c r="MK55" i="1"/>
  <c r="ML55" i="1"/>
  <c r="MM55" i="1"/>
  <c r="MN55" i="1"/>
  <c r="MO55" i="1"/>
  <c r="MP55" i="1"/>
  <c r="MQ55" i="1"/>
  <c r="MR55" i="1"/>
  <c r="MT55" i="1"/>
  <c r="MV55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S56" i="1"/>
  <c r="KT56" i="1"/>
  <c r="KU56" i="1"/>
  <c r="KV56" i="1"/>
  <c r="KW56" i="1"/>
  <c r="KX56" i="1"/>
  <c r="KQ56" i="1"/>
  <c r="KR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U56" i="1"/>
  <c r="LV56" i="1"/>
  <c r="LW56" i="1"/>
  <c r="LX56" i="1"/>
  <c r="LY56" i="1"/>
  <c r="LZ56" i="1"/>
  <c r="LS56" i="1"/>
  <c r="LT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T56" i="1"/>
  <c r="MV56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S57" i="1"/>
  <c r="KT57" i="1"/>
  <c r="KU57" i="1"/>
  <c r="KV57" i="1"/>
  <c r="KW57" i="1"/>
  <c r="KX57" i="1"/>
  <c r="KQ57" i="1"/>
  <c r="KR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U57" i="1"/>
  <c r="LV57" i="1"/>
  <c r="LW57" i="1"/>
  <c r="LX57" i="1"/>
  <c r="LY57" i="1"/>
  <c r="LZ57" i="1"/>
  <c r="LS57" i="1"/>
  <c r="LT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T57" i="1"/>
  <c r="MV57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S58" i="1"/>
  <c r="KT58" i="1"/>
  <c r="KU58" i="1"/>
  <c r="KV58" i="1"/>
  <c r="KW58" i="1"/>
  <c r="KX58" i="1"/>
  <c r="KQ58" i="1"/>
  <c r="KR58" i="1"/>
  <c r="KY58" i="1"/>
  <c r="KZ58" i="1"/>
  <c r="LA58" i="1"/>
  <c r="LB58" i="1"/>
  <c r="LC58" i="1"/>
  <c r="LD58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U58" i="1"/>
  <c r="LV58" i="1"/>
  <c r="LW58" i="1"/>
  <c r="LX58" i="1"/>
  <c r="LY58" i="1"/>
  <c r="LZ58" i="1"/>
  <c r="LS58" i="1"/>
  <c r="LT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MT58" i="1"/>
  <c r="MV58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S59" i="1"/>
  <c r="KT59" i="1"/>
  <c r="KU59" i="1"/>
  <c r="KV59" i="1"/>
  <c r="KW59" i="1"/>
  <c r="KX59" i="1"/>
  <c r="KQ59" i="1"/>
  <c r="KR59" i="1"/>
  <c r="KY59" i="1"/>
  <c r="KZ59" i="1"/>
  <c r="LA59" i="1"/>
  <c r="LB59" i="1"/>
  <c r="LC59" i="1"/>
  <c r="LD59" i="1"/>
  <c r="LE59" i="1"/>
  <c r="LF59" i="1"/>
  <c r="LG59" i="1"/>
  <c r="LH59" i="1"/>
  <c r="LI59" i="1"/>
  <c r="LJ59" i="1"/>
  <c r="LK59" i="1"/>
  <c r="LL59" i="1"/>
  <c r="LM59" i="1"/>
  <c r="LN59" i="1"/>
  <c r="LO59" i="1"/>
  <c r="LP59" i="1"/>
  <c r="LQ59" i="1"/>
  <c r="LR59" i="1"/>
  <c r="LU59" i="1"/>
  <c r="LV59" i="1"/>
  <c r="LW59" i="1"/>
  <c r="LX59" i="1"/>
  <c r="LY59" i="1"/>
  <c r="LZ59" i="1"/>
  <c r="LS59" i="1"/>
  <c r="LT59" i="1"/>
  <c r="MA59" i="1"/>
  <c r="MB59" i="1"/>
  <c r="MC59" i="1"/>
  <c r="MD59" i="1"/>
  <c r="ME59" i="1"/>
  <c r="MF59" i="1"/>
  <c r="MG59" i="1"/>
  <c r="MH59" i="1"/>
  <c r="MI59" i="1"/>
  <c r="MJ59" i="1"/>
  <c r="MK59" i="1"/>
  <c r="ML59" i="1"/>
  <c r="MM59" i="1"/>
  <c r="MN59" i="1"/>
  <c r="MO59" i="1"/>
  <c r="MP59" i="1"/>
  <c r="MQ59" i="1"/>
  <c r="MR59" i="1"/>
  <c r="MT59" i="1"/>
  <c r="MV59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S60" i="1"/>
  <c r="KT60" i="1"/>
  <c r="KU60" i="1"/>
  <c r="KV60" i="1"/>
  <c r="KW60" i="1"/>
  <c r="KX60" i="1"/>
  <c r="KQ60" i="1"/>
  <c r="KR60" i="1"/>
  <c r="KY60" i="1"/>
  <c r="KZ60" i="1"/>
  <c r="LA60" i="1"/>
  <c r="LB60" i="1"/>
  <c r="LC60" i="1"/>
  <c r="LD60" i="1"/>
  <c r="LE60" i="1"/>
  <c r="LF60" i="1"/>
  <c r="LG60" i="1"/>
  <c r="LH60" i="1"/>
  <c r="LI60" i="1"/>
  <c r="LJ60" i="1"/>
  <c r="LK60" i="1"/>
  <c r="LL60" i="1"/>
  <c r="LM60" i="1"/>
  <c r="LN60" i="1"/>
  <c r="LO60" i="1"/>
  <c r="LP60" i="1"/>
  <c r="LQ60" i="1"/>
  <c r="LR60" i="1"/>
  <c r="LU60" i="1"/>
  <c r="LV60" i="1"/>
  <c r="LW60" i="1"/>
  <c r="LX60" i="1"/>
  <c r="LY60" i="1"/>
  <c r="LZ60" i="1"/>
  <c r="LS60" i="1"/>
  <c r="LT60" i="1"/>
  <c r="MA60" i="1"/>
  <c r="MB60" i="1"/>
  <c r="MC60" i="1"/>
  <c r="MD60" i="1"/>
  <c r="ME60" i="1"/>
  <c r="MF60" i="1"/>
  <c r="MG60" i="1"/>
  <c r="MH60" i="1"/>
  <c r="MI60" i="1"/>
  <c r="MJ60" i="1"/>
  <c r="MK60" i="1"/>
  <c r="ML60" i="1"/>
  <c r="MM60" i="1"/>
  <c r="MN60" i="1"/>
  <c r="MO60" i="1"/>
  <c r="MP60" i="1"/>
  <c r="MQ60" i="1"/>
  <c r="MR60" i="1"/>
  <c r="MT60" i="1"/>
  <c r="MV60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S61" i="1"/>
  <c r="KT61" i="1"/>
  <c r="KU61" i="1"/>
  <c r="KV61" i="1"/>
  <c r="KW61" i="1"/>
  <c r="KX61" i="1"/>
  <c r="KQ61" i="1"/>
  <c r="KR61" i="1"/>
  <c r="KY61" i="1"/>
  <c r="KZ61" i="1"/>
  <c r="LA61" i="1"/>
  <c r="LB61" i="1"/>
  <c r="LC61" i="1"/>
  <c r="LD61" i="1"/>
  <c r="LE61" i="1"/>
  <c r="LF61" i="1"/>
  <c r="LG61" i="1"/>
  <c r="LH61" i="1"/>
  <c r="LI61" i="1"/>
  <c r="LJ61" i="1"/>
  <c r="LK61" i="1"/>
  <c r="LL61" i="1"/>
  <c r="LM61" i="1"/>
  <c r="LN61" i="1"/>
  <c r="LO61" i="1"/>
  <c r="LP61" i="1"/>
  <c r="LQ61" i="1"/>
  <c r="LR61" i="1"/>
  <c r="LU61" i="1"/>
  <c r="LV61" i="1"/>
  <c r="LW61" i="1"/>
  <c r="LX61" i="1"/>
  <c r="LY61" i="1"/>
  <c r="LZ61" i="1"/>
  <c r="LS61" i="1"/>
  <c r="LT61" i="1"/>
  <c r="MA61" i="1"/>
  <c r="MB61" i="1"/>
  <c r="MC61" i="1"/>
  <c r="MD61" i="1"/>
  <c r="ME61" i="1"/>
  <c r="MF61" i="1"/>
  <c r="MG61" i="1"/>
  <c r="MH61" i="1"/>
  <c r="MI61" i="1"/>
  <c r="MJ61" i="1"/>
  <c r="MK61" i="1"/>
  <c r="ML61" i="1"/>
  <c r="MM61" i="1"/>
  <c r="MN61" i="1"/>
  <c r="MO61" i="1"/>
  <c r="MP61" i="1"/>
  <c r="MQ61" i="1"/>
  <c r="MR61" i="1"/>
  <c r="MT61" i="1"/>
  <c r="MV61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S62" i="1"/>
  <c r="KT62" i="1"/>
  <c r="KU62" i="1"/>
  <c r="KV62" i="1"/>
  <c r="KW62" i="1"/>
  <c r="KX62" i="1"/>
  <c r="KQ62" i="1"/>
  <c r="KR62" i="1"/>
  <c r="KY62" i="1"/>
  <c r="KZ62" i="1"/>
  <c r="LA62" i="1"/>
  <c r="LB62" i="1"/>
  <c r="LC62" i="1"/>
  <c r="LD62" i="1"/>
  <c r="LE62" i="1"/>
  <c r="LF62" i="1"/>
  <c r="LG62" i="1"/>
  <c r="LH62" i="1"/>
  <c r="LI62" i="1"/>
  <c r="LJ62" i="1"/>
  <c r="LK62" i="1"/>
  <c r="LL62" i="1"/>
  <c r="LM62" i="1"/>
  <c r="LN62" i="1"/>
  <c r="LO62" i="1"/>
  <c r="LP62" i="1"/>
  <c r="LQ62" i="1"/>
  <c r="LR62" i="1"/>
  <c r="LU62" i="1"/>
  <c r="LV62" i="1"/>
  <c r="LW62" i="1"/>
  <c r="LX62" i="1"/>
  <c r="LY62" i="1"/>
  <c r="LZ62" i="1"/>
  <c r="LS62" i="1"/>
  <c r="LT62" i="1"/>
  <c r="MA62" i="1"/>
  <c r="MB62" i="1"/>
  <c r="MC62" i="1"/>
  <c r="MD62" i="1"/>
  <c r="ME62" i="1"/>
  <c r="MF62" i="1"/>
  <c r="MG62" i="1"/>
  <c r="MH62" i="1"/>
  <c r="MI62" i="1"/>
  <c r="MJ62" i="1"/>
  <c r="MK62" i="1"/>
  <c r="ML62" i="1"/>
  <c r="MM62" i="1"/>
  <c r="MN62" i="1"/>
  <c r="MO62" i="1"/>
  <c r="MP62" i="1"/>
  <c r="MQ62" i="1"/>
  <c r="MR62" i="1"/>
  <c r="MT62" i="1"/>
  <c r="MV62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S63" i="1"/>
  <c r="KT63" i="1"/>
  <c r="KU63" i="1"/>
  <c r="KV63" i="1"/>
  <c r="KW63" i="1"/>
  <c r="KX63" i="1"/>
  <c r="KQ63" i="1"/>
  <c r="KR63" i="1"/>
  <c r="KY63" i="1"/>
  <c r="KZ63" i="1"/>
  <c r="LA63" i="1"/>
  <c r="LB63" i="1"/>
  <c r="LC63" i="1"/>
  <c r="LD63" i="1"/>
  <c r="LE63" i="1"/>
  <c r="LF63" i="1"/>
  <c r="LG63" i="1"/>
  <c r="LH63" i="1"/>
  <c r="LI63" i="1"/>
  <c r="LJ63" i="1"/>
  <c r="LK63" i="1"/>
  <c r="LL63" i="1"/>
  <c r="LM63" i="1"/>
  <c r="LN63" i="1"/>
  <c r="LO63" i="1"/>
  <c r="LP63" i="1"/>
  <c r="LQ63" i="1"/>
  <c r="LR63" i="1"/>
  <c r="LU63" i="1"/>
  <c r="LV63" i="1"/>
  <c r="LW63" i="1"/>
  <c r="LX63" i="1"/>
  <c r="LY63" i="1"/>
  <c r="LZ63" i="1"/>
  <c r="LS63" i="1"/>
  <c r="LT63" i="1"/>
  <c r="MA63" i="1"/>
  <c r="MB63" i="1"/>
  <c r="MC63" i="1"/>
  <c r="MD63" i="1"/>
  <c r="ME63" i="1"/>
  <c r="MF63" i="1"/>
  <c r="MG63" i="1"/>
  <c r="MH63" i="1"/>
  <c r="MI63" i="1"/>
  <c r="MJ63" i="1"/>
  <c r="MK63" i="1"/>
  <c r="ML63" i="1"/>
  <c r="MM63" i="1"/>
  <c r="MN63" i="1"/>
  <c r="MO63" i="1"/>
  <c r="MP63" i="1"/>
  <c r="MQ63" i="1"/>
  <c r="MR63" i="1"/>
  <c r="MT63" i="1"/>
  <c r="MV63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S64" i="1"/>
  <c r="KT64" i="1"/>
  <c r="KU64" i="1"/>
  <c r="KV64" i="1"/>
  <c r="KW64" i="1"/>
  <c r="KX64" i="1"/>
  <c r="KQ64" i="1"/>
  <c r="KR64" i="1"/>
  <c r="KY64" i="1"/>
  <c r="KZ64" i="1"/>
  <c r="LA64" i="1"/>
  <c r="LB64" i="1"/>
  <c r="LC64" i="1"/>
  <c r="LD64" i="1"/>
  <c r="LE64" i="1"/>
  <c r="LF64" i="1"/>
  <c r="LG64" i="1"/>
  <c r="LH64" i="1"/>
  <c r="LI64" i="1"/>
  <c r="LJ64" i="1"/>
  <c r="LK64" i="1"/>
  <c r="LL64" i="1"/>
  <c r="LM64" i="1"/>
  <c r="LN64" i="1"/>
  <c r="LO64" i="1"/>
  <c r="LP64" i="1"/>
  <c r="LQ64" i="1"/>
  <c r="LR64" i="1"/>
  <c r="LU64" i="1"/>
  <c r="LV64" i="1"/>
  <c r="LW64" i="1"/>
  <c r="LX64" i="1"/>
  <c r="LY64" i="1"/>
  <c r="LZ64" i="1"/>
  <c r="LS64" i="1"/>
  <c r="LT64" i="1"/>
  <c r="MA64" i="1"/>
  <c r="MB64" i="1"/>
  <c r="MC64" i="1"/>
  <c r="MD64" i="1"/>
  <c r="ME64" i="1"/>
  <c r="MF64" i="1"/>
  <c r="MG64" i="1"/>
  <c r="MH64" i="1"/>
  <c r="MI64" i="1"/>
  <c r="MJ64" i="1"/>
  <c r="MK64" i="1"/>
  <c r="ML64" i="1"/>
  <c r="MM64" i="1"/>
  <c r="MN64" i="1"/>
  <c r="MO64" i="1"/>
  <c r="MP64" i="1"/>
  <c r="MQ64" i="1"/>
  <c r="MR64" i="1"/>
  <c r="MT64" i="1"/>
  <c r="MV64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S65" i="1"/>
  <c r="KT65" i="1"/>
  <c r="KU65" i="1"/>
  <c r="KV65" i="1"/>
  <c r="KW65" i="1"/>
  <c r="KX65" i="1"/>
  <c r="KQ65" i="1"/>
  <c r="KR65" i="1"/>
  <c r="KY65" i="1"/>
  <c r="KZ65" i="1"/>
  <c r="LA65" i="1"/>
  <c r="LB65" i="1"/>
  <c r="LC65" i="1"/>
  <c r="LD65" i="1"/>
  <c r="LE65" i="1"/>
  <c r="LF65" i="1"/>
  <c r="LG65" i="1"/>
  <c r="LH65" i="1"/>
  <c r="LI65" i="1"/>
  <c r="LJ65" i="1"/>
  <c r="LK65" i="1"/>
  <c r="LL65" i="1"/>
  <c r="LM65" i="1"/>
  <c r="LN65" i="1"/>
  <c r="LO65" i="1"/>
  <c r="LP65" i="1"/>
  <c r="LQ65" i="1"/>
  <c r="LR65" i="1"/>
  <c r="LU65" i="1"/>
  <c r="LV65" i="1"/>
  <c r="LW65" i="1"/>
  <c r="LX65" i="1"/>
  <c r="LY65" i="1"/>
  <c r="LZ65" i="1"/>
  <c r="LS65" i="1"/>
  <c r="LT65" i="1"/>
  <c r="MA65" i="1"/>
  <c r="MB65" i="1"/>
  <c r="MC65" i="1"/>
  <c r="MD65" i="1"/>
  <c r="ME65" i="1"/>
  <c r="MF65" i="1"/>
  <c r="MG65" i="1"/>
  <c r="MH65" i="1"/>
  <c r="MI65" i="1"/>
  <c r="MJ65" i="1"/>
  <c r="MK65" i="1"/>
  <c r="ML65" i="1"/>
  <c r="MM65" i="1"/>
  <c r="MN65" i="1"/>
  <c r="MO65" i="1"/>
  <c r="MP65" i="1"/>
  <c r="MQ65" i="1"/>
  <c r="MR65" i="1"/>
  <c r="MT65" i="1"/>
  <c r="MV65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S66" i="1"/>
  <c r="KT66" i="1"/>
  <c r="KU66" i="1"/>
  <c r="KV66" i="1"/>
  <c r="KW66" i="1"/>
  <c r="KX66" i="1"/>
  <c r="KQ66" i="1"/>
  <c r="KR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U66" i="1"/>
  <c r="LV66" i="1"/>
  <c r="LW66" i="1"/>
  <c r="LX66" i="1"/>
  <c r="LY66" i="1"/>
  <c r="LZ66" i="1"/>
  <c r="LS66" i="1"/>
  <c r="LT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MT66" i="1"/>
  <c r="MV66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S67" i="1"/>
  <c r="KT67" i="1"/>
  <c r="KU67" i="1"/>
  <c r="KV67" i="1"/>
  <c r="KW67" i="1"/>
  <c r="KX67" i="1"/>
  <c r="KQ67" i="1"/>
  <c r="KR67" i="1"/>
  <c r="KY67" i="1"/>
  <c r="KZ67" i="1"/>
  <c r="LA67" i="1"/>
  <c r="LB67" i="1"/>
  <c r="LC67" i="1"/>
  <c r="LD67" i="1"/>
  <c r="LE67" i="1"/>
  <c r="LF67" i="1"/>
  <c r="LG67" i="1"/>
  <c r="LH67" i="1"/>
  <c r="LI67" i="1"/>
  <c r="LJ67" i="1"/>
  <c r="LK67" i="1"/>
  <c r="LL67" i="1"/>
  <c r="LM67" i="1"/>
  <c r="LN67" i="1"/>
  <c r="LO67" i="1"/>
  <c r="LP67" i="1"/>
  <c r="LQ67" i="1"/>
  <c r="LR67" i="1"/>
  <c r="LU67" i="1"/>
  <c r="LV67" i="1"/>
  <c r="LW67" i="1"/>
  <c r="LX67" i="1"/>
  <c r="LY67" i="1"/>
  <c r="LZ67" i="1"/>
  <c r="LS67" i="1"/>
  <c r="LT67" i="1"/>
  <c r="MA67" i="1"/>
  <c r="MB67" i="1"/>
  <c r="MC67" i="1"/>
  <c r="MD67" i="1"/>
  <c r="ME67" i="1"/>
  <c r="MF67" i="1"/>
  <c r="MG67" i="1"/>
  <c r="MH67" i="1"/>
  <c r="MI67" i="1"/>
  <c r="MJ67" i="1"/>
  <c r="MK67" i="1"/>
  <c r="ML67" i="1"/>
  <c r="MM67" i="1"/>
  <c r="MN67" i="1"/>
  <c r="MO67" i="1"/>
  <c r="MP67" i="1"/>
  <c r="MQ67" i="1"/>
  <c r="MR67" i="1"/>
  <c r="MT67" i="1"/>
  <c r="MV67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S68" i="1"/>
  <c r="KT68" i="1"/>
  <c r="KU68" i="1"/>
  <c r="KV68" i="1"/>
  <c r="KW68" i="1"/>
  <c r="KX68" i="1"/>
  <c r="KQ68" i="1"/>
  <c r="KR68" i="1"/>
  <c r="KY68" i="1"/>
  <c r="KZ68" i="1"/>
  <c r="LA68" i="1"/>
  <c r="LB68" i="1"/>
  <c r="LC68" i="1"/>
  <c r="LD68" i="1"/>
  <c r="LE68" i="1"/>
  <c r="LF68" i="1"/>
  <c r="LG68" i="1"/>
  <c r="LH68" i="1"/>
  <c r="LI68" i="1"/>
  <c r="LJ68" i="1"/>
  <c r="LK68" i="1"/>
  <c r="LL68" i="1"/>
  <c r="LM68" i="1"/>
  <c r="LN68" i="1"/>
  <c r="LO68" i="1"/>
  <c r="LP68" i="1"/>
  <c r="LQ68" i="1"/>
  <c r="LR68" i="1"/>
  <c r="LU68" i="1"/>
  <c r="LV68" i="1"/>
  <c r="LW68" i="1"/>
  <c r="LX68" i="1"/>
  <c r="LY68" i="1"/>
  <c r="LZ68" i="1"/>
  <c r="LS68" i="1"/>
  <c r="LT68" i="1"/>
  <c r="MA68" i="1"/>
  <c r="MB68" i="1"/>
  <c r="MC68" i="1"/>
  <c r="MD68" i="1"/>
  <c r="ME68" i="1"/>
  <c r="MF68" i="1"/>
  <c r="MG68" i="1"/>
  <c r="MH68" i="1"/>
  <c r="MI68" i="1"/>
  <c r="MJ68" i="1"/>
  <c r="MK68" i="1"/>
  <c r="ML68" i="1"/>
  <c r="MM68" i="1"/>
  <c r="MN68" i="1"/>
  <c r="MO68" i="1"/>
  <c r="MP68" i="1"/>
  <c r="MQ68" i="1"/>
  <c r="MR68" i="1"/>
  <c r="MT68" i="1"/>
  <c r="MV68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S69" i="1"/>
  <c r="KT69" i="1"/>
  <c r="KU69" i="1"/>
  <c r="KV69" i="1"/>
  <c r="KW69" i="1"/>
  <c r="KX69" i="1"/>
  <c r="KQ69" i="1"/>
  <c r="KR69" i="1"/>
  <c r="KY69" i="1"/>
  <c r="KZ69" i="1"/>
  <c r="LA69" i="1"/>
  <c r="LB69" i="1"/>
  <c r="LC69" i="1"/>
  <c r="LD69" i="1"/>
  <c r="LE69" i="1"/>
  <c r="LF69" i="1"/>
  <c r="LG69" i="1"/>
  <c r="LH69" i="1"/>
  <c r="LI69" i="1"/>
  <c r="LJ69" i="1"/>
  <c r="LK69" i="1"/>
  <c r="LL69" i="1"/>
  <c r="LM69" i="1"/>
  <c r="LN69" i="1"/>
  <c r="LO69" i="1"/>
  <c r="LP69" i="1"/>
  <c r="LQ69" i="1"/>
  <c r="LR69" i="1"/>
  <c r="LU69" i="1"/>
  <c r="LV69" i="1"/>
  <c r="LW69" i="1"/>
  <c r="LX69" i="1"/>
  <c r="LY69" i="1"/>
  <c r="LZ69" i="1"/>
  <c r="LS69" i="1"/>
  <c r="LT69" i="1"/>
  <c r="MA69" i="1"/>
  <c r="MB69" i="1"/>
  <c r="MC69" i="1"/>
  <c r="MD69" i="1"/>
  <c r="ME69" i="1"/>
  <c r="MF69" i="1"/>
  <c r="MG69" i="1"/>
  <c r="MH69" i="1"/>
  <c r="MI69" i="1"/>
  <c r="MJ69" i="1"/>
  <c r="MK69" i="1"/>
  <c r="ML69" i="1"/>
  <c r="MM69" i="1"/>
  <c r="MN69" i="1"/>
  <c r="MO69" i="1"/>
  <c r="MP69" i="1"/>
  <c r="MQ69" i="1"/>
  <c r="MR69" i="1"/>
  <c r="MT69" i="1"/>
  <c r="MV69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S70" i="1"/>
  <c r="KT70" i="1"/>
  <c r="KU70" i="1"/>
  <c r="KV70" i="1"/>
  <c r="KW70" i="1"/>
  <c r="KX70" i="1"/>
  <c r="KQ70" i="1"/>
  <c r="KR70" i="1"/>
  <c r="KY70" i="1"/>
  <c r="KZ70" i="1"/>
  <c r="LA70" i="1"/>
  <c r="LB70" i="1"/>
  <c r="LC70" i="1"/>
  <c r="LD70" i="1"/>
  <c r="LE70" i="1"/>
  <c r="LF70" i="1"/>
  <c r="LG70" i="1"/>
  <c r="LH70" i="1"/>
  <c r="LI70" i="1"/>
  <c r="LJ70" i="1"/>
  <c r="LK70" i="1"/>
  <c r="LL70" i="1"/>
  <c r="LM70" i="1"/>
  <c r="LN70" i="1"/>
  <c r="LO70" i="1"/>
  <c r="LP70" i="1"/>
  <c r="LQ70" i="1"/>
  <c r="LR70" i="1"/>
  <c r="LU70" i="1"/>
  <c r="LV70" i="1"/>
  <c r="LW70" i="1"/>
  <c r="LX70" i="1"/>
  <c r="LY70" i="1"/>
  <c r="LZ70" i="1"/>
  <c r="LS70" i="1"/>
  <c r="LT70" i="1"/>
  <c r="MA70" i="1"/>
  <c r="MB70" i="1"/>
  <c r="MC70" i="1"/>
  <c r="MD70" i="1"/>
  <c r="ME70" i="1"/>
  <c r="MF70" i="1"/>
  <c r="MG70" i="1"/>
  <c r="MH70" i="1"/>
  <c r="MI70" i="1"/>
  <c r="MJ70" i="1"/>
  <c r="MK70" i="1"/>
  <c r="ML70" i="1"/>
  <c r="MM70" i="1"/>
  <c r="MN70" i="1"/>
  <c r="MO70" i="1"/>
  <c r="MP70" i="1"/>
  <c r="MQ70" i="1"/>
  <c r="MR70" i="1"/>
  <c r="MT70" i="1"/>
  <c r="MV70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S71" i="1"/>
  <c r="KT71" i="1"/>
  <c r="KU71" i="1"/>
  <c r="KV71" i="1"/>
  <c r="KW71" i="1"/>
  <c r="KX71" i="1"/>
  <c r="KQ71" i="1"/>
  <c r="KR71" i="1"/>
  <c r="KY71" i="1"/>
  <c r="KZ71" i="1"/>
  <c r="LA71" i="1"/>
  <c r="LB71" i="1"/>
  <c r="LC71" i="1"/>
  <c r="LD71" i="1"/>
  <c r="LE71" i="1"/>
  <c r="LF71" i="1"/>
  <c r="LG71" i="1"/>
  <c r="LH71" i="1"/>
  <c r="LI71" i="1"/>
  <c r="LJ71" i="1"/>
  <c r="LK71" i="1"/>
  <c r="LL71" i="1"/>
  <c r="LM71" i="1"/>
  <c r="LN71" i="1"/>
  <c r="LO71" i="1"/>
  <c r="LP71" i="1"/>
  <c r="LQ71" i="1"/>
  <c r="LR71" i="1"/>
  <c r="LU71" i="1"/>
  <c r="LV71" i="1"/>
  <c r="LW71" i="1"/>
  <c r="LX71" i="1"/>
  <c r="LY71" i="1"/>
  <c r="LZ71" i="1"/>
  <c r="LS71" i="1"/>
  <c r="LT71" i="1"/>
  <c r="MA71" i="1"/>
  <c r="MB71" i="1"/>
  <c r="MC71" i="1"/>
  <c r="MD71" i="1"/>
  <c r="ME71" i="1"/>
  <c r="MF71" i="1"/>
  <c r="MG71" i="1"/>
  <c r="MH71" i="1"/>
  <c r="MI71" i="1"/>
  <c r="MJ71" i="1"/>
  <c r="MK71" i="1"/>
  <c r="ML71" i="1"/>
  <c r="MM71" i="1"/>
  <c r="MN71" i="1"/>
  <c r="MO71" i="1"/>
  <c r="MP71" i="1"/>
  <c r="MQ71" i="1"/>
  <c r="MR71" i="1"/>
  <c r="MT71" i="1"/>
  <c r="MV71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S72" i="1"/>
  <c r="KT72" i="1"/>
  <c r="KU72" i="1"/>
  <c r="KV72" i="1"/>
  <c r="KW72" i="1"/>
  <c r="KX72" i="1"/>
  <c r="KQ72" i="1"/>
  <c r="KR72" i="1"/>
  <c r="KY72" i="1"/>
  <c r="KZ72" i="1"/>
  <c r="LA72" i="1"/>
  <c r="LB72" i="1"/>
  <c r="LC72" i="1"/>
  <c r="LD72" i="1"/>
  <c r="LE72" i="1"/>
  <c r="LF72" i="1"/>
  <c r="LG72" i="1"/>
  <c r="LH72" i="1"/>
  <c r="LI72" i="1"/>
  <c r="LJ72" i="1"/>
  <c r="LK72" i="1"/>
  <c r="LL72" i="1"/>
  <c r="LM72" i="1"/>
  <c r="LN72" i="1"/>
  <c r="LO72" i="1"/>
  <c r="LP72" i="1"/>
  <c r="LQ72" i="1"/>
  <c r="LR72" i="1"/>
  <c r="LU72" i="1"/>
  <c r="LV72" i="1"/>
  <c r="LW72" i="1"/>
  <c r="LX72" i="1"/>
  <c r="LY72" i="1"/>
  <c r="LZ72" i="1"/>
  <c r="LS72" i="1"/>
  <c r="LT72" i="1"/>
  <c r="MA72" i="1"/>
  <c r="MB72" i="1"/>
  <c r="MC72" i="1"/>
  <c r="MD72" i="1"/>
  <c r="ME72" i="1"/>
  <c r="MF72" i="1"/>
  <c r="MG72" i="1"/>
  <c r="MH72" i="1"/>
  <c r="MI72" i="1"/>
  <c r="MJ72" i="1"/>
  <c r="MK72" i="1"/>
  <c r="ML72" i="1"/>
  <c r="MM72" i="1"/>
  <c r="MN72" i="1"/>
  <c r="MO72" i="1"/>
  <c r="MP72" i="1"/>
  <c r="MQ72" i="1"/>
  <c r="MR72" i="1"/>
  <c r="MT72" i="1"/>
  <c r="MV72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S75" i="1"/>
  <c r="KT75" i="1"/>
  <c r="KU75" i="1"/>
  <c r="KV75" i="1"/>
  <c r="KW75" i="1"/>
  <c r="KX75" i="1"/>
  <c r="KQ75" i="1"/>
  <c r="KR75" i="1"/>
  <c r="KY75" i="1"/>
  <c r="KZ75" i="1"/>
  <c r="LA75" i="1"/>
  <c r="LB75" i="1"/>
  <c r="LC75" i="1"/>
  <c r="LD75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U75" i="1"/>
  <c r="LV75" i="1"/>
  <c r="LW75" i="1"/>
  <c r="LX75" i="1"/>
  <c r="LY75" i="1"/>
  <c r="LZ75" i="1"/>
  <c r="LS75" i="1"/>
  <c r="LT75" i="1"/>
  <c r="MA75" i="1"/>
  <c r="MB75" i="1"/>
  <c r="MC75" i="1"/>
  <c r="MD75" i="1"/>
  <c r="ME75" i="1"/>
  <c r="MF75" i="1"/>
  <c r="MG75" i="1"/>
  <c r="MH75" i="1"/>
  <c r="MI75" i="1"/>
  <c r="MJ75" i="1"/>
  <c r="MK75" i="1"/>
  <c r="ML75" i="1"/>
  <c r="MM75" i="1"/>
  <c r="MN75" i="1"/>
  <c r="MO75" i="1"/>
  <c r="MP75" i="1"/>
  <c r="MQ75" i="1"/>
  <c r="MR75" i="1"/>
  <c r="MT75" i="1"/>
  <c r="MV75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S76" i="1"/>
  <c r="KT76" i="1"/>
  <c r="KU76" i="1"/>
  <c r="KV76" i="1"/>
  <c r="KW76" i="1"/>
  <c r="KX76" i="1"/>
  <c r="KQ76" i="1"/>
  <c r="KR76" i="1"/>
  <c r="KY76" i="1"/>
  <c r="KZ76" i="1"/>
  <c r="LA76" i="1"/>
  <c r="LB76" i="1"/>
  <c r="LC76" i="1"/>
  <c r="LD76" i="1"/>
  <c r="LE76" i="1"/>
  <c r="LF76" i="1"/>
  <c r="LG76" i="1"/>
  <c r="LH76" i="1"/>
  <c r="LI76" i="1"/>
  <c r="LJ76" i="1"/>
  <c r="LK76" i="1"/>
  <c r="LL76" i="1"/>
  <c r="LM76" i="1"/>
  <c r="LN76" i="1"/>
  <c r="LO76" i="1"/>
  <c r="LP76" i="1"/>
  <c r="LQ76" i="1"/>
  <c r="LR76" i="1"/>
  <c r="LU76" i="1"/>
  <c r="LV76" i="1"/>
  <c r="LW76" i="1"/>
  <c r="LX76" i="1"/>
  <c r="LY76" i="1"/>
  <c r="LZ76" i="1"/>
  <c r="LS76" i="1"/>
  <c r="LT76" i="1"/>
  <c r="MA76" i="1"/>
  <c r="MB76" i="1"/>
  <c r="MC76" i="1"/>
  <c r="MD76" i="1"/>
  <c r="ME76" i="1"/>
  <c r="MF76" i="1"/>
  <c r="MG76" i="1"/>
  <c r="MH76" i="1"/>
  <c r="MI76" i="1"/>
  <c r="MJ76" i="1"/>
  <c r="MK76" i="1"/>
  <c r="ML76" i="1"/>
  <c r="MM76" i="1"/>
  <c r="MN76" i="1"/>
  <c r="MO76" i="1"/>
  <c r="MP76" i="1"/>
  <c r="MQ76" i="1"/>
  <c r="MR76" i="1"/>
  <c r="MT76" i="1"/>
  <c r="MV76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KS78" i="1"/>
  <c r="KT78" i="1"/>
  <c r="KU78" i="1"/>
  <c r="KV78" i="1"/>
  <c r="KW78" i="1"/>
  <c r="KX78" i="1"/>
  <c r="KQ78" i="1"/>
  <c r="KR78" i="1"/>
  <c r="KY78" i="1"/>
  <c r="KZ78" i="1"/>
  <c r="LA78" i="1"/>
  <c r="LB78" i="1"/>
  <c r="LC78" i="1"/>
  <c r="LD78" i="1"/>
  <c r="LE78" i="1"/>
  <c r="LF78" i="1"/>
  <c r="LG78" i="1"/>
  <c r="LH78" i="1"/>
  <c r="LI78" i="1"/>
  <c r="LJ78" i="1"/>
  <c r="LK78" i="1"/>
  <c r="LL78" i="1"/>
  <c r="LM78" i="1"/>
  <c r="LN78" i="1"/>
  <c r="LO78" i="1"/>
  <c r="LP78" i="1"/>
  <c r="LQ78" i="1"/>
  <c r="LR78" i="1"/>
  <c r="LU78" i="1"/>
  <c r="LV78" i="1"/>
  <c r="LW78" i="1"/>
  <c r="LX78" i="1"/>
  <c r="LY78" i="1"/>
  <c r="LZ78" i="1"/>
  <c r="LS78" i="1"/>
  <c r="LT78" i="1"/>
  <c r="MA78" i="1"/>
  <c r="MB78" i="1"/>
  <c r="MC78" i="1"/>
  <c r="MD78" i="1"/>
  <c r="ME78" i="1"/>
  <c r="MF78" i="1"/>
  <c r="MG78" i="1"/>
  <c r="MH78" i="1"/>
  <c r="MI78" i="1"/>
  <c r="MJ78" i="1"/>
  <c r="MK78" i="1"/>
  <c r="ML78" i="1"/>
  <c r="MM78" i="1"/>
  <c r="MN78" i="1"/>
  <c r="MO78" i="1"/>
  <c r="MP78" i="1"/>
  <c r="MQ78" i="1"/>
  <c r="MR78" i="1"/>
  <c r="MT78" i="1"/>
  <c r="MV78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S79" i="1"/>
  <c r="KT79" i="1"/>
  <c r="KU79" i="1"/>
  <c r="KV79" i="1"/>
  <c r="KW79" i="1"/>
  <c r="KX79" i="1"/>
  <c r="KQ79" i="1"/>
  <c r="KR79" i="1"/>
  <c r="KY79" i="1"/>
  <c r="KZ79" i="1"/>
  <c r="LA79" i="1"/>
  <c r="LB79" i="1"/>
  <c r="LC79" i="1"/>
  <c r="LD79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U79" i="1"/>
  <c r="LV79" i="1"/>
  <c r="LW79" i="1"/>
  <c r="LX79" i="1"/>
  <c r="LY79" i="1"/>
  <c r="LZ79" i="1"/>
  <c r="LS79" i="1"/>
  <c r="LT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MT79" i="1"/>
  <c r="MV79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S80" i="1"/>
  <c r="KT80" i="1"/>
  <c r="KU80" i="1"/>
  <c r="KV80" i="1"/>
  <c r="KW80" i="1"/>
  <c r="KX80" i="1"/>
  <c r="KQ80" i="1"/>
  <c r="KR80" i="1"/>
  <c r="KY80" i="1"/>
  <c r="KZ80" i="1"/>
  <c r="LA80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U80" i="1"/>
  <c r="LV80" i="1"/>
  <c r="LW80" i="1"/>
  <c r="LX80" i="1"/>
  <c r="LY80" i="1"/>
  <c r="LZ80" i="1"/>
  <c r="LS80" i="1"/>
  <c r="LT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MT80" i="1"/>
  <c r="MV80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KS81" i="1"/>
  <c r="KT81" i="1"/>
  <c r="KU81" i="1"/>
  <c r="KV81" i="1"/>
  <c r="KW81" i="1"/>
  <c r="KX81" i="1"/>
  <c r="KQ81" i="1"/>
  <c r="KR81" i="1"/>
  <c r="KY81" i="1"/>
  <c r="KZ81" i="1"/>
  <c r="LA81" i="1"/>
  <c r="LB81" i="1"/>
  <c r="LC81" i="1"/>
  <c r="LD81" i="1"/>
  <c r="LE81" i="1"/>
  <c r="LF81" i="1"/>
  <c r="LG81" i="1"/>
  <c r="LH81" i="1"/>
  <c r="LI81" i="1"/>
  <c r="LJ81" i="1"/>
  <c r="LK81" i="1"/>
  <c r="LL81" i="1"/>
  <c r="LM81" i="1"/>
  <c r="LN81" i="1"/>
  <c r="LO81" i="1"/>
  <c r="LP81" i="1"/>
  <c r="LQ81" i="1"/>
  <c r="LR81" i="1"/>
  <c r="LU81" i="1"/>
  <c r="LV81" i="1"/>
  <c r="LW81" i="1"/>
  <c r="LX81" i="1"/>
  <c r="LY81" i="1"/>
  <c r="LZ81" i="1"/>
  <c r="LS81" i="1"/>
  <c r="LT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MT81" i="1"/>
  <c r="MV81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S82" i="1"/>
  <c r="KT82" i="1"/>
  <c r="KU82" i="1"/>
  <c r="KV82" i="1"/>
  <c r="KW82" i="1"/>
  <c r="KX82" i="1"/>
  <c r="KQ82" i="1"/>
  <c r="KR82" i="1"/>
  <c r="KY82" i="1"/>
  <c r="KZ82" i="1"/>
  <c r="LA82" i="1"/>
  <c r="LB82" i="1"/>
  <c r="LC82" i="1"/>
  <c r="LD82" i="1"/>
  <c r="LE82" i="1"/>
  <c r="LF82" i="1"/>
  <c r="LG82" i="1"/>
  <c r="LH82" i="1"/>
  <c r="LI82" i="1"/>
  <c r="LJ82" i="1"/>
  <c r="LK82" i="1"/>
  <c r="LL82" i="1"/>
  <c r="LM82" i="1"/>
  <c r="LN82" i="1"/>
  <c r="LO82" i="1"/>
  <c r="LP82" i="1"/>
  <c r="LQ82" i="1"/>
  <c r="LR82" i="1"/>
  <c r="LU82" i="1"/>
  <c r="LV82" i="1"/>
  <c r="LW82" i="1"/>
  <c r="LX82" i="1"/>
  <c r="LY82" i="1"/>
  <c r="LZ82" i="1"/>
  <c r="LS82" i="1"/>
  <c r="LT82" i="1"/>
  <c r="MA82" i="1"/>
  <c r="MB82" i="1"/>
  <c r="MC82" i="1"/>
  <c r="MD82" i="1"/>
  <c r="ME82" i="1"/>
  <c r="MF82" i="1"/>
  <c r="MG82" i="1"/>
  <c r="MH82" i="1"/>
  <c r="MI82" i="1"/>
  <c r="MJ82" i="1"/>
  <c r="MK82" i="1"/>
  <c r="ML82" i="1"/>
  <c r="MM82" i="1"/>
  <c r="MN82" i="1"/>
  <c r="MO82" i="1"/>
  <c r="MP82" i="1"/>
  <c r="MQ82" i="1"/>
  <c r="MR82" i="1"/>
  <c r="MT82" i="1"/>
  <c r="MV82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S83" i="1"/>
  <c r="KT83" i="1"/>
  <c r="KU83" i="1"/>
  <c r="KV83" i="1"/>
  <c r="KW83" i="1"/>
  <c r="KX83" i="1"/>
  <c r="KQ83" i="1"/>
  <c r="KR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U83" i="1"/>
  <c r="LV83" i="1"/>
  <c r="LW83" i="1"/>
  <c r="LX83" i="1"/>
  <c r="LY83" i="1"/>
  <c r="LZ83" i="1"/>
  <c r="LS83" i="1"/>
  <c r="LT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T83" i="1"/>
  <c r="MV83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S84" i="1"/>
  <c r="KT84" i="1"/>
  <c r="KU84" i="1"/>
  <c r="KV84" i="1"/>
  <c r="KW84" i="1"/>
  <c r="KX84" i="1"/>
  <c r="KQ84" i="1"/>
  <c r="KR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U84" i="1"/>
  <c r="LV84" i="1"/>
  <c r="LW84" i="1"/>
  <c r="LX84" i="1"/>
  <c r="LY84" i="1"/>
  <c r="LZ84" i="1"/>
  <c r="LS84" i="1"/>
  <c r="LT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T84" i="1"/>
  <c r="MV84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S85" i="1"/>
  <c r="KT85" i="1"/>
  <c r="KU85" i="1"/>
  <c r="KV85" i="1"/>
  <c r="KW85" i="1"/>
  <c r="KX85" i="1"/>
  <c r="KQ85" i="1"/>
  <c r="KR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U85" i="1"/>
  <c r="LV85" i="1"/>
  <c r="LW85" i="1"/>
  <c r="LX85" i="1"/>
  <c r="LY85" i="1"/>
  <c r="LZ85" i="1"/>
  <c r="LS85" i="1"/>
  <c r="LT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T85" i="1"/>
  <c r="MV85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KJ86" i="1"/>
  <c r="KK86" i="1"/>
  <c r="KL86" i="1"/>
  <c r="KM86" i="1"/>
  <c r="KN86" i="1"/>
  <c r="KO86" i="1"/>
  <c r="KP86" i="1"/>
  <c r="KS86" i="1"/>
  <c r="KT86" i="1"/>
  <c r="KU86" i="1"/>
  <c r="KV86" i="1"/>
  <c r="KW86" i="1"/>
  <c r="KX86" i="1"/>
  <c r="KQ86" i="1"/>
  <c r="KR86" i="1"/>
  <c r="KY86" i="1"/>
  <c r="KZ86" i="1"/>
  <c r="LA86" i="1"/>
  <c r="LB86" i="1"/>
  <c r="LC86" i="1"/>
  <c r="LD86" i="1"/>
  <c r="LE86" i="1"/>
  <c r="LF86" i="1"/>
  <c r="LG86" i="1"/>
  <c r="LH86" i="1"/>
  <c r="LI86" i="1"/>
  <c r="LJ86" i="1"/>
  <c r="LK86" i="1"/>
  <c r="LL86" i="1"/>
  <c r="LM86" i="1"/>
  <c r="LN86" i="1"/>
  <c r="LO86" i="1"/>
  <c r="LP86" i="1"/>
  <c r="LQ86" i="1"/>
  <c r="LR86" i="1"/>
  <c r="LU86" i="1"/>
  <c r="LV86" i="1"/>
  <c r="LW86" i="1"/>
  <c r="LX86" i="1"/>
  <c r="LY86" i="1"/>
  <c r="LZ86" i="1"/>
  <c r="LS86" i="1"/>
  <c r="LT86" i="1"/>
  <c r="MA86" i="1"/>
  <c r="MB86" i="1"/>
  <c r="MC86" i="1"/>
  <c r="MD86" i="1"/>
  <c r="ME86" i="1"/>
  <c r="MF86" i="1"/>
  <c r="MG86" i="1"/>
  <c r="MH86" i="1"/>
  <c r="MI86" i="1"/>
  <c r="MJ86" i="1"/>
  <c r="MK86" i="1"/>
  <c r="ML86" i="1"/>
  <c r="MM86" i="1"/>
  <c r="MN86" i="1"/>
  <c r="MO86" i="1"/>
  <c r="MP86" i="1"/>
  <c r="MQ86" i="1"/>
  <c r="MR86" i="1"/>
  <c r="MT86" i="1"/>
  <c r="MV86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KJ87" i="1"/>
  <c r="KK87" i="1"/>
  <c r="KL87" i="1"/>
  <c r="KM87" i="1"/>
  <c r="KN87" i="1"/>
  <c r="KO87" i="1"/>
  <c r="KP87" i="1"/>
  <c r="KS87" i="1"/>
  <c r="KT87" i="1"/>
  <c r="KU87" i="1"/>
  <c r="KV87" i="1"/>
  <c r="KW87" i="1"/>
  <c r="KX87" i="1"/>
  <c r="KQ87" i="1"/>
  <c r="KR87" i="1"/>
  <c r="KY87" i="1"/>
  <c r="KZ87" i="1"/>
  <c r="LA87" i="1"/>
  <c r="LB87" i="1"/>
  <c r="LC87" i="1"/>
  <c r="LD87" i="1"/>
  <c r="LE87" i="1"/>
  <c r="LF87" i="1"/>
  <c r="LG87" i="1"/>
  <c r="LH87" i="1"/>
  <c r="LI87" i="1"/>
  <c r="LJ87" i="1"/>
  <c r="LK87" i="1"/>
  <c r="LL87" i="1"/>
  <c r="LM87" i="1"/>
  <c r="LN87" i="1"/>
  <c r="LO87" i="1"/>
  <c r="LP87" i="1"/>
  <c r="LQ87" i="1"/>
  <c r="LR87" i="1"/>
  <c r="LU87" i="1"/>
  <c r="LV87" i="1"/>
  <c r="LW87" i="1"/>
  <c r="LX87" i="1"/>
  <c r="LY87" i="1"/>
  <c r="LZ87" i="1"/>
  <c r="LS87" i="1"/>
  <c r="LT87" i="1"/>
  <c r="MA87" i="1"/>
  <c r="MB87" i="1"/>
  <c r="MC87" i="1"/>
  <c r="MD87" i="1"/>
  <c r="ME87" i="1"/>
  <c r="MF87" i="1"/>
  <c r="MG87" i="1"/>
  <c r="MH87" i="1"/>
  <c r="MI87" i="1"/>
  <c r="MJ87" i="1"/>
  <c r="MK87" i="1"/>
  <c r="ML87" i="1"/>
  <c r="MM87" i="1"/>
  <c r="MN87" i="1"/>
  <c r="MO87" i="1"/>
  <c r="MP87" i="1"/>
  <c r="MQ87" i="1"/>
  <c r="MR87" i="1"/>
  <c r="MT87" i="1"/>
  <c r="MV87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S88" i="1"/>
  <c r="KT88" i="1"/>
  <c r="KU88" i="1"/>
  <c r="KV88" i="1"/>
  <c r="KW88" i="1"/>
  <c r="KX88" i="1"/>
  <c r="KQ88" i="1"/>
  <c r="KR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U88" i="1"/>
  <c r="LV88" i="1"/>
  <c r="LW88" i="1"/>
  <c r="LX88" i="1"/>
  <c r="LY88" i="1"/>
  <c r="LZ88" i="1"/>
  <c r="LS88" i="1"/>
  <c r="LT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T88" i="1"/>
  <c r="MV88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S89" i="1"/>
  <c r="KT89" i="1"/>
  <c r="KU89" i="1"/>
  <c r="KV89" i="1"/>
  <c r="KW89" i="1"/>
  <c r="KX89" i="1"/>
  <c r="KQ89" i="1"/>
  <c r="KR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U89" i="1"/>
  <c r="LV89" i="1"/>
  <c r="LW89" i="1"/>
  <c r="LX89" i="1"/>
  <c r="LY89" i="1"/>
  <c r="LZ89" i="1"/>
  <c r="LS89" i="1"/>
  <c r="LT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T89" i="1"/>
  <c r="MV89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S90" i="1"/>
  <c r="KT90" i="1"/>
  <c r="KU90" i="1"/>
  <c r="KV90" i="1"/>
  <c r="KW90" i="1"/>
  <c r="KX90" i="1"/>
  <c r="KQ90" i="1"/>
  <c r="KR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U90" i="1"/>
  <c r="LV90" i="1"/>
  <c r="LW90" i="1"/>
  <c r="LX90" i="1"/>
  <c r="LY90" i="1"/>
  <c r="LZ90" i="1"/>
  <c r="LS90" i="1"/>
  <c r="LT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T90" i="1"/>
  <c r="MV90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S91" i="1"/>
  <c r="KT91" i="1"/>
  <c r="KU91" i="1"/>
  <c r="KV91" i="1"/>
  <c r="KW91" i="1"/>
  <c r="KX91" i="1"/>
  <c r="KQ91" i="1"/>
  <c r="KR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U91" i="1"/>
  <c r="LV91" i="1"/>
  <c r="LW91" i="1"/>
  <c r="LX91" i="1"/>
  <c r="LY91" i="1"/>
  <c r="LZ91" i="1"/>
  <c r="LS91" i="1"/>
  <c r="LT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T91" i="1"/>
  <c r="MV91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S92" i="1"/>
  <c r="KT92" i="1"/>
  <c r="KU92" i="1"/>
  <c r="KV92" i="1"/>
  <c r="KW92" i="1"/>
  <c r="KX92" i="1"/>
  <c r="KQ92" i="1"/>
  <c r="KR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U92" i="1"/>
  <c r="LV92" i="1"/>
  <c r="LW92" i="1"/>
  <c r="LX92" i="1"/>
  <c r="LY92" i="1"/>
  <c r="LZ92" i="1"/>
  <c r="LS92" i="1"/>
  <c r="LT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T92" i="1"/>
  <c r="MV92" i="1"/>
  <c r="MV93" i="1"/>
  <c r="KB93" i="1"/>
  <c r="LV93" i="1"/>
  <c r="MN93" i="1"/>
  <c r="LN93" i="1"/>
  <c r="MD93" i="1"/>
  <c r="MP93" i="1"/>
  <c r="MR93" i="1"/>
  <c r="LF93" i="1"/>
  <c r="LH93" i="1"/>
  <c r="KD93" i="1"/>
  <c r="KF93" i="1"/>
  <c r="KH93" i="1"/>
  <c r="KJ93" i="1"/>
  <c r="KL93" i="1"/>
  <c r="KN93" i="1"/>
  <c r="KP93" i="1"/>
  <c r="KR93" i="1"/>
  <c r="KT93" i="1"/>
  <c r="KV93" i="1"/>
  <c r="KX93" i="1"/>
  <c r="KZ93" i="1"/>
  <c r="LB93" i="1"/>
  <c r="LD93" i="1"/>
  <c r="LJ93" i="1"/>
  <c r="LL93" i="1"/>
  <c r="LP93" i="1"/>
  <c r="LR93" i="1"/>
  <c r="LT93" i="1"/>
  <c r="LX93" i="1"/>
  <c r="LZ93" i="1"/>
  <c r="MB93" i="1"/>
  <c r="MF93" i="1"/>
  <c r="MH93" i="1"/>
  <c r="MJ93" i="1"/>
  <c r="ML93" i="1"/>
  <c r="JV93" i="1"/>
  <c r="JX93" i="1"/>
  <c r="JZ93" i="1"/>
  <c r="MT94" i="1"/>
  <c r="MT93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G101" i="1"/>
  <c r="G98" i="1"/>
  <c r="G95" i="1"/>
  <c r="G100" i="1"/>
  <c r="G99" i="1"/>
  <c r="G97" i="1"/>
  <c r="G96" i="1"/>
  <c r="A93" i="1"/>
</calcChain>
</file>

<file path=xl/sharedStrings.xml><?xml version="1.0" encoding="utf-8"?>
<sst xmlns="http://schemas.openxmlformats.org/spreadsheetml/2006/main" count="1139" uniqueCount="518">
  <si>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</si>
  <si>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</si>
  <si>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</si>
  <si>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</si>
  <si>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</si>
  <si>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</si>
  <si>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</si>
  <si>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</si>
  <si>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</si>
  <si>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</si>
  <si>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</si>
  <si>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</si>
  <si>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</si>
  <si>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</si>
  <si>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</si>
  <si>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</si>
  <si>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</si>
  <si>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</si>
  <si>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</si>
  <si>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</si>
  <si>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</si>
  <si>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</si>
  <si>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</si>
  <si>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</si>
  <si>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</si>
  <si>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</si>
  <si>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</si>
  <si>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</si>
  <si>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</si>
  <si>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</si>
  <si>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</si>
  <si>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</si>
  <si>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</si>
  <si>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</si>
  <si>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</si>
  <si>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</si>
  <si>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</si>
  <si>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</si>
  <si>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</si>
  <si>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</si>
  <si>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</si>
  <si>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</si>
  <si>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</si>
  <si>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</si>
  <si>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</si>
  <si>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</si>
  <si>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</si>
  <si>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</si>
  <si>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</si>
  <si>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</si>
  <si>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</si>
  <si>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TicketRevMBKB</t>
  </si>
  <si>
    <t>TicketRevWBKB</t>
  </si>
  <si>
    <t>TicketRevOtherSports</t>
  </si>
  <si>
    <t>TicketRevNPS</t>
  </si>
  <si>
    <t>TicketRevTot</t>
  </si>
  <si>
    <t>StudentFeesFB</t>
  </si>
  <si>
    <t>StudentFeesMBKB</t>
  </si>
  <si>
    <t>StudentFeesWBKB</t>
  </si>
  <si>
    <t>StudentFeesOtherSports</t>
  </si>
  <si>
    <t>StudentFeesNPS</t>
  </si>
  <si>
    <t>StudentFeesTot</t>
  </si>
  <si>
    <t>GuarFB</t>
  </si>
  <si>
    <t>GuarMBKB</t>
  </si>
  <si>
    <t>GuarWBKB</t>
  </si>
  <si>
    <t>GuarOtherSports</t>
  </si>
  <si>
    <t>GuarNPS</t>
  </si>
  <si>
    <t>GuarTot</t>
  </si>
  <si>
    <t>ContribsFB</t>
  </si>
  <si>
    <t>ContribsMBKB</t>
  </si>
  <si>
    <t>ContribsWBKB</t>
  </si>
  <si>
    <t>ContribsOtherSports</t>
  </si>
  <si>
    <t>ContribsNPS</t>
  </si>
  <si>
    <t>ContribsTot</t>
  </si>
  <si>
    <t>C&amp;B3rdFB</t>
  </si>
  <si>
    <t>C&amp;B3rdMBKB</t>
  </si>
  <si>
    <t>C&amp;B3rdWBKB</t>
  </si>
  <si>
    <t>C&amp;B3rdOtherSports</t>
  </si>
  <si>
    <t>C&amp;B3rdNPS</t>
  </si>
  <si>
    <t>C&amp;B3rdTot</t>
  </si>
  <si>
    <t>DirStateFB</t>
  </si>
  <si>
    <t>DirStateMBKB</t>
  </si>
  <si>
    <t>DirStateWBKB</t>
  </si>
  <si>
    <t>DirStateOtherSports</t>
  </si>
  <si>
    <t>DirStateNPS</t>
  </si>
  <si>
    <t>DirStateTot</t>
  </si>
  <si>
    <t>DirInstFB</t>
  </si>
  <si>
    <t>DirInstMBKB</t>
  </si>
  <si>
    <t>DirInstWBKB</t>
  </si>
  <si>
    <t>DirInstOtherSports</t>
  </si>
  <si>
    <t>DirInstNPS</t>
  </si>
  <si>
    <t>DirInstTot</t>
  </si>
  <si>
    <t>IndirFB</t>
  </si>
  <si>
    <t>IndirMBKB</t>
  </si>
  <si>
    <t>IndirWBKB</t>
  </si>
  <si>
    <t>IndirOtherSports</t>
  </si>
  <si>
    <t>IndirNPS</t>
  </si>
  <si>
    <t>IndirTot</t>
  </si>
  <si>
    <t>DistribsFB</t>
  </si>
  <si>
    <t>DistribsMBKB</t>
  </si>
  <si>
    <t>DistribsWBKB</t>
  </si>
  <si>
    <t>DistribsOtherSports</t>
  </si>
  <si>
    <t>DistribsNPS</t>
  </si>
  <si>
    <t>DistribsTot</t>
  </si>
  <si>
    <t>MediaFB</t>
  </si>
  <si>
    <t>MediaMBKB</t>
  </si>
  <si>
    <t>MediaWBKB</t>
  </si>
  <si>
    <t>MediaOtherSports</t>
  </si>
  <si>
    <t>MediaNPS</t>
  </si>
  <si>
    <t>MediaTot</t>
  </si>
  <si>
    <t>ConcessFB</t>
  </si>
  <si>
    <t>ConcessMBKB</t>
  </si>
  <si>
    <t>ConcessWBKB</t>
  </si>
  <si>
    <t>ConcessOtherSports</t>
  </si>
  <si>
    <t>ConcessNPS</t>
  </si>
  <si>
    <t>ConcessTot</t>
  </si>
  <si>
    <t>SponsFB</t>
  </si>
  <si>
    <t>SponsMBKB</t>
  </si>
  <si>
    <t>SponsWBKB</t>
  </si>
  <si>
    <t>SponsOtherSports</t>
  </si>
  <si>
    <t>SponsNPS</t>
  </si>
  <si>
    <t>SponsTot</t>
  </si>
  <si>
    <t>CampsFB</t>
  </si>
  <si>
    <t>CampsMBKB</t>
  </si>
  <si>
    <t>CampsWBKB</t>
  </si>
  <si>
    <t>CampsOtherSports</t>
  </si>
  <si>
    <t>CampsNPS</t>
  </si>
  <si>
    <t>CampsTot</t>
  </si>
  <si>
    <t>EndowFB</t>
  </si>
  <si>
    <t>EndowMBKB</t>
  </si>
  <si>
    <t>EndowWBKB</t>
  </si>
  <si>
    <t>EndowOtherSports</t>
  </si>
  <si>
    <t>EndowNPS</t>
  </si>
  <si>
    <t>EndowTot</t>
  </si>
  <si>
    <t>OtherFB</t>
  </si>
  <si>
    <t>OtherMBKB</t>
  </si>
  <si>
    <t>OtherWBKB</t>
  </si>
  <si>
    <t>OtherOtherSports</t>
  </si>
  <si>
    <t>OtherNPS</t>
  </si>
  <si>
    <t>OtherTot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</si>
  <si>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</si>
  <si>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</si>
  <si>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</si>
  <si>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</si>
  <si>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</si>
  <si>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</si>
  <si>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</si>
  <si>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</si>
  <si>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</si>
  <si>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</si>
  <si>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</si>
  <si>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</si>
  <si>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</si>
  <si>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</si>
  <si>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</si>
  <si>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</si>
  <si>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</si>
  <si>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</si>
  <si>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</si>
  <si>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</si>
  <si>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</si>
  <si>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</si>
  <si>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</si>
  <si>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</si>
  <si>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</si>
  <si>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</si>
  <si>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</si>
  <si>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</si>
  <si>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</si>
  <si>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</si>
  <si>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</si>
  <si>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</si>
  <si>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</si>
  <si>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</si>
  <si>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</si>
  <si>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</si>
  <si>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</si>
  <si>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</si>
  <si>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</si>
  <si>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</si>
  <si>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</si>
  <si>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</si>
  <si>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</si>
  <si>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</si>
  <si>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</si>
  <si>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</si>
  <si>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</si>
  <si>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</si>
  <si>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</si>
  <si>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</si>
  <si>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</si>
  <si>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</si>
  <si>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</si>
  <si>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</si>
  <si>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</si>
  <si>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</si>
  <si>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</si>
  <si>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</si>
  <si>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</si>
  <si>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</si>
  <si>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</si>
  <si>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</si>
  <si>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</si>
  <si>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</si>
  <si>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</si>
  <si>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</si>
  <si>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</si>
  <si>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</si>
  <si>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</si>
  <si>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</si>
  <si>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</si>
  <si>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</si>
  <si>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</si>
  <si>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</si>
  <si>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</si>
  <si>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</si>
  <si>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</si>
  <si>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</si>
  <si>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</si>
  <si>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</si>
  <si>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</si>
  <si>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</si>
  <si>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</si>
  <si>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</si>
  <si>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</si>
  <si>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</si>
  <si>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</si>
  <si>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</si>
  <si>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</si>
  <si>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</si>
  <si>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</si>
  <si>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</si>
  <si>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</si>
  <si>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</si>
  <si>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</si>
  <si>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</si>
  <si>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</si>
  <si>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</si>
  <si>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</si>
  <si>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</si>
  <si>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</si>
  <si>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</si>
  <si>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</si>
  <si>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</si>
  <si>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</si>
  <si>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</si>
  <si>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</si>
  <si>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</si>
  <si>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</si>
  <si>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</si>
  <si>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</si>
  <si>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</si>
  <si>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</si>
  <si>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</si>
  <si>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</si>
  <si>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</si>
  <si>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</si>
  <si>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</si>
  <si>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</si>
  <si>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</si>
  <si>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</si>
  <si>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</si>
  <si>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</si>
  <si>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</si>
  <si>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</si>
  <si>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</si>
  <si>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</si>
  <si>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</si>
  <si>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</si>
  <si>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</si>
  <si>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</si>
  <si>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</si>
  <si>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</si>
  <si>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</si>
  <si>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</si>
  <si>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</si>
  <si>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</si>
  <si>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Central Michigan</t>
  </si>
  <si>
    <t>Clemson</t>
  </si>
  <si>
    <t>Colorado</t>
  </si>
  <si>
    <t>Colorado State</t>
  </si>
  <si>
    <t>Connecticut</t>
  </si>
  <si>
    <t>Florida State</t>
  </si>
  <si>
    <t>Fresno State</t>
  </si>
  <si>
    <t>Akron</t>
  </si>
  <si>
    <t>Arizona</t>
  </si>
  <si>
    <t>Arizona State</t>
  </si>
  <si>
    <t>Arkansas</t>
  </si>
  <si>
    <t>Arkansas State</t>
  </si>
  <si>
    <t>Auburn</t>
  </si>
  <si>
    <t>Ball State</t>
  </si>
  <si>
    <t>Boise State</t>
  </si>
  <si>
    <t>Bowling Green</t>
  </si>
  <si>
    <t>Buffalo</t>
  </si>
  <si>
    <t>California</t>
  </si>
  <si>
    <t>Utah</t>
  </si>
  <si>
    <t>Utah State</t>
  </si>
  <si>
    <t>UTEP</t>
  </si>
  <si>
    <t>Virginia</t>
  </si>
  <si>
    <t>ACC</t>
  </si>
  <si>
    <t>Virginia Tech</t>
  </si>
  <si>
    <t>Washington</t>
  </si>
  <si>
    <t>Pac-12</t>
  </si>
  <si>
    <t>Western Kentucky</t>
  </si>
  <si>
    <t>Sun Belt</t>
  </si>
  <si>
    <t>Western Michigan</t>
  </si>
  <si>
    <t>Wisconsin</t>
  </si>
  <si>
    <t>Big Ten</t>
  </si>
  <si>
    <t>Wyoming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</si>
  <si>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</si>
  <si>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</si>
  <si>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</si>
  <si>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</si>
  <si>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</si>
  <si>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</si>
  <si>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</si>
  <si>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</si>
  <si>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</si>
  <si>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</si>
  <si>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Kent State</t>
  </si>
  <si>
    <t>Minnesota</t>
  </si>
  <si>
    <t>Mississippi State</t>
  </si>
  <si>
    <t>Missouri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</si>
  <si>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</si>
  <si>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</si>
  <si>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</si>
  <si>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</si>
  <si>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</si>
  <si>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</si>
  <si>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</si>
  <si>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Kentucky</t>
  </si>
  <si>
    <t>Louisiana Tech</t>
  </si>
  <si>
    <t>Louisville</t>
  </si>
  <si>
    <t>Marshall</t>
  </si>
  <si>
    <t>Maryland</t>
  </si>
  <si>
    <t>Memphis</t>
  </si>
  <si>
    <t>Miami (OH)</t>
  </si>
  <si>
    <t>Michigan</t>
  </si>
  <si>
    <t>Michigan State</t>
  </si>
  <si>
    <t>North Texas</t>
  </si>
  <si>
    <t>Ohio</t>
  </si>
  <si>
    <t>Ohio State</t>
  </si>
  <si>
    <t>Oklahoma</t>
  </si>
  <si>
    <t>Oklahoma State</t>
  </si>
  <si>
    <t>Oregon</t>
  </si>
  <si>
    <t>Oregon State</t>
  </si>
  <si>
    <t>Purdue</t>
  </si>
  <si>
    <t>Rutgers</t>
  </si>
  <si>
    <t>South Carolina</t>
  </si>
  <si>
    <t>Southern Mississippi</t>
  </si>
  <si>
    <t>South Florida</t>
  </si>
  <si>
    <t>Texas</t>
  </si>
  <si>
    <t>Texas A&amp;M</t>
  </si>
  <si>
    <t>Texas Tech</t>
  </si>
  <si>
    <t>Toledo</t>
  </si>
  <si>
    <t>Troy</t>
  </si>
  <si>
    <t>UCLA</t>
  </si>
  <si>
    <t>UNLV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</si>
  <si>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</si>
  <si>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</si>
  <si>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</si>
  <si>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</si>
  <si>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</si>
  <si>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</si>
  <si>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</si>
  <si>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</si>
  <si>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</si>
  <si>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</si>
  <si>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</si>
  <si>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</si>
  <si>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</si>
  <si>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</si>
  <si>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</si>
  <si>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</si>
  <si>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</si>
  <si>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</si>
  <si>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</si>
  <si>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</si>
  <si>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</si>
  <si>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</si>
  <si>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</si>
  <si>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</si>
  <si>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</si>
  <si>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</si>
  <si>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</si>
  <si>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</si>
  <si>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</si>
  <si>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</si>
  <si>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</si>
  <si>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</si>
  <si>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</si>
  <si>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</si>
  <si>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</si>
  <si>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</si>
  <si>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</si>
  <si>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</si>
  <si>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</si>
  <si>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</si>
  <si>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CUSA</t>
  </si>
  <si>
    <t>SEC</t>
  </si>
  <si>
    <t>MWC</t>
  </si>
  <si>
    <t>MAC</t>
  </si>
  <si>
    <t>Row Error Count</t>
  </si>
  <si>
    <t>Washington State</t>
  </si>
  <si>
    <t>Coder</t>
  </si>
  <si>
    <t>MA</t>
  </si>
  <si>
    <t>PC</t>
  </si>
  <si>
    <t>DR</t>
  </si>
  <si>
    <t>First and last initial.</t>
  </si>
  <si>
    <t>Department ID number from EADA.</t>
  </si>
  <si>
    <t>Year of the report.</t>
  </si>
  <si>
    <t>1 = FBS</t>
  </si>
  <si>
    <t>Big 12</t>
  </si>
  <si>
    <t>Big East</t>
  </si>
  <si>
    <t>The rest are all self-explanatory via the reports.</t>
  </si>
  <si>
    <t>Air Force</t>
  </si>
  <si>
    <t>Alabama</t>
  </si>
  <si>
    <t>SunBelt</t>
  </si>
  <si>
    <t>Pac12</t>
  </si>
  <si>
    <t>Army</t>
  </si>
  <si>
    <t>INDEP</t>
  </si>
  <si>
    <t>Baylor</t>
  </si>
  <si>
    <t>Big12</t>
  </si>
  <si>
    <t>Boston College</t>
  </si>
  <si>
    <t>BYU</t>
  </si>
  <si>
    <t>Cincinnati</t>
  </si>
  <si>
    <t>AAC</t>
  </si>
  <si>
    <t>Duke</t>
  </si>
  <si>
    <t>East Carolina</t>
  </si>
  <si>
    <t>Eastern Michigan</t>
  </si>
  <si>
    <t>Florida</t>
  </si>
  <si>
    <t>Florida Atlantic</t>
  </si>
  <si>
    <t>BigTen</t>
  </si>
  <si>
    <t>Kansas State</t>
  </si>
  <si>
    <t>Louisiana Lafayette</t>
  </si>
  <si>
    <t>Louisiana Monroe</t>
  </si>
  <si>
    <t>LSU</t>
  </si>
  <si>
    <t>Navy</t>
  </si>
  <si>
    <t>Northwestern</t>
  </si>
  <si>
    <t>Notre Dame</t>
  </si>
  <si>
    <t>Penn State</t>
  </si>
  <si>
    <t>Pittsburgh</t>
  </si>
  <si>
    <t>Rice</t>
  </si>
  <si>
    <t>San Diego State</t>
  </si>
  <si>
    <t>SMU</t>
  </si>
  <si>
    <t>Stanford</t>
  </si>
  <si>
    <t>Syracuse</t>
  </si>
  <si>
    <t>TCU</t>
  </si>
  <si>
    <t>Temple</t>
  </si>
  <si>
    <t>Tennessee</t>
  </si>
  <si>
    <t>Tulane</t>
  </si>
  <si>
    <t>Tulsa</t>
  </si>
  <si>
    <t>USC</t>
  </si>
  <si>
    <t>Vanderbilt</t>
  </si>
  <si>
    <t>Wake Forest</t>
  </si>
  <si>
    <t>West Virginia</t>
  </si>
  <si>
    <t>NOTE: The adopted convention  is to enter zero in the non-RevExp columns if a zero really was entered in the PDF, otherwise, it's a blank.</t>
  </si>
  <si>
    <t>TotRevTot</t>
  </si>
  <si>
    <t>GS</t>
  </si>
  <si>
    <t>San Jose State</t>
  </si>
  <si>
    <t>Don't expect any report on the private programs or the service academies. But there are a few that must have simply not submitted to FOIA:</t>
  </si>
  <si>
    <t>BR</t>
  </si>
  <si>
    <t>BigEast</t>
  </si>
  <si>
    <t>WAC</t>
  </si>
  <si>
    <t>SM</t>
  </si>
  <si>
    <t>No Report =</t>
  </si>
  <si>
    <t>Louisisna Monroe</t>
  </si>
  <si>
    <t>RF</t>
  </si>
  <si>
    <t>min</t>
  </si>
  <si>
    <t>max</t>
  </si>
  <si>
    <t>ave</t>
  </si>
  <si>
    <t>median</t>
  </si>
  <si>
    <t>mode</t>
  </si>
  <si>
    <t>sd</t>
  </si>
  <si>
    <t>How many = 0?</t>
  </si>
  <si>
    <t>JOh</t>
  </si>
  <si>
    <t xml:space="preserve">na </t>
  </si>
  <si>
    <t xml:space="preserve">119074 29      </t>
  </si>
  <si>
    <t xml:space="preserve">46251 10     </t>
  </si>
  <si>
    <t>?</t>
  </si>
  <si>
    <t>oi</t>
  </si>
  <si>
    <t>JOr</t>
  </si>
  <si>
    <t>Mississippi</t>
  </si>
  <si>
    <t>. 92776</t>
  </si>
  <si>
    <t>8,656.00</t>
  </si>
  <si>
    <t>0 0</t>
  </si>
  <si>
    <t>174235,53</t>
  </si>
  <si>
    <t>170018,51</t>
  </si>
  <si>
    <t>17.S</t>
  </si>
  <si>
    <t xml:space="preserve"> </t>
  </si>
  <si>
    <t xml:space="preserve">   </t>
  </si>
  <si>
    <t>2011 Data file reports for June 30, 2011. That means the file is for the 2010-11 School/Sports Year (e.g., 2010 regular FB season, 2011 FB Post-Season</t>
  </si>
  <si>
    <t>2010-2011 Schools and Conferences</t>
  </si>
  <si>
    <t>General</t>
  </si>
  <si>
    <t>Rev Exp #</t>
  </si>
  <si>
    <t>x</t>
  </si>
  <si>
    <t>Problems</t>
  </si>
  <si>
    <t>Redacted Student Aid split by male/female.</t>
  </si>
  <si>
    <t>DNR General Information.</t>
  </si>
  <si>
    <t>DNR General Information. DNR FTE/Positions data. Items #23, #31, and #37 are not reported. But these last are taken to be "0" consistent with totals reported.</t>
  </si>
  <si>
    <t>DNR Ave Salary Information and cannot calculate because FTE/Position information entered as "0".</t>
  </si>
  <si>
    <t>DNR E&amp;G Spending.</t>
  </si>
  <si>
    <t>NOTE: The adopted convention  is to enter zero in the RevExp columns if 1) the # row is there but an entry is - or 0 or blank or 2) enter zeroes if the #row is not even supplied (see Idaho).</t>
  </si>
  <si>
    <t>Survey response illegible. DNR Total Spending or E&amp;G Spending.</t>
  </si>
  <si>
    <t>#16 is given as $20,157,361. But break out table shows $1,192,670. Sum #1-#15 is $19,753,711. Go with this last. Same issue for TE #36 is given as $18,031,089, but break out table shows $11,650,168. Sum #17-#35 gives $14,238,235. Go with this last.</t>
  </si>
  <si>
    <t>#38 NPS is given as $25,967,001. By hand, #36 NPS + #37 NPS = $23,376,225. Go with this last.</t>
  </si>
  <si>
    <t>#17 NPS cut off in original; inferred from the rest of the #17 entries.</t>
  </si>
  <si>
    <t>#16 is given as $24,148,604. But break out table shows $864,185. Sum #1-#15 is $24,148,604. Go with this last. Same issue for TE #36 is given as $22,793,622, but break out table shows $12,933,228. Sum #17-#35 gives $22,793,622. Go with this last.</t>
  </si>
  <si>
    <t>Just rounding error in #4, #12, #16, #17, #33, #36.</t>
  </si>
  <si>
    <t>DNR survey results so no debt information. DNR #17, #18. #19,#20 report only totals and M/F. DNR #21 - #38 except for totals. NOTE: Any $1-$2 differences in the Check Sums is just rounding error.</t>
  </si>
  <si>
    <t>Non-#</t>
  </si>
  <si>
    <t>Common</t>
  </si>
  <si>
    <t>Alabama Birmingham</t>
  </si>
  <si>
    <t>Florida International</t>
  </si>
  <si>
    <t>Middle Tennessee State</t>
  </si>
  <si>
    <t>Central Florida</t>
  </si>
  <si>
    <t>Miami (FL)</t>
  </si>
  <si>
    <t>Centrtal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</si>
</sst>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;[Red]\-&quot;$&quot;#,##0"/>
  </numFmts>
  <fonts count="41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31F20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C4C4C4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rgb="FF505050"/>
      <name val="Calibri"/>
      <family val="2"/>
      <scheme val="minor"/>
    </font>
    <font>
      <sz val="6"/>
      <color rgb="FF2D2A2A"/>
      <name val="Calibri"/>
      <family val="2"/>
      <scheme val="minor"/>
    </font>
    <font>
      <sz val="6"/>
      <color rgb="FF413F3F"/>
      <name val="Calibri"/>
      <family val="2"/>
      <scheme val="minor"/>
    </font>
    <font>
      <sz val="6"/>
      <color rgb="FF181616"/>
      <name val="Calibri"/>
      <family val="2"/>
      <scheme val="minor"/>
    </font>
    <font>
      <sz val="6"/>
      <color rgb="FF3A3A3A"/>
      <name val="Calibri"/>
      <family val="2"/>
      <scheme val="minor"/>
    </font>
    <font>
      <sz val="6"/>
      <color rgb="FF545454"/>
      <name val="Calibri"/>
      <family val="2"/>
      <scheme val="minor"/>
    </font>
    <font>
      <sz val="6"/>
      <color rgb="FF59595B"/>
      <name val="Calibri"/>
      <family val="2"/>
      <scheme val="minor"/>
    </font>
    <font>
      <sz val="6"/>
      <color rgb="FF464646"/>
      <name val="Calibri"/>
      <family val="2"/>
      <scheme val="minor"/>
    </font>
    <font>
      <sz val="6"/>
      <color rgb="FF707070"/>
      <name val="Calibri"/>
      <family val="2"/>
      <scheme val="minor"/>
    </font>
    <font>
      <sz val="6"/>
      <color rgb="FF898989"/>
      <name val="Calibri"/>
      <family val="2"/>
      <scheme val="minor"/>
    </font>
    <font>
      <i/>
      <sz val="6"/>
      <color rgb="FF59595B"/>
      <name val="Calibri"/>
      <family val="2"/>
      <scheme val="minor"/>
    </font>
    <font>
      <sz val="6"/>
      <color rgb="FF080808"/>
      <name val="Calibri"/>
      <family val="2"/>
      <scheme val="minor"/>
    </font>
    <font>
      <sz val="6"/>
      <color rgb="FF343434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0" fillId="0" borderId="0" xfId="0" applyNumberFormat="1" applyFill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 vertical="center"/>
    </xf>
    <xf numFmtId="6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right"/>
    </xf>
    <xf numFmtId="164" fontId="5" fillId="3" borderId="0" xfId="0" applyNumberFormat="1" applyFont="1" applyFill="1" applyBorder="1" applyAlignment="1">
      <alignment horizontal="right"/>
    </xf>
    <xf numFmtId="49" fontId="38" fillId="0" borderId="0" xfId="0" applyNumberFormat="1" applyFont="1"/>
    <xf numFmtId="49" fontId="0" fillId="0" borderId="0" xfId="0" applyNumberFormat="1" applyAlignment="1"/>
    <xf numFmtId="0" fontId="0" fillId="0" borderId="0" xfId="0" applyFont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3" fontId="18" fillId="0" borderId="0" xfId="0" applyNumberFormat="1" applyFont="1" applyAlignment="1">
      <alignment horizontal="right"/>
    </xf>
    <xf numFmtId="8" fontId="4" fillId="0" borderId="0" xfId="0" applyNumberFormat="1" applyFont="1" applyFill="1" applyBorder="1" applyAlignment="1">
      <alignment horizontal="right"/>
    </xf>
    <xf numFmtId="0" fontId="18" fillId="0" borderId="0" xfId="0" applyNumberFormat="1" applyFont="1" applyAlignment="1">
      <alignment horizontal="right"/>
    </xf>
    <xf numFmtId="2" fontId="5" fillId="3" borderId="0" xfId="0" applyNumberFormat="1" applyFont="1" applyFill="1" applyBorder="1" applyAlignment="1">
      <alignment horizontal="right"/>
    </xf>
    <xf numFmtId="2" fontId="4" fillId="3" borderId="0" xfId="0" applyNumberFormat="1" applyFont="1" applyFill="1" applyBorder="1" applyAlignment="1">
      <alignment horizontal="right"/>
    </xf>
    <xf numFmtId="164" fontId="31" fillId="3" borderId="0" xfId="0" applyNumberFormat="1" applyFont="1" applyFill="1" applyBorder="1" applyAlignment="1">
      <alignment horizontal="right" vertical="center" wrapText="1"/>
    </xf>
    <xf numFmtId="2" fontId="31" fillId="3" borderId="0" xfId="0" applyNumberFormat="1" applyFont="1" applyFill="1" applyBorder="1" applyAlignment="1">
      <alignment horizontal="right" vertical="center" wrapText="1"/>
    </xf>
    <xf numFmtId="2" fontId="32" fillId="3" borderId="0" xfId="0" applyNumberFormat="1" applyFont="1" applyFill="1" applyBorder="1" applyAlignment="1">
      <alignment horizontal="right" vertical="center" wrapText="1"/>
    </xf>
    <xf numFmtId="2" fontId="12" fillId="3" borderId="0" xfId="0" applyNumberFormat="1" applyFont="1" applyFill="1" applyBorder="1" applyAlignment="1">
      <alignment horizontal="right" vertical="center"/>
    </xf>
    <xf numFmtId="164" fontId="12" fillId="3" borderId="0" xfId="0" applyNumberFormat="1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right" vertical="center"/>
    </xf>
    <xf numFmtId="2" fontId="4" fillId="3" borderId="0" xfId="0" applyNumberFormat="1" applyFont="1" applyFill="1" applyBorder="1" applyAlignment="1">
      <alignment horizontal="right" vertical="center"/>
    </xf>
    <xf numFmtId="164" fontId="23" fillId="3" borderId="0" xfId="0" applyNumberFormat="1" applyFont="1" applyFill="1" applyBorder="1" applyAlignment="1">
      <alignment horizontal="right" vertical="center"/>
    </xf>
    <xf numFmtId="164" fontId="22" fillId="3" borderId="0" xfId="0" applyNumberFormat="1" applyFont="1" applyFill="1" applyBorder="1" applyAlignment="1">
      <alignment horizontal="right" vertical="center"/>
    </xf>
    <xf numFmtId="2" fontId="23" fillId="3" borderId="0" xfId="0" applyNumberFormat="1" applyFont="1" applyFill="1" applyBorder="1" applyAlignment="1">
      <alignment horizontal="right" vertical="center"/>
    </xf>
    <xf numFmtId="2" fontId="22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/>
    </xf>
    <xf numFmtId="2" fontId="6" fillId="3" borderId="0" xfId="0" applyNumberFormat="1" applyFont="1" applyFill="1" applyBorder="1" applyAlignment="1">
      <alignment horizontal="right"/>
    </xf>
    <xf numFmtId="164" fontId="5" fillId="4" borderId="0" xfId="0" applyNumberFormat="1" applyFont="1" applyFill="1" applyBorder="1" applyAlignment="1">
      <alignment horizontal="right"/>
    </xf>
    <xf numFmtId="164" fontId="4" fillId="4" borderId="0" xfId="0" applyNumberFormat="1" applyFont="1" applyFill="1" applyBorder="1" applyAlignment="1">
      <alignment horizontal="right" vertical="center"/>
    </xf>
    <xf numFmtId="164" fontId="6" fillId="4" borderId="0" xfId="0" applyNumberFormat="1" applyFont="1" applyFill="1" applyBorder="1" applyAlignment="1">
      <alignment horizontal="right" vertical="center"/>
    </xf>
    <xf numFmtId="164" fontId="4" fillId="4" borderId="0" xfId="0" applyNumberFormat="1" applyFont="1" applyFill="1" applyBorder="1" applyAlignment="1">
      <alignment horizontal="right"/>
    </xf>
    <xf numFmtId="164" fontId="32" fillId="4" borderId="0" xfId="0" applyNumberFormat="1" applyFont="1" applyFill="1" applyBorder="1" applyAlignment="1">
      <alignment horizontal="right" vertical="center" wrapText="1"/>
    </xf>
    <xf numFmtId="164" fontId="33" fillId="4" borderId="0" xfId="0" applyNumberFormat="1" applyFont="1" applyFill="1" applyBorder="1" applyAlignment="1">
      <alignment horizontal="right" vertical="center" wrapText="1"/>
    </xf>
    <xf numFmtId="164" fontId="34" fillId="4" borderId="0" xfId="0" applyNumberFormat="1" applyFont="1" applyFill="1" applyBorder="1" applyAlignment="1">
      <alignment horizontal="right" vertical="center" wrapText="1"/>
    </xf>
    <xf numFmtId="164" fontId="31" fillId="4" borderId="0" xfId="0" applyNumberFormat="1" applyFont="1" applyFill="1" applyBorder="1" applyAlignment="1">
      <alignment horizontal="right" vertical="center" wrapText="1"/>
    </xf>
    <xf numFmtId="164" fontId="11" fillId="4" borderId="0" xfId="0" applyNumberFormat="1" applyFont="1" applyFill="1" applyBorder="1" applyAlignment="1">
      <alignment horizontal="right" vertical="center" wrapText="1"/>
    </xf>
    <xf numFmtId="164" fontId="35" fillId="4" borderId="0" xfId="0" applyNumberFormat="1" applyFont="1" applyFill="1" applyBorder="1" applyAlignment="1">
      <alignment horizontal="right" vertical="center" wrapText="1"/>
    </xf>
    <xf numFmtId="164" fontId="4" fillId="4" borderId="0" xfId="0" applyNumberFormat="1" applyFont="1" applyFill="1" applyBorder="1" applyAlignment="1">
      <alignment horizontal="right" vertical="center" wrapText="1"/>
    </xf>
    <xf numFmtId="164" fontId="6" fillId="4" borderId="0" xfId="0" applyNumberFormat="1" applyFont="1" applyFill="1" applyBorder="1" applyAlignment="1">
      <alignment horizontal="right"/>
    </xf>
    <xf numFmtId="164" fontId="36" fillId="4" borderId="0" xfId="0" applyNumberFormat="1" applyFont="1" applyFill="1" applyBorder="1" applyAlignment="1">
      <alignment horizontal="right" vertical="center" wrapText="1"/>
    </xf>
    <xf numFmtId="164" fontId="18" fillId="4" borderId="0" xfId="0" applyNumberFormat="1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right" vertical="top"/>
    </xf>
    <xf numFmtId="164" fontId="7" fillId="4" borderId="0" xfId="0" applyNumberFormat="1" applyFont="1" applyFill="1" applyBorder="1" applyAlignment="1">
      <alignment horizontal="right" vertical="top"/>
    </xf>
    <xf numFmtId="164" fontId="12" fillId="4" borderId="0" xfId="0" applyNumberFormat="1" applyFont="1" applyFill="1" applyBorder="1" applyAlignment="1">
      <alignment horizontal="right" vertical="center"/>
    </xf>
    <xf numFmtId="164" fontId="13" fillId="4" borderId="0" xfId="0" applyNumberFormat="1" applyFont="1" applyFill="1" applyBorder="1" applyAlignment="1">
      <alignment horizontal="right" vertical="center"/>
    </xf>
    <xf numFmtId="164" fontId="14" fillId="4" borderId="0" xfId="0" applyNumberFormat="1" applyFont="1" applyFill="1" applyBorder="1" applyAlignment="1">
      <alignment horizontal="right" vertical="center"/>
    </xf>
    <xf numFmtId="164" fontId="15" fillId="4" borderId="0" xfId="0" applyNumberFormat="1" applyFont="1" applyFill="1" applyBorder="1" applyAlignment="1">
      <alignment horizontal="right" vertical="center"/>
    </xf>
    <xf numFmtId="164" fontId="13" fillId="4" borderId="0" xfId="0" applyNumberFormat="1" applyFont="1" applyFill="1" applyBorder="1" applyAlignment="1">
      <alignment horizontal="right"/>
    </xf>
    <xf numFmtId="164" fontId="16" fillId="4" borderId="0" xfId="0" applyNumberFormat="1" applyFont="1" applyFill="1" applyBorder="1" applyAlignment="1">
      <alignment horizontal="right" vertical="center"/>
    </xf>
    <xf numFmtId="164" fontId="17" fillId="4" borderId="0" xfId="0" applyNumberFormat="1" applyFont="1" applyFill="1" applyBorder="1" applyAlignment="1">
      <alignment horizontal="right" vertical="center"/>
    </xf>
    <xf numFmtId="164" fontId="8" fillId="4" borderId="0" xfId="0" applyNumberFormat="1" applyFont="1" applyFill="1" applyBorder="1" applyAlignment="1">
      <alignment horizontal="right" vertical="top"/>
    </xf>
    <xf numFmtId="164" fontId="9" fillId="4" borderId="0" xfId="0" applyNumberFormat="1" applyFont="1" applyFill="1" applyBorder="1" applyAlignment="1">
      <alignment horizontal="right" vertical="top"/>
    </xf>
    <xf numFmtId="164" fontId="8" fillId="4" borderId="0" xfId="0" applyNumberFormat="1" applyFont="1" applyFill="1" applyBorder="1" applyAlignment="1">
      <alignment horizontal="right"/>
    </xf>
    <xf numFmtId="164" fontId="10" fillId="4" borderId="0" xfId="0" applyNumberFormat="1" applyFont="1" applyFill="1" applyBorder="1" applyAlignment="1">
      <alignment horizontal="right" vertical="top"/>
    </xf>
    <xf numFmtId="164" fontId="6" fillId="4" borderId="0" xfId="0" applyNumberFormat="1" applyFont="1" applyFill="1"/>
    <xf numFmtId="164" fontId="6" fillId="4" borderId="0" xfId="0" applyNumberFormat="1" applyFont="1" applyFill="1" applyBorder="1" applyAlignment="1">
      <alignment vertical="center"/>
    </xf>
    <xf numFmtId="164" fontId="6" fillId="4" borderId="0" xfId="0" applyNumberFormat="1" applyFont="1" applyFill="1" applyBorder="1"/>
    <xf numFmtId="164" fontId="4" fillId="4" borderId="0" xfId="0" applyNumberFormat="1" applyFont="1" applyFill="1" applyBorder="1" applyAlignment="1">
      <alignment horizontal="right" vertical="center" wrapText="1" indent="2"/>
    </xf>
    <xf numFmtId="164" fontId="11" fillId="4" borderId="0" xfId="0" applyNumberFormat="1" applyFont="1" applyFill="1" applyBorder="1" applyAlignment="1">
      <alignment horizontal="right" vertical="top"/>
    </xf>
    <xf numFmtId="164" fontId="17" fillId="4" borderId="0" xfId="0" applyNumberFormat="1" applyFont="1" applyFill="1" applyBorder="1" applyAlignment="1">
      <alignment horizontal="right" vertical="center" wrapText="1"/>
    </xf>
    <xf numFmtId="164" fontId="29" fillId="4" borderId="0" xfId="0" applyNumberFormat="1" applyFont="1" applyFill="1" applyBorder="1" applyAlignment="1">
      <alignment horizontal="right" vertical="center" wrapText="1"/>
    </xf>
    <xf numFmtId="164" fontId="4" fillId="4" borderId="0" xfId="0" applyNumberFormat="1" applyFont="1" applyFill="1"/>
    <xf numFmtId="164" fontId="24" fillId="4" borderId="0" xfId="0" applyNumberFormat="1" applyFont="1" applyFill="1" applyBorder="1" applyAlignment="1">
      <alignment horizontal="right" vertical="center"/>
    </xf>
    <xf numFmtId="164" fontId="10" fillId="4" borderId="0" xfId="0" applyNumberFormat="1" applyFont="1" applyFill="1" applyBorder="1" applyAlignment="1">
      <alignment horizontal="right" vertical="center"/>
    </xf>
    <xf numFmtId="164" fontId="18" fillId="4" borderId="0" xfId="0" applyNumberFormat="1" applyFont="1" applyFill="1" applyBorder="1" applyAlignment="1">
      <alignment horizontal="right" vertical="center"/>
    </xf>
    <xf numFmtId="164" fontId="37" fillId="4" borderId="0" xfId="0" applyNumberFormat="1" applyFont="1" applyFill="1" applyBorder="1" applyAlignment="1">
      <alignment horizontal="right" vertical="center" wrapText="1"/>
    </xf>
    <xf numFmtId="164" fontId="16" fillId="4" borderId="0" xfId="0" applyNumberFormat="1" applyFont="1" applyFill="1" applyBorder="1" applyAlignment="1">
      <alignment horizontal="right" vertical="center" wrapText="1"/>
    </xf>
    <xf numFmtId="164" fontId="18" fillId="4" borderId="0" xfId="0" applyNumberFormat="1" applyFont="1" applyFill="1" applyBorder="1" applyAlignment="1">
      <alignment horizontal="right" vertical="top"/>
    </xf>
    <xf numFmtId="164" fontId="25" fillId="4" borderId="0" xfId="0" applyNumberFormat="1" applyFont="1" applyFill="1" applyBorder="1" applyAlignment="1">
      <alignment horizontal="right" vertical="center" wrapText="1"/>
    </xf>
    <xf numFmtId="164" fontId="27" fillId="4" borderId="0" xfId="0" applyNumberFormat="1" applyFont="1" applyFill="1" applyBorder="1" applyAlignment="1">
      <alignment horizontal="right" vertical="center" wrapText="1"/>
    </xf>
    <xf numFmtId="164" fontId="28" fillId="4" borderId="0" xfId="0" applyNumberFormat="1" applyFont="1" applyFill="1" applyBorder="1" applyAlignment="1">
      <alignment horizontal="right" vertical="center" wrapText="1"/>
    </xf>
    <xf numFmtId="164" fontId="26" fillId="4" borderId="0" xfId="0" applyNumberFormat="1" applyFont="1" applyFill="1" applyBorder="1" applyAlignment="1">
      <alignment horizontal="right" vertical="center" wrapText="1"/>
    </xf>
    <xf numFmtId="164" fontId="4" fillId="4" borderId="0" xfId="0" applyNumberFormat="1" applyFont="1" applyFill="1" applyBorder="1" applyAlignment="1">
      <alignment vertical="center" wrapText="1"/>
    </xf>
    <xf numFmtId="49" fontId="0" fillId="5" borderId="0" xfId="0" applyNumberFormat="1" applyFill="1" applyAlignment="1"/>
    <xf numFmtId="49" fontId="0" fillId="0" borderId="0" xfId="0" applyNumberFormat="1" applyFill="1" applyAlignment="1"/>
    <xf numFmtId="0" fontId="4" fillId="6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right"/>
    </xf>
    <xf numFmtId="3" fontId="5" fillId="7" borderId="0" xfId="0" applyNumberFormat="1" applyFont="1" applyFill="1" applyBorder="1" applyAlignment="1">
      <alignment horizontal="right"/>
    </xf>
    <xf numFmtId="164" fontId="5" fillId="7" borderId="0" xfId="0" applyNumberFormat="1" applyFont="1" applyFill="1" applyBorder="1" applyAlignment="1">
      <alignment horizontal="right"/>
    </xf>
    <xf numFmtId="0" fontId="4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right"/>
    </xf>
    <xf numFmtId="3" fontId="4" fillId="7" borderId="0" xfId="0" applyNumberFormat="1" applyFont="1" applyFill="1" applyBorder="1" applyAlignment="1">
      <alignment horizontal="right"/>
    </xf>
    <xf numFmtId="164" fontId="4" fillId="7" borderId="0" xfId="0" applyNumberFormat="1" applyFont="1" applyFill="1" applyBorder="1" applyAlignment="1">
      <alignment horizontal="right"/>
    </xf>
    <xf numFmtId="0" fontId="6" fillId="7" borderId="0" xfId="0" applyFont="1" applyFill="1" applyBorder="1" applyAlignment="1">
      <alignment horizontal="center"/>
    </xf>
    <xf numFmtId="1" fontId="4" fillId="7" borderId="0" xfId="0" applyNumberFormat="1" applyFont="1" applyFill="1" applyBorder="1" applyAlignment="1">
      <alignment horizontal="right"/>
    </xf>
    <xf numFmtId="164" fontId="30" fillId="7" borderId="0" xfId="0" applyNumberFormat="1" applyFont="1" applyFill="1" applyBorder="1" applyAlignment="1">
      <alignment horizontal="right"/>
    </xf>
    <xf numFmtId="164" fontId="4" fillId="7" borderId="0" xfId="0" applyNumberFormat="1" applyFont="1" applyFill="1" applyBorder="1" applyAlignment="1"/>
    <xf numFmtId="0" fontId="18" fillId="7" borderId="0" xfId="0" applyFont="1" applyFill="1" applyBorder="1" applyAlignment="1">
      <alignment horizontal="center"/>
    </xf>
    <xf numFmtId="164" fontId="4" fillId="7" borderId="0" xfId="0" applyNumberFormat="1" applyFont="1" applyFill="1" applyBorder="1" applyAlignment="1">
      <alignment horizontal="right" vertical="center"/>
    </xf>
    <xf numFmtId="3" fontId="4" fillId="7" borderId="0" xfId="0" applyNumberFormat="1" applyFont="1" applyFill="1" applyBorder="1" applyAlignment="1">
      <alignment horizontal="right" vertical="center"/>
    </xf>
    <xf numFmtId="164" fontId="4" fillId="7" borderId="0" xfId="0" applyNumberFormat="1" applyFont="1" applyFill="1"/>
    <xf numFmtId="3" fontId="8" fillId="7" borderId="0" xfId="0" applyNumberFormat="1" applyFont="1" applyFill="1" applyBorder="1" applyAlignment="1">
      <alignment horizontal="right"/>
    </xf>
    <xf numFmtId="164" fontId="19" fillId="7" borderId="0" xfId="0" applyNumberFormat="1" applyFont="1" applyFill="1" applyBorder="1" applyAlignment="1">
      <alignment horizontal="right"/>
    </xf>
    <xf numFmtId="164" fontId="19" fillId="7" borderId="0" xfId="0" applyNumberFormat="1" applyFont="1" applyFill="1" applyBorder="1" applyAlignment="1">
      <alignment horizontal="right" vertical="center"/>
    </xf>
    <xf numFmtId="164" fontId="20" fillId="7" borderId="0" xfId="0" applyNumberFormat="1" applyFont="1" applyFill="1" applyBorder="1" applyAlignment="1">
      <alignment horizontal="right"/>
    </xf>
    <xf numFmtId="164" fontId="21" fillId="7" borderId="0" xfId="0" applyNumberFormat="1" applyFont="1" applyFill="1" applyBorder="1" applyAlignment="1">
      <alignment horizontal="right"/>
    </xf>
    <xf numFmtId="164" fontId="21" fillId="7" borderId="0" xfId="0" applyNumberFormat="1" applyFont="1" applyFill="1" applyBorder="1" applyAlignment="1">
      <alignment horizontal="right" vertical="center"/>
    </xf>
    <xf numFmtId="164" fontId="20" fillId="7" borderId="0" xfId="0" applyNumberFormat="1" applyFont="1" applyFill="1" applyBorder="1" applyAlignment="1">
      <alignment horizontal="right" vertical="center"/>
    </xf>
    <xf numFmtId="164" fontId="6" fillId="7" borderId="0" xfId="0" applyNumberFormat="1" applyFont="1" applyFill="1" applyBorder="1" applyAlignment="1"/>
    <xf numFmtId="0" fontId="6" fillId="7" borderId="0" xfId="0" applyFont="1" applyFill="1" applyBorder="1" applyAlignment="1">
      <alignment horizontal="right"/>
    </xf>
    <xf numFmtId="3" fontId="6" fillId="7" borderId="0" xfId="0" applyNumberFormat="1" applyFont="1" applyFill="1" applyBorder="1" applyAlignment="1">
      <alignment horizontal="right"/>
    </xf>
    <xf numFmtId="164" fontId="6" fillId="7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/>
    </xf>
    <xf numFmtId="3" fontId="4" fillId="3" borderId="0" xfId="0" applyNumberFormat="1" applyFont="1" applyFill="1" applyBorder="1" applyAlignment="1">
      <alignment horizontal="right"/>
    </xf>
    <xf numFmtId="164" fontId="12" fillId="3" borderId="0" xfId="0" applyNumberFormat="1" applyFont="1" applyFill="1" applyBorder="1" applyAlignment="1">
      <alignment horizontal="right"/>
    </xf>
    <xf numFmtId="165" fontId="4" fillId="3" borderId="0" xfId="0" applyNumberFormat="1" applyFont="1" applyFill="1" applyBorder="1" applyAlignment="1">
      <alignment horizontal="right"/>
    </xf>
    <xf numFmtId="164" fontId="22" fillId="3" borderId="0" xfId="0" applyNumberFormat="1" applyFont="1" applyFill="1" applyBorder="1" applyAlignment="1">
      <alignment horizontal="right"/>
    </xf>
    <xf numFmtId="164" fontId="23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38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49" fontId="39" fillId="0" borderId="0" xfId="0" applyNumberFormat="1" applyFont="1" applyAlignment="1"/>
    <xf numFmtId="0" fontId="0" fillId="0" borderId="0" xfId="0" applyAlignment="1"/>
    <xf numFmtId="49" fontId="40" fillId="0" borderId="0" xfId="0" applyNumberFormat="1" applyFont="1" applyAlignment="1"/>
    <xf numFmtId="0" fontId="40" fillId="0" borderId="0" xfId="0" applyFont="1" applyAlignment="1"/>
    <xf numFmtId="49" fontId="0" fillId="6" borderId="0" xfId="0" applyNumberFormat="1" applyFill="1" applyAlignment="1"/>
    <xf numFmtId="49" fontId="40" fillId="6" borderId="0" xfId="0" applyNumberFormat="1" applyFont="1" applyFill="1" applyAlignment="1"/>
    <xf numFmtId="0" fontId="0" fillId="6" borderId="0" xfId="0" applyFill="1" applyAlignment="1"/>
    <xf numFmtId="49" fontId="4" fillId="0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6" fillId="6" borderId="0" xfId="0" applyNumberFormat="1" applyFont="1" applyFill="1" applyBorder="1" applyAlignment="1">
      <alignment horizontal="left"/>
    </xf>
    <xf numFmtId="49" fontId="0" fillId="0" borderId="0" xfId="0" applyNumberFormat="1"/>
    <xf numFmtId="49" fontId="0" fillId="5" borderId="0" xfId="0" applyNumberFormat="1" applyFill="1"/>
    <xf numFmtId="0" fontId="0" fillId="5" borderId="0" xfId="0" applyFill="1" applyAlignment="1"/>
    <xf numFmtId="49" fontId="40" fillId="5" borderId="0" xfId="0" applyNumberFormat="1" applyFont="1" applyFill="1" applyAlignment="1"/>
    <xf numFmtId="49" fontId="0" fillId="0" borderId="0" xfId="0" applyNumberFormat="1" applyFill="1"/>
    <xf numFmtId="3" fontId="0" fillId="0" borderId="0" xfId="0" applyNumberFormat="1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105"/>
  <sheetViews>
    <sheetView tabSelected="1" zoomScale="200" zoomScaleNormal="200" zoomScalePageLayoutView="200" workbookViewId="0">
      <pane xSplit="16600" ySplit="2080" topLeftCell="JH58" activePane="bottomRight"/>
      <selection activeCell="F3" sqref="F3:F92"/>
      <selection pane="topRight" activeCell="AC2" sqref="AC2:AI100"/>
      <selection pane="bottomLeft" activeCell="A33" sqref="A33:XFD33"/>
      <selection pane="bottomRight" activeCell="JM75" sqref="JM75"/>
    </sheetView>
  </sheetViews>
  <sheetFormatPr baseColWidth="10" defaultRowHeight="10" x14ac:dyDescent="0.15"/>
  <cols>
    <col min="1" max="1" width="14.5" style="18" customWidth="1"/>
    <col min="2" max="2" width="3.1640625" style="23" bestFit="1" customWidth="1"/>
    <col min="3" max="3" width="8.1640625" style="23" bestFit="1" customWidth="1"/>
    <col min="4" max="4" width="3" style="23" bestFit="1" customWidth="1"/>
    <col min="5" max="5" width="6.33203125" style="4" bestFit="1" customWidth="1"/>
    <col min="6" max="6" width="5.5" style="4" bestFit="1" customWidth="1"/>
    <col min="7" max="7" width="4.33203125" style="19" bestFit="1" customWidth="1"/>
    <col min="8" max="8" width="5.33203125" style="19" bestFit="1" customWidth="1"/>
    <col min="9" max="9" width="7.6640625" style="5" bestFit="1" customWidth="1"/>
    <col min="10" max="11" width="7.5" style="5" bestFit="1" customWidth="1"/>
    <col min="12" max="12" width="8.83203125" style="5" bestFit="1" customWidth="1"/>
    <col min="13" max="13" width="7.83203125" style="5" bestFit="1" customWidth="1"/>
    <col min="14" max="14" width="8.83203125" style="5" bestFit="1" customWidth="1"/>
    <col min="15" max="15" width="8.1640625" style="5" bestFit="1" customWidth="1"/>
    <col min="16" max="16" width="9.5" style="5" bestFit="1" customWidth="1"/>
    <col min="17" max="17" width="9.33203125" style="5" bestFit="1" customWidth="1"/>
    <col min="18" max="18" width="10.83203125" style="5" bestFit="1" customWidth="1"/>
    <col min="19" max="19" width="8.1640625" style="5" bestFit="1" customWidth="1"/>
    <col min="20" max="20" width="9.83203125" style="5" bestFit="1" customWidth="1"/>
    <col min="21" max="21" width="8.5" style="5" bestFit="1" customWidth="1"/>
    <col min="22" max="23" width="10.1640625" style="5" bestFit="1" customWidth="1"/>
    <col min="24" max="24" width="12" style="5" bestFit="1" customWidth="1"/>
    <col min="25" max="25" width="8" style="5" bestFit="1" customWidth="1"/>
    <col min="26" max="27" width="9.6640625" style="5" bestFit="1" customWidth="1"/>
    <col min="28" max="28" width="11.33203125" style="5" bestFit="1" customWidth="1"/>
    <col min="29" max="29" width="6.33203125" style="16" bestFit="1" customWidth="1"/>
    <col min="30" max="30" width="7.6640625" style="16" bestFit="1" customWidth="1"/>
    <col min="31" max="31" width="6.6640625" style="16" bestFit="1" customWidth="1"/>
    <col min="32" max="32" width="14" style="5" bestFit="1" customWidth="1"/>
    <col min="33" max="33" width="15.33203125" style="5" bestFit="1" customWidth="1"/>
    <col min="34" max="34" width="7.33203125" style="5" bestFit="1" customWidth="1"/>
    <col min="35" max="35" width="8.6640625" style="5" bestFit="1" customWidth="1"/>
    <col min="36" max="36" width="12.5" style="5" bestFit="1" customWidth="1"/>
    <col min="37" max="37" width="6.6640625" style="20" bestFit="1" customWidth="1"/>
    <col min="38" max="38" width="14" style="5" bestFit="1" customWidth="1"/>
    <col min="39" max="39" width="8.1640625" style="20" bestFit="1" customWidth="1"/>
    <col min="40" max="40" width="13.83203125" style="5" bestFit="1" customWidth="1"/>
    <col min="41" max="41" width="8" style="20" bestFit="1" customWidth="1"/>
    <col min="42" max="42" width="15.33203125" style="5" bestFit="1" customWidth="1"/>
    <col min="43" max="43" width="9.5" style="20" bestFit="1" customWidth="1"/>
    <col min="44" max="44" width="12.5" style="5" bestFit="1" customWidth="1"/>
    <col min="45" max="45" width="6.6640625" style="20" bestFit="1" customWidth="1"/>
    <col min="46" max="46" width="14" style="5" bestFit="1" customWidth="1"/>
    <col min="47" max="47" width="8.1640625" style="20" bestFit="1" customWidth="1"/>
    <col min="48" max="48" width="13.83203125" style="5" bestFit="1" customWidth="1"/>
    <col min="49" max="49" width="8" style="20" bestFit="1" customWidth="1"/>
    <col min="50" max="50" width="15.33203125" style="5" bestFit="1" customWidth="1"/>
    <col min="51" max="51" width="9.5" style="20" bestFit="1" customWidth="1"/>
    <col min="52" max="52" width="8.33203125" style="5" bestFit="1" customWidth="1"/>
    <col min="53" max="54" width="8.6640625" style="5" bestFit="1" customWidth="1"/>
    <col min="55" max="55" width="10.5" style="5" bestFit="1" customWidth="1"/>
    <col min="56" max="56" width="8" style="5" bestFit="1" customWidth="1"/>
    <col min="57" max="57" width="8.1640625" style="5" customWidth="1"/>
    <col min="58" max="58" width="9.83203125" style="5" bestFit="1" customWidth="1"/>
    <col min="59" max="60" width="9.5" style="5" bestFit="1" customWidth="1"/>
    <col min="61" max="61" width="11.5" style="5" bestFit="1" customWidth="1"/>
    <col min="62" max="62" width="9.5" style="5" bestFit="1" customWidth="1"/>
    <col min="63" max="64" width="9.83203125" style="5" bestFit="1" customWidth="1"/>
    <col min="65" max="65" width="8.33203125" style="5" bestFit="1" customWidth="1"/>
    <col min="66" max="66" width="7.5" style="5" bestFit="1" customWidth="1"/>
    <col min="67" max="67" width="8.5" style="5" bestFit="1" customWidth="1"/>
    <col min="68" max="68" width="6.83203125" style="5" bestFit="1" customWidth="1"/>
    <col min="69" max="69" width="9.83203125" style="5" bestFit="1" customWidth="1"/>
    <col min="70" max="72" width="8" style="5" bestFit="1" customWidth="1"/>
    <col min="73" max="73" width="9.83203125" style="5" bestFit="1" customWidth="1"/>
    <col min="74" max="74" width="8" style="5" bestFit="1" customWidth="1"/>
    <col min="75" max="75" width="8.33203125" style="5" bestFit="1" customWidth="1"/>
    <col min="76" max="76" width="7.5" style="5" bestFit="1" customWidth="1"/>
    <col min="77" max="78" width="8" style="5" bestFit="1" customWidth="1"/>
    <col min="79" max="79" width="9.83203125" style="5" bestFit="1" customWidth="1"/>
    <col min="80" max="80" width="6.83203125" style="5" bestFit="1" customWidth="1"/>
    <col min="81" max="82" width="7.5" style="5" bestFit="1" customWidth="1"/>
    <col min="83" max="84" width="7.83203125" style="5" bestFit="1" customWidth="1"/>
    <col min="85" max="85" width="9.83203125" style="5" bestFit="1" customWidth="1"/>
    <col min="86" max="87" width="7.5" style="5" bestFit="1" customWidth="1"/>
    <col min="88" max="92" width="9.83203125" style="5" bestFit="1" customWidth="1"/>
    <col min="93" max="93" width="10.6640625" style="5" bestFit="1" customWidth="1"/>
    <col min="94" max="94" width="9.83203125" style="5" bestFit="1" customWidth="1"/>
    <col min="95" max="96" width="8.33203125" style="5" bestFit="1" customWidth="1"/>
    <col min="97" max="97" width="9.83203125" style="5" bestFit="1" customWidth="1"/>
    <col min="98" max="99" width="10.1640625" style="5" bestFit="1" customWidth="1"/>
    <col min="100" max="100" width="8.33203125" style="5" bestFit="1" customWidth="1"/>
    <col min="101" max="101" width="7.6640625" style="5" bestFit="1" customWidth="1"/>
    <col min="102" max="102" width="7.83203125" style="5" bestFit="1" customWidth="1"/>
    <col min="103" max="103" width="9.6640625" style="5" bestFit="1" customWidth="1"/>
    <col min="104" max="104" width="9.83203125" style="5" bestFit="1" customWidth="1"/>
    <col min="105" max="105" width="11.5" style="5" bestFit="1" customWidth="1"/>
    <col min="106" max="108" width="7.5" style="5" bestFit="1" customWidth="1"/>
    <col min="109" max="109" width="9" style="5" bestFit="1" customWidth="1"/>
    <col min="110" max="110" width="7.5" style="5" bestFit="1" customWidth="1"/>
    <col min="111" max="111" width="8" style="5" bestFit="1" customWidth="1"/>
    <col min="112" max="112" width="7.5" style="5" bestFit="1" customWidth="1"/>
    <col min="113" max="114" width="7.83203125" style="5" bestFit="1" customWidth="1"/>
    <col min="115" max="115" width="9.6640625" style="5" bestFit="1" customWidth="1"/>
    <col min="116" max="117" width="7.5" style="5" bestFit="1" customWidth="1"/>
    <col min="118" max="118" width="8" style="5" bestFit="1" customWidth="1"/>
    <col min="119" max="119" width="7.5" style="5" bestFit="1" customWidth="1"/>
    <col min="120" max="120" width="7" style="5" bestFit="1" customWidth="1"/>
    <col min="121" max="121" width="8.83203125" style="5" bestFit="1" customWidth="1"/>
    <col min="122" max="123" width="8" style="5" bestFit="1" customWidth="1"/>
    <col min="124" max="126" width="7.5" style="5" bestFit="1" customWidth="1"/>
    <col min="127" max="127" width="9.1640625" style="5" bestFit="1" customWidth="1"/>
    <col min="128" max="128" width="7.5" style="5" bestFit="1" customWidth="1"/>
    <col min="129" max="129" width="8.33203125" style="5" bestFit="1" customWidth="1"/>
    <col min="130" max="130" width="7.5" style="5" bestFit="1" customWidth="1"/>
    <col min="131" max="132" width="7.33203125" style="5" bestFit="1" customWidth="1"/>
    <col min="133" max="133" width="9.1640625" style="5" bestFit="1" customWidth="1"/>
    <col min="134" max="137" width="7.5" style="5" bestFit="1" customWidth="1"/>
    <col min="138" max="138" width="6.83203125" style="5" bestFit="1" customWidth="1"/>
    <col min="139" max="139" width="8.83203125" style="5" bestFit="1" customWidth="1"/>
    <col min="140" max="141" width="8.33203125" style="5" bestFit="1" customWidth="1"/>
    <col min="142" max="142" width="10" style="5" bestFit="1" customWidth="1"/>
    <col min="143" max="146" width="9.83203125" style="5" bestFit="1" customWidth="1"/>
    <col min="147" max="147" width="10.6640625" style="5" bestFit="1" customWidth="1"/>
    <col min="148" max="148" width="9.83203125" style="5" bestFit="1" customWidth="1"/>
    <col min="149" max="150" width="8.33203125" style="5" bestFit="1" customWidth="1"/>
    <col min="151" max="151" width="9.83203125" style="5" bestFit="1" customWidth="1"/>
    <col min="152" max="152" width="8" style="5" bestFit="1" customWidth="1"/>
    <col min="153" max="153" width="9.83203125" style="5" bestFit="1" customWidth="1"/>
    <col min="154" max="154" width="9.5" style="5" bestFit="1" customWidth="1"/>
    <col min="155" max="155" width="8.33203125" style="5" bestFit="1" customWidth="1"/>
    <col min="156" max="156" width="8.1640625" style="5" bestFit="1" customWidth="1"/>
    <col min="157" max="157" width="10" style="5" bestFit="1" customWidth="1"/>
    <col min="158" max="158" width="7.5" style="5" bestFit="1" customWidth="1"/>
    <col min="159" max="159" width="8.33203125" style="5" bestFit="1" customWidth="1"/>
    <col min="160" max="160" width="9.83203125" style="5" bestFit="1" customWidth="1"/>
    <col min="161" max="162" width="10" style="5" bestFit="1" customWidth="1"/>
    <col min="163" max="163" width="11.83203125" style="5" bestFit="1" customWidth="1"/>
    <col min="164" max="164" width="8.83203125" style="5" bestFit="1" customWidth="1"/>
    <col min="165" max="165" width="9.83203125" style="5" bestFit="1" customWidth="1"/>
    <col min="166" max="166" width="7.6640625" style="5" bestFit="1" customWidth="1"/>
    <col min="167" max="168" width="9.33203125" style="5" bestFit="1" customWidth="1"/>
    <col min="169" max="169" width="11.33203125" style="5" bestFit="1" customWidth="1"/>
    <col min="170" max="170" width="8.1640625" style="5" bestFit="1" customWidth="1"/>
    <col min="171" max="171" width="8" style="5" bestFit="1" customWidth="1"/>
    <col min="172" max="172" width="8.33203125" style="5" bestFit="1" customWidth="1"/>
    <col min="173" max="174" width="9.33203125" style="5" bestFit="1" customWidth="1"/>
    <col min="175" max="175" width="11.1640625" style="5" bestFit="1" customWidth="1"/>
    <col min="176" max="177" width="9.83203125" style="5" bestFit="1" customWidth="1"/>
    <col min="178" max="178" width="7" style="5" bestFit="1" customWidth="1"/>
    <col min="179" max="179" width="8.6640625" style="5" bestFit="1" customWidth="1"/>
    <col min="180" max="180" width="8.83203125" style="5" bestFit="1" customWidth="1"/>
    <col min="181" max="181" width="10.6640625" style="5" bestFit="1" customWidth="1"/>
    <col min="182" max="182" width="7.6640625" style="5" bestFit="1" customWidth="1"/>
    <col min="183" max="183" width="7.1640625" style="5" bestFit="1" customWidth="1"/>
    <col min="184" max="184" width="7.5" style="5" bestFit="1" customWidth="1"/>
    <col min="185" max="186" width="8.6640625" style="5" bestFit="1" customWidth="1"/>
    <col min="187" max="187" width="10.6640625" style="5" bestFit="1" customWidth="1"/>
    <col min="188" max="189" width="7.5" style="5" bestFit="1" customWidth="1"/>
    <col min="190" max="190" width="8.33203125" style="5" bestFit="1" customWidth="1"/>
    <col min="191" max="192" width="7.5" style="5" bestFit="1" customWidth="1"/>
    <col min="193" max="193" width="9.33203125" style="5" bestFit="1" customWidth="1"/>
    <col min="194" max="194" width="6.83203125" style="5" bestFit="1" customWidth="1"/>
    <col min="195" max="197" width="8.33203125" style="5" bestFit="1" customWidth="1"/>
    <col min="198" max="198" width="7.5" style="5" bestFit="1" customWidth="1"/>
    <col min="199" max="199" width="9" style="5" bestFit="1" customWidth="1"/>
    <col min="200" max="200" width="8.33203125" style="5" bestFit="1" customWidth="1"/>
    <col min="201" max="201" width="9.83203125" style="5" bestFit="1" customWidth="1"/>
    <col min="202" max="202" width="8.33203125" style="5" bestFit="1" customWidth="1"/>
    <col min="203" max="204" width="7.5" style="5" bestFit="1" customWidth="1"/>
    <col min="205" max="205" width="8.83203125" style="5" bestFit="1" customWidth="1"/>
    <col min="206" max="206" width="8.33203125" style="5" bestFit="1" customWidth="1"/>
    <col min="207" max="207" width="9.83203125" style="5" bestFit="1" customWidth="1"/>
    <col min="208" max="208" width="8.33203125" style="5" bestFit="1" customWidth="1"/>
    <col min="209" max="210" width="7.5" style="5" bestFit="1" customWidth="1"/>
    <col min="211" max="211" width="8.83203125" style="5" bestFit="1" customWidth="1"/>
    <col min="212" max="212" width="8" style="5" bestFit="1" customWidth="1"/>
    <col min="213" max="213" width="8.33203125" style="5" bestFit="1" customWidth="1"/>
    <col min="214" max="216" width="7.5" style="5" bestFit="1" customWidth="1"/>
    <col min="217" max="217" width="8.6640625" style="5" bestFit="1" customWidth="1"/>
    <col min="218" max="219" width="8.33203125" style="5" bestFit="1" customWidth="1"/>
    <col min="220" max="220" width="6.83203125" style="5" bestFit="1" customWidth="1"/>
    <col min="221" max="222" width="8.5" style="5" bestFit="1" customWidth="1"/>
    <col min="223" max="223" width="10.33203125" style="5" bestFit="1" customWidth="1"/>
    <col min="224" max="225" width="7.5" style="5" bestFit="1" customWidth="1"/>
    <col min="226" max="226" width="8" style="5" bestFit="1" customWidth="1"/>
    <col min="227" max="228" width="9.5" style="5" bestFit="1" customWidth="1"/>
    <col min="229" max="229" width="11.33203125" style="5" bestFit="1" customWidth="1"/>
    <col min="230" max="230" width="8.5" style="5" bestFit="1" customWidth="1"/>
    <col min="231" max="231" width="8.33203125" style="5" bestFit="1" customWidth="1"/>
    <col min="232" max="234" width="6.83203125" style="5" bestFit="1" customWidth="1"/>
    <col min="235" max="235" width="8.6640625" style="5" bestFit="1" customWidth="1"/>
    <col min="236" max="237" width="7.5" style="5" bestFit="1" customWidth="1"/>
    <col min="238" max="238" width="9.83203125" style="5" bestFit="1" customWidth="1"/>
    <col min="239" max="240" width="10.1640625" style="5" bestFit="1" customWidth="1"/>
    <col min="241" max="241" width="12" style="5" bestFit="1" customWidth="1"/>
    <col min="242" max="243" width="9.83203125" style="5" bestFit="1" customWidth="1"/>
    <col min="244" max="244" width="8.83203125" style="5" bestFit="1" customWidth="1"/>
    <col min="245" max="246" width="10.6640625" style="5" bestFit="1" customWidth="1"/>
    <col min="247" max="247" width="12.5" style="5" bestFit="1" customWidth="1"/>
    <col min="248" max="248" width="9.5" style="5" bestFit="1" customWidth="1"/>
    <col min="249" max="249" width="9" style="5" bestFit="1" customWidth="1"/>
    <col min="250" max="250" width="6.83203125" style="5" bestFit="1" customWidth="1"/>
    <col min="251" max="252" width="6.6640625" style="5" bestFit="1" customWidth="1"/>
    <col min="253" max="253" width="8.5" style="5" bestFit="1" customWidth="1"/>
    <col min="254" max="257" width="8.33203125" style="5" bestFit="1" customWidth="1"/>
    <col min="258" max="258" width="8.5" style="5" bestFit="1" customWidth="1"/>
    <col min="259" max="259" width="10.33203125" style="5" bestFit="1" customWidth="1"/>
    <col min="260" max="260" width="8.33203125" style="5" bestFit="1" customWidth="1"/>
    <col min="261" max="266" width="9.83203125" style="5" bestFit="1" customWidth="1"/>
    <col min="267" max="267" width="10.6640625" style="5" bestFit="1" customWidth="1"/>
    <col min="268" max="268" width="7.5" style="5" bestFit="1" customWidth="1"/>
    <col min="269" max="270" width="8.33203125" style="5" bestFit="1" customWidth="1"/>
    <col min="271" max="271" width="10.1640625" style="5" bestFit="1" customWidth="1"/>
    <col min="272" max="273" width="7.5" style="5" bestFit="1" customWidth="1"/>
    <col min="274" max="274" width="9.83203125" style="5" bestFit="1" customWidth="1"/>
    <col min="275" max="276" width="10" style="5" bestFit="1" customWidth="1"/>
    <col min="277" max="277" width="11.83203125" style="5" bestFit="1" customWidth="1"/>
    <col min="278" max="278" width="9.83203125" style="5" bestFit="1" customWidth="1"/>
    <col min="279" max="279" width="10.6640625" style="5" bestFit="1" customWidth="1"/>
    <col min="280" max="280" width="16.83203125" style="5" customWidth="1"/>
    <col min="281" max="281" width="6" style="5" bestFit="1" customWidth="1"/>
    <col min="282" max="282" width="7" style="26" bestFit="1" customWidth="1"/>
    <col min="283" max="283" width="6.5" style="5" customWidth="1"/>
    <col min="284" max="284" width="7" style="26" bestFit="1" customWidth="1"/>
    <col min="285" max="285" width="6" style="5" customWidth="1"/>
    <col min="286" max="286" width="7" style="26" bestFit="1" customWidth="1"/>
    <col min="287" max="287" width="6" style="5" bestFit="1" customWidth="1"/>
    <col min="288" max="288" width="7" style="26" bestFit="1" customWidth="1"/>
    <col min="289" max="289" width="5.5" style="5" customWidth="1"/>
    <col min="290" max="290" width="7" style="26" bestFit="1" customWidth="1"/>
    <col min="291" max="291" width="6.1640625" style="5" customWidth="1"/>
    <col min="292" max="292" width="7" style="26" bestFit="1" customWidth="1"/>
    <col min="293" max="293" width="6.33203125" style="5" customWidth="1"/>
    <col min="294" max="294" width="7" style="26" bestFit="1" customWidth="1"/>
    <col min="295" max="295" width="5.33203125" style="5" customWidth="1"/>
    <col min="296" max="296" width="7" style="26" bestFit="1" customWidth="1"/>
    <col min="297" max="297" width="6" style="5" bestFit="1" customWidth="1"/>
    <col min="298" max="298" width="7" style="26" bestFit="1" customWidth="1"/>
    <col min="299" max="299" width="5.83203125" style="5" customWidth="1"/>
    <col min="300" max="300" width="7" style="26" bestFit="1" customWidth="1"/>
    <col min="301" max="301" width="5.5" style="5" bestFit="1" customWidth="1"/>
    <col min="302" max="302" width="7" style="26" bestFit="1" customWidth="1"/>
    <col min="303" max="303" width="6.6640625" style="5" customWidth="1"/>
    <col min="304" max="304" width="7" style="26" bestFit="1" customWidth="1"/>
    <col min="305" max="305" width="5.5" style="5" bestFit="1" customWidth="1"/>
    <col min="306" max="306" width="7" style="26" bestFit="1" customWidth="1"/>
    <col min="307" max="307" width="6" style="5" bestFit="1" customWidth="1"/>
    <col min="308" max="308" width="7" style="26" bestFit="1" customWidth="1"/>
    <col min="309" max="309" width="6.33203125" style="5" customWidth="1"/>
    <col min="310" max="310" width="7" style="26" bestFit="1" customWidth="1"/>
    <col min="311" max="311" width="6.6640625" style="5" customWidth="1"/>
    <col min="312" max="312" width="7" style="26" bestFit="1" customWidth="1"/>
    <col min="313" max="313" width="6" style="5" bestFit="1" customWidth="1"/>
    <col min="314" max="314" width="7" style="26" bestFit="1" customWidth="1"/>
    <col min="315" max="315" width="5.5" style="5" bestFit="1" customWidth="1"/>
    <col min="316" max="316" width="7" style="26" bestFit="1" customWidth="1"/>
    <col min="317" max="317" width="6" style="5" bestFit="1" customWidth="1"/>
    <col min="318" max="318" width="7" style="26" bestFit="1" customWidth="1"/>
    <col min="319" max="319" width="5.33203125" style="5" customWidth="1"/>
    <col min="320" max="320" width="7" style="26" bestFit="1" customWidth="1"/>
    <col min="321" max="321" width="6" style="5" bestFit="1" customWidth="1"/>
    <col min="322" max="322" width="7" style="26" bestFit="1" customWidth="1"/>
    <col min="323" max="323" width="4.6640625" style="5" bestFit="1" customWidth="1"/>
    <col min="324" max="324" width="7" style="26" bestFit="1" customWidth="1"/>
    <col min="325" max="325" width="5.5" style="5" bestFit="1" customWidth="1"/>
    <col min="326" max="326" width="7" style="26" bestFit="1" customWidth="1"/>
    <col min="327" max="327" width="6.33203125" style="5" customWidth="1"/>
    <col min="328" max="328" width="7" style="26" bestFit="1" customWidth="1"/>
    <col min="329" max="329" width="5.5" style="5" bestFit="1" customWidth="1"/>
    <col min="330" max="330" width="7" style="26" bestFit="1" customWidth="1"/>
    <col min="331" max="331" width="5.5" style="5" bestFit="1" customWidth="1"/>
    <col min="332" max="332" width="7" style="26" bestFit="1" customWidth="1"/>
    <col min="333" max="333" width="6.6640625" style="5" customWidth="1"/>
    <col min="334" max="334" width="7" style="26" bestFit="1" customWidth="1"/>
    <col min="335" max="335" width="5.83203125" style="5" bestFit="1" customWidth="1"/>
    <col min="336" max="336" width="7" style="26" bestFit="1" customWidth="1"/>
    <col min="337" max="337" width="5.6640625" style="5" customWidth="1"/>
    <col min="338" max="338" width="7" style="26" bestFit="1" customWidth="1"/>
    <col min="339" max="339" width="6" style="5" customWidth="1"/>
    <col min="340" max="340" width="7" style="26" bestFit="1" customWidth="1"/>
    <col min="341" max="341" width="5.5" style="5" customWidth="1"/>
    <col min="342" max="342" width="7" style="26" bestFit="1" customWidth="1"/>
    <col min="343" max="343" width="6.33203125" style="5" customWidth="1"/>
    <col min="344" max="344" width="7" style="26" bestFit="1" customWidth="1"/>
    <col min="345" max="345" width="5.5" style="5" bestFit="1" customWidth="1"/>
    <col min="346" max="346" width="7" style="26" bestFit="1" customWidth="1"/>
    <col min="347" max="347" width="5.83203125" style="5" customWidth="1"/>
    <col min="348" max="348" width="7" style="26" bestFit="1" customWidth="1"/>
    <col min="349" max="349" width="6" style="5" bestFit="1" customWidth="1"/>
    <col min="350" max="350" width="7" style="26" bestFit="1" customWidth="1"/>
    <col min="351" max="351" width="6.83203125" style="5" customWidth="1"/>
    <col min="352" max="352" width="7" style="26" bestFit="1" customWidth="1"/>
    <col min="353" max="353" width="5.5" style="5" bestFit="1" customWidth="1"/>
    <col min="354" max="354" width="7" style="26" bestFit="1" customWidth="1"/>
    <col min="355" max="355" width="6.83203125" style="5" customWidth="1"/>
    <col min="356" max="356" width="7" style="26" bestFit="1" customWidth="1"/>
    <col min="357" max="357" width="12.1640625" style="5" customWidth="1"/>
    <col min="358" max="358" width="7.1640625" style="5" bestFit="1" customWidth="1"/>
    <col min="359" max="359" width="10.83203125" style="4"/>
    <col min="360" max="360" width="7.83203125" style="4" bestFit="1" customWidth="1"/>
    <col min="361" max="370" width="10.83203125" style="4"/>
    <col min="371" max="371" width="15" style="4" customWidth="1"/>
    <col min="372" max="16384" width="10.83203125" style="4"/>
  </cols>
  <sheetData>
    <row r="1" spans="1:360" x14ac:dyDescent="0.15">
      <c r="AZ1" s="16">
        <v>1</v>
      </c>
      <c r="BA1" s="16">
        <v>1</v>
      </c>
      <c r="BB1" s="16">
        <v>1</v>
      </c>
      <c r="BC1" s="16">
        <v>1</v>
      </c>
      <c r="BD1" s="16">
        <v>1</v>
      </c>
      <c r="BE1" s="16">
        <v>1</v>
      </c>
      <c r="BF1" s="16">
        <v>2</v>
      </c>
      <c r="BG1" s="16">
        <v>2</v>
      </c>
      <c r="BH1" s="16">
        <v>2</v>
      </c>
      <c r="BI1" s="16">
        <v>2</v>
      </c>
      <c r="BJ1" s="16">
        <v>2</v>
      </c>
      <c r="BK1" s="16">
        <v>2</v>
      </c>
      <c r="BL1" s="16">
        <v>3</v>
      </c>
      <c r="BM1" s="16">
        <v>3</v>
      </c>
      <c r="BN1" s="16">
        <v>3</v>
      </c>
      <c r="BO1" s="16">
        <v>3</v>
      </c>
      <c r="BP1" s="16">
        <v>3</v>
      </c>
      <c r="BQ1" s="16">
        <v>3</v>
      </c>
      <c r="BR1" s="16">
        <v>4</v>
      </c>
      <c r="BS1" s="16">
        <v>4</v>
      </c>
      <c r="BT1" s="16">
        <v>4</v>
      </c>
      <c r="BU1" s="16">
        <v>4</v>
      </c>
      <c r="BV1" s="16">
        <v>4</v>
      </c>
      <c r="BW1" s="16">
        <v>4</v>
      </c>
      <c r="BX1" s="16">
        <v>5</v>
      </c>
      <c r="BY1" s="16">
        <v>5</v>
      </c>
      <c r="BZ1" s="16">
        <v>5</v>
      </c>
      <c r="CA1" s="16">
        <v>5</v>
      </c>
      <c r="CB1" s="16">
        <v>5</v>
      </c>
      <c r="CC1" s="16">
        <v>5</v>
      </c>
      <c r="CD1" s="16">
        <v>6</v>
      </c>
      <c r="CE1" s="16">
        <v>6</v>
      </c>
      <c r="CF1" s="16">
        <v>6</v>
      </c>
      <c r="CG1" s="16">
        <v>6</v>
      </c>
      <c r="CH1" s="16">
        <v>6</v>
      </c>
      <c r="CI1" s="16">
        <v>6</v>
      </c>
      <c r="CJ1" s="16">
        <v>7</v>
      </c>
      <c r="CK1" s="16">
        <v>7</v>
      </c>
      <c r="CL1" s="16">
        <v>7</v>
      </c>
      <c r="CM1" s="16">
        <v>7</v>
      </c>
      <c r="CN1" s="16">
        <v>7</v>
      </c>
      <c r="CO1" s="16">
        <v>7</v>
      </c>
      <c r="CP1" s="16">
        <v>8</v>
      </c>
      <c r="CQ1" s="16">
        <v>8</v>
      </c>
      <c r="CR1" s="16">
        <v>8</v>
      </c>
      <c r="CS1" s="16">
        <v>8</v>
      </c>
      <c r="CT1" s="16">
        <v>8</v>
      </c>
      <c r="CU1" s="16">
        <v>8</v>
      </c>
      <c r="CV1" s="16">
        <v>9</v>
      </c>
      <c r="CW1" s="16">
        <v>9</v>
      </c>
      <c r="CX1" s="16">
        <v>9</v>
      </c>
      <c r="CY1" s="16">
        <v>9</v>
      </c>
      <c r="CZ1" s="16">
        <v>9</v>
      </c>
      <c r="DA1" s="16">
        <v>9</v>
      </c>
      <c r="DB1" s="16">
        <v>10</v>
      </c>
      <c r="DC1" s="16">
        <v>10</v>
      </c>
      <c r="DD1" s="16">
        <v>10</v>
      </c>
      <c r="DE1" s="16">
        <v>10</v>
      </c>
      <c r="DF1" s="16">
        <v>10</v>
      </c>
      <c r="DG1" s="16">
        <v>10</v>
      </c>
      <c r="DH1" s="16">
        <v>11</v>
      </c>
      <c r="DI1" s="16">
        <v>11</v>
      </c>
      <c r="DJ1" s="16">
        <v>11</v>
      </c>
      <c r="DK1" s="16">
        <v>11</v>
      </c>
      <c r="DL1" s="16">
        <v>11</v>
      </c>
      <c r="DM1" s="16">
        <v>11</v>
      </c>
      <c r="DN1" s="16">
        <v>12</v>
      </c>
      <c r="DO1" s="16">
        <v>12</v>
      </c>
      <c r="DP1" s="16">
        <v>12</v>
      </c>
      <c r="DQ1" s="16">
        <v>12</v>
      </c>
      <c r="DR1" s="16">
        <v>12</v>
      </c>
      <c r="DS1" s="16">
        <v>12</v>
      </c>
      <c r="DT1" s="16">
        <v>13</v>
      </c>
      <c r="DU1" s="16">
        <v>13</v>
      </c>
      <c r="DV1" s="16">
        <v>13</v>
      </c>
      <c r="DW1" s="16">
        <v>13</v>
      </c>
      <c r="DX1" s="16">
        <v>13</v>
      </c>
      <c r="DY1" s="16">
        <v>13</v>
      </c>
      <c r="DZ1" s="16">
        <v>14</v>
      </c>
      <c r="EA1" s="16">
        <v>14</v>
      </c>
      <c r="EB1" s="16">
        <v>14</v>
      </c>
      <c r="EC1" s="16">
        <v>14</v>
      </c>
      <c r="ED1" s="16">
        <v>14</v>
      </c>
      <c r="EE1" s="16">
        <v>14</v>
      </c>
      <c r="EF1" s="16">
        <v>15</v>
      </c>
      <c r="EG1" s="16">
        <v>15</v>
      </c>
      <c r="EH1" s="16">
        <v>15</v>
      </c>
      <c r="EI1" s="16">
        <v>15</v>
      </c>
      <c r="EJ1" s="16">
        <v>15</v>
      </c>
      <c r="EK1" s="16">
        <v>15</v>
      </c>
      <c r="EL1" s="16">
        <v>16</v>
      </c>
      <c r="EM1" s="16">
        <v>16</v>
      </c>
      <c r="EN1" s="16">
        <v>16</v>
      </c>
      <c r="EO1" s="16">
        <v>16</v>
      </c>
      <c r="EP1" s="16">
        <v>16</v>
      </c>
      <c r="EQ1" s="16">
        <v>16</v>
      </c>
      <c r="ER1" s="16">
        <v>17</v>
      </c>
      <c r="ES1" s="16">
        <v>17</v>
      </c>
      <c r="ET1" s="16">
        <v>17</v>
      </c>
      <c r="EU1" s="16">
        <v>17</v>
      </c>
      <c r="EV1" s="16">
        <v>17</v>
      </c>
      <c r="EW1" s="16">
        <v>17</v>
      </c>
      <c r="EX1" s="16">
        <v>18</v>
      </c>
      <c r="EY1" s="16">
        <v>18</v>
      </c>
      <c r="EZ1" s="16">
        <v>18</v>
      </c>
      <c r="FA1" s="16">
        <v>18</v>
      </c>
      <c r="FB1" s="16">
        <v>18</v>
      </c>
      <c r="FC1" s="16">
        <v>18</v>
      </c>
      <c r="FD1" s="16">
        <v>19</v>
      </c>
      <c r="FE1" s="16">
        <v>19</v>
      </c>
      <c r="FF1" s="16">
        <v>19</v>
      </c>
      <c r="FG1" s="16">
        <v>19</v>
      </c>
      <c r="FH1" s="16">
        <v>19</v>
      </c>
      <c r="FI1" s="16">
        <v>19</v>
      </c>
      <c r="FJ1" s="16">
        <v>20</v>
      </c>
      <c r="FK1" s="16">
        <v>20</v>
      </c>
      <c r="FL1" s="16">
        <v>20</v>
      </c>
      <c r="FM1" s="16">
        <v>20</v>
      </c>
      <c r="FN1" s="16">
        <v>20</v>
      </c>
      <c r="FO1" s="16">
        <v>20</v>
      </c>
      <c r="FP1" s="16">
        <v>21</v>
      </c>
      <c r="FQ1" s="16">
        <v>21</v>
      </c>
      <c r="FR1" s="16">
        <v>21</v>
      </c>
      <c r="FS1" s="16">
        <v>21</v>
      </c>
      <c r="FT1" s="16">
        <v>21</v>
      </c>
      <c r="FU1" s="16">
        <v>21</v>
      </c>
      <c r="FV1" s="16">
        <v>22</v>
      </c>
      <c r="FW1" s="16">
        <v>22</v>
      </c>
      <c r="FX1" s="16">
        <v>22</v>
      </c>
      <c r="FY1" s="16">
        <v>22</v>
      </c>
      <c r="FZ1" s="16">
        <v>22</v>
      </c>
      <c r="GA1" s="16">
        <v>22</v>
      </c>
      <c r="GB1" s="16">
        <v>23</v>
      </c>
      <c r="GC1" s="16">
        <v>23</v>
      </c>
      <c r="GD1" s="16">
        <v>23</v>
      </c>
      <c r="GE1" s="16">
        <v>23</v>
      </c>
      <c r="GF1" s="16">
        <v>23</v>
      </c>
      <c r="GG1" s="16">
        <v>23</v>
      </c>
      <c r="GH1" s="16">
        <v>24</v>
      </c>
      <c r="GI1" s="16">
        <v>24</v>
      </c>
      <c r="GJ1" s="16">
        <v>24</v>
      </c>
      <c r="GK1" s="16">
        <v>24</v>
      </c>
      <c r="GL1" s="16">
        <v>24</v>
      </c>
      <c r="GM1" s="16">
        <v>24</v>
      </c>
      <c r="GN1" s="16">
        <v>25</v>
      </c>
      <c r="GO1" s="16">
        <v>25</v>
      </c>
      <c r="GP1" s="16">
        <v>25</v>
      </c>
      <c r="GQ1" s="16">
        <v>25</v>
      </c>
      <c r="GR1" s="16">
        <v>25</v>
      </c>
      <c r="GS1" s="16">
        <v>25</v>
      </c>
      <c r="GT1" s="16">
        <v>26</v>
      </c>
      <c r="GU1" s="16">
        <v>26</v>
      </c>
      <c r="GV1" s="16">
        <v>26</v>
      </c>
      <c r="GW1" s="16">
        <v>26</v>
      </c>
      <c r="GX1" s="16">
        <v>26</v>
      </c>
      <c r="GY1" s="16">
        <v>26</v>
      </c>
      <c r="GZ1" s="16">
        <v>27</v>
      </c>
      <c r="HA1" s="16">
        <v>27</v>
      </c>
      <c r="HB1" s="16">
        <v>27</v>
      </c>
      <c r="HC1" s="16">
        <v>27</v>
      </c>
      <c r="HD1" s="16">
        <v>27</v>
      </c>
      <c r="HE1" s="16">
        <v>27</v>
      </c>
      <c r="HF1" s="16">
        <v>28</v>
      </c>
      <c r="HG1" s="16">
        <v>28</v>
      </c>
      <c r="HH1" s="16">
        <v>28</v>
      </c>
      <c r="HI1" s="16">
        <v>28</v>
      </c>
      <c r="HJ1" s="16">
        <v>28</v>
      </c>
      <c r="HK1" s="16">
        <v>28</v>
      </c>
      <c r="HL1" s="16">
        <v>29</v>
      </c>
      <c r="HM1" s="16">
        <v>29</v>
      </c>
      <c r="HN1" s="16">
        <v>29</v>
      </c>
      <c r="HO1" s="16">
        <v>29</v>
      </c>
      <c r="HP1" s="16">
        <v>29</v>
      </c>
      <c r="HQ1" s="16">
        <v>29</v>
      </c>
      <c r="HR1" s="16">
        <v>30</v>
      </c>
      <c r="HS1" s="16">
        <v>30</v>
      </c>
      <c r="HT1" s="16">
        <v>30</v>
      </c>
      <c r="HU1" s="16">
        <v>30</v>
      </c>
      <c r="HV1" s="16">
        <v>30</v>
      </c>
      <c r="HW1" s="16">
        <v>30</v>
      </c>
      <c r="HX1" s="16">
        <v>31</v>
      </c>
      <c r="HY1" s="16">
        <v>31</v>
      </c>
      <c r="HZ1" s="16">
        <v>31</v>
      </c>
      <c r="IA1" s="16">
        <v>31</v>
      </c>
      <c r="IB1" s="16">
        <v>31</v>
      </c>
      <c r="IC1" s="16">
        <v>31</v>
      </c>
      <c r="ID1" s="16">
        <v>32</v>
      </c>
      <c r="IE1" s="16">
        <v>32</v>
      </c>
      <c r="IF1" s="16">
        <v>32</v>
      </c>
      <c r="IG1" s="16">
        <v>32</v>
      </c>
      <c r="IH1" s="16">
        <v>32</v>
      </c>
      <c r="II1" s="16">
        <v>32</v>
      </c>
      <c r="IJ1" s="16">
        <v>33</v>
      </c>
      <c r="IK1" s="16">
        <v>33</v>
      </c>
      <c r="IL1" s="16">
        <v>33</v>
      </c>
      <c r="IM1" s="16">
        <v>33</v>
      </c>
      <c r="IN1" s="16">
        <v>33</v>
      </c>
      <c r="IO1" s="16">
        <v>33</v>
      </c>
      <c r="IP1" s="16">
        <v>34</v>
      </c>
      <c r="IQ1" s="16">
        <v>34</v>
      </c>
      <c r="IR1" s="16">
        <v>34</v>
      </c>
      <c r="IS1" s="16">
        <v>34</v>
      </c>
      <c r="IT1" s="16">
        <v>34</v>
      </c>
      <c r="IU1" s="16">
        <v>34</v>
      </c>
      <c r="IV1" s="16">
        <v>35</v>
      </c>
      <c r="IW1" s="16">
        <v>35</v>
      </c>
      <c r="IX1" s="16">
        <v>35</v>
      </c>
      <c r="IY1" s="16">
        <v>35</v>
      </c>
      <c r="IZ1" s="16">
        <v>35</v>
      </c>
      <c r="JA1" s="16">
        <v>35</v>
      </c>
      <c r="JB1" s="16">
        <v>36</v>
      </c>
      <c r="JC1" s="16">
        <v>36</v>
      </c>
      <c r="JD1" s="16">
        <v>36</v>
      </c>
      <c r="JE1" s="16">
        <v>36</v>
      </c>
      <c r="JF1" s="16">
        <v>36</v>
      </c>
      <c r="JG1" s="16">
        <v>36</v>
      </c>
      <c r="JH1" s="16">
        <v>37</v>
      </c>
      <c r="JI1" s="16">
        <v>37</v>
      </c>
      <c r="JJ1" s="16">
        <v>37</v>
      </c>
      <c r="JK1" s="16">
        <v>37</v>
      </c>
      <c r="JL1" s="16">
        <v>37</v>
      </c>
      <c r="JM1" s="16">
        <v>37</v>
      </c>
      <c r="JN1" s="16">
        <v>38</v>
      </c>
      <c r="JO1" s="16">
        <v>38</v>
      </c>
      <c r="JP1" s="16">
        <v>38</v>
      </c>
      <c r="JQ1" s="16">
        <v>38</v>
      </c>
      <c r="JR1" s="16">
        <v>38</v>
      </c>
      <c r="JS1" s="16">
        <v>38</v>
      </c>
    </row>
    <row r="2" spans="1:360" s="7" customFormat="1" x14ac:dyDescent="0.15">
      <c r="A2" s="6" t="s">
        <v>0</v>
      </c>
      <c r="B2" s="24" t="s">
        <v>404</v>
      </c>
      <c r="C2" s="101" t="s">
        <v>1</v>
      </c>
      <c r="D2" s="101" t="s">
        <v>2</v>
      </c>
      <c r="E2" s="102" t="s">
        <v>3</v>
      </c>
      <c r="F2" s="102" t="s">
        <v>4</v>
      </c>
      <c r="G2" s="103" t="s">
        <v>5</v>
      </c>
      <c r="H2" s="103" t="s">
        <v>6</v>
      </c>
      <c r="I2" s="104" t="s">
        <v>7</v>
      </c>
      <c r="J2" s="104" t="s">
        <v>8</v>
      </c>
      <c r="K2" s="104" t="s">
        <v>9</v>
      </c>
      <c r="L2" s="104" t="s">
        <v>10</v>
      </c>
      <c r="M2" s="104" t="s">
        <v>11</v>
      </c>
      <c r="N2" s="104" t="s">
        <v>12</v>
      </c>
      <c r="O2" s="104" t="s">
        <v>13</v>
      </c>
      <c r="P2" s="104" t="s">
        <v>14</v>
      </c>
      <c r="Q2" s="104" t="s">
        <v>15</v>
      </c>
      <c r="R2" s="104" t="s">
        <v>16</v>
      </c>
      <c r="S2" s="104" t="s">
        <v>17</v>
      </c>
      <c r="T2" s="104" t="s">
        <v>18</v>
      </c>
      <c r="U2" s="104" t="s">
        <v>19</v>
      </c>
      <c r="V2" s="104" t="s">
        <v>20</v>
      </c>
      <c r="W2" s="104" t="s">
        <v>21</v>
      </c>
      <c r="X2" s="104" t="s">
        <v>22</v>
      </c>
      <c r="Y2" s="104" t="s">
        <v>23</v>
      </c>
      <c r="Z2" s="104" t="s">
        <v>24</v>
      </c>
      <c r="AA2" s="104" t="s">
        <v>25</v>
      </c>
      <c r="AB2" s="104" t="s">
        <v>26</v>
      </c>
      <c r="AC2" s="128" t="s">
        <v>27</v>
      </c>
      <c r="AD2" s="128" t="s">
        <v>28</v>
      </c>
      <c r="AE2" s="128" t="s">
        <v>29</v>
      </c>
      <c r="AF2" s="27" t="s">
        <v>30</v>
      </c>
      <c r="AG2" s="27" t="s">
        <v>31</v>
      </c>
      <c r="AH2" s="27" t="s">
        <v>32</v>
      </c>
      <c r="AI2" s="27" t="s">
        <v>33</v>
      </c>
      <c r="AJ2" s="27" t="s">
        <v>34</v>
      </c>
      <c r="AK2" s="35" t="s">
        <v>35</v>
      </c>
      <c r="AL2" s="27" t="s">
        <v>36</v>
      </c>
      <c r="AM2" s="35" t="s">
        <v>37</v>
      </c>
      <c r="AN2" s="27" t="s">
        <v>38</v>
      </c>
      <c r="AO2" s="35" t="s">
        <v>39</v>
      </c>
      <c r="AP2" s="27" t="s">
        <v>40</v>
      </c>
      <c r="AQ2" s="35" t="s">
        <v>41</v>
      </c>
      <c r="AR2" s="27" t="s">
        <v>42</v>
      </c>
      <c r="AS2" s="35" t="s">
        <v>43</v>
      </c>
      <c r="AT2" s="27" t="s">
        <v>44</v>
      </c>
      <c r="AU2" s="35" t="s">
        <v>45</v>
      </c>
      <c r="AV2" s="27" t="s">
        <v>46</v>
      </c>
      <c r="AW2" s="35" t="s">
        <v>47</v>
      </c>
      <c r="AX2" s="27" t="s">
        <v>48</v>
      </c>
      <c r="AY2" s="35" t="s">
        <v>49</v>
      </c>
      <c r="AZ2" s="51" t="s">
        <v>50</v>
      </c>
      <c r="BA2" s="51" t="s">
        <v>51</v>
      </c>
      <c r="BB2" s="51" t="s">
        <v>52</v>
      </c>
      <c r="BC2" s="51" t="s">
        <v>53</v>
      </c>
      <c r="BD2" s="51" t="s">
        <v>54</v>
      </c>
      <c r="BE2" s="51" t="s">
        <v>55</v>
      </c>
      <c r="BF2" s="51" t="s">
        <v>56</v>
      </c>
      <c r="BG2" s="51" t="s">
        <v>57</v>
      </c>
      <c r="BH2" s="51" t="s">
        <v>58</v>
      </c>
      <c r="BI2" s="51" t="s">
        <v>59</v>
      </c>
      <c r="BJ2" s="51" t="s">
        <v>60</v>
      </c>
      <c r="BK2" s="51" t="s">
        <v>61</v>
      </c>
      <c r="BL2" s="51" t="s">
        <v>62</v>
      </c>
      <c r="BM2" s="51" t="s">
        <v>63</v>
      </c>
      <c r="BN2" s="51" t="s">
        <v>64</v>
      </c>
      <c r="BO2" s="51" t="s">
        <v>65</v>
      </c>
      <c r="BP2" s="51" t="s">
        <v>66</v>
      </c>
      <c r="BQ2" s="51" t="s">
        <v>67</v>
      </c>
      <c r="BR2" s="51" t="s">
        <v>68</v>
      </c>
      <c r="BS2" s="51" t="s">
        <v>69</v>
      </c>
      <c r="BT2" s="51" t="s">
        <v>70</v>
      </c>
      <c r="BU2" s="51" t="s">
        <v>71</v>
      </c>
      <c r="BV2" s="51" t="s">
        <v>72</v>
      </c>
      <c r="BW2" s="51" t="s">
        <v>73</v>
      </c>
      <c r="BX2" s="51" t="s">
        <v>74</v>
      </c>
      <c r="BY2" s="51" t="s">
        <v>75</v>
      </c>
      <c r="BZ2" s="51" t="s">
        <v>76</v>
      </c>
      <c r="CA2" s="51" t="s">
        <v>77</v>
      </c>
      <c r="CB2" s="51" t="s">
        <v>78</v>
      </c>
      <c r="CC2" s="51" t="s">
        <v>79</v>
      </c>
      <c r="CD2" s="51" t="s">
        <v>80</v>
      </c>
      <c r="CE2" s="51" t="s">
        <v>81</v>
      </c>
      <c r="CF2" s="51" t="s">
        <v>82</v>
      </c>
      <c r="CG2" s="51" t="s">
        <v>83</v>
      </c>
      <c r="CH2" s="51" t="s">
        <v>84</v>
      </c>
      <c r="CI2" s="51" t="s">
        <v>85</v>
      </c>
      <c r="CJ2" s="51" t="s">
        <v>86</v>
      </c>
      <c r="CK2" s="51" t="s">
        <v>87</v>
      </c>
      <c r="CL2" s="51" t="s">
        <v>88</v>
      </c>
      <c r="CM2" s="51" t="s">
        <v>89</v>
      </c>
      <c r="CN2" s="51" t="s">
        <v>90</v>
      </c>
      <c r="CO2" s="51" t="s">
        <v>91</v>
      </c>
      <c r="CP2" s="51" t="s">
        <v>92</v>
      </c>
      <c r="CQ2" s="51" t="s">
        <v>93</v>
      </c>
      <c r="CR2" s="51" t="s">
        <v>94</v>
      </c>
      <c r="CS2" s="51" t="s">
        <v>95</v>
      </c>
      <c r="CT2" s="51" t="s">
        <v>96</v>
      </c>
      <c r="CU2" s="51" t="s">
        <v>97</v>
      </c>
      <c r="CV2" s="51" t="s">
        <v>98</v>
      </c>
      <c r="CW2" s="51" t="s">
        <v>99</v>
      </c>
      <c r="CX2" s="51" t="s">
        <v>100</v>
      </c>
      <c r="CY2" s="51" t="s">
        <v>101</v>
      </c>
      <c r="CZ2" s="51" t="s">
        <v>102</v>
      </c>
      <c r="DA2" s="51" t="s">
        <v>103</v>
      </c>
      <c r="DB2" s="51" t="s">
        <v>104</v>
      </c>
      <c r="DC2" s="51" t="s">
        <v>105</v>
      </c>
      <c r="DD2" s="51" t="s">
        <v>106</v>
      </c>
      <c r="DE2" s="51" t="s">
        <v>107</v>
      </c>
      <c r="DF2" s="51" t="s">
        <v>108</v>
      </c>
      <c r="DG2" s="51" t="s">
        <v>109</v>
      </c>
      <c r="DH2" s="51" t="s">
        <v>110</v>
      </c>
      <c r="DI2" s="51" t="s">
        <v>111</v>
      </c>
      <c r="DJ2" s="51" t="s">
        <v>112</v>
      </c>
      <c r="DK2" s="51" t="s">
        <v>113</v>
      </c>
      <c r="DL2" s="51" t="s">
        <v>114</v>
      </c>
      <c r="DM2" s="51" t="s">
        <v>115</v>
      </c>
      <c r="DN2" s="51" t="s">
        <v>116</v>
      </c>
      <c r="DO2" s="51" t="s">
        <v>117</v>
      </c>
      <c r="DP2" s="51" t="s">
        <v>118</v>
      </c>
      <c r="DQ2" s="51" t="s">
        <v>119</v>
      </c>
      <c r="DR2" s="51" t="s">
        <v>120</v>
      </c>
      <c r="DS2" s="51" t="s">
        <v>121</v>
      </c>
      <c r="DT2" s="51" t="s">
        <v>122</v>
      </c>
      <c r="DU2" s="51" t="s">
        <v>123</v>
      </c>
      <c r="DV2" s="51" t="s">
        <v>124</v>
      </c>
      <c r="DW2" s="51" t="s">
        <v>125</v>
      </c>
      <c r="DX2" s="51" t="s">
        <v>126</v>
      </c>
      <c r="DY2" s="51" t="s">
        <v>127</v>
      </c>
      <c r="DZ2" s="51" t="s">
        <v>128</v>
      </c>
      <c r="EA2" s="51" t="s">
        <v>129</v>
      </c>
      <c r="EB2" s="51" t="s">
        <v>130</v>
      </c>
      <c r="EC2" s="51" t="s">
        <v>131</v>
      </c>
      <c r="ED2" s="51" t="s">
        <v>132</v>
      </c>
      <c r="EE2" s="51" t="s">
        <v>133</v>
      </c>
      <c r="EF2" s="51" t="s">
        <v>134</v>
      </c>
      <c r="EG2" s="51" t="s">
        <v>135</v>
      </c>
      <c r="EH2" s="51" t="s">
        <v>136</v>
      </c>
      <c r="EI2" s="51" t="s">
        <v>137</v>
      </c>
      <c r="EJ2" s="51" t="s">
        <v>138</v>
      </c>
      <c r="EK2" s="51" t="s">
        <v>139</v>
      </c>
      <c r="EL2" s="51" t="s">
        <v>140</v>
      </c>
      <c r="EM2" s="51" t="s">
        <v>141</v>
      </c>
      <c r="EN2" s="51" t="s">
        <v>142</v>
      </c>
      <c r="EO2" s="51" t="s">
        <v>143</v>
      </c>
      <c r="EP2" s="51" t="s">
        <v>144</v>
      </c>
      <c r="EQ2" s="51" t="s">
        <v>457</v>
      </c>
      <c r="ER2" s="51" t="s">
        <v>145</v>
      </c>
      <c r="ES2" s="51" t="s">
        <v>146</v>
      </c>
      <c r="ET2" s="51" t="s">
        <v>147</v>
      </c>
      <c r="EU2" s="51" t="s">
        <v>148</v>
      </c>
      <c r="EV2" s="51" t="s">
        <v>149</v>
      </c>
      <c r="EW2" s="51" t="s">
        <v>150</v>
      </c>
      <c r="EX2" s="51" t="s">
        <v>151</v>
      </c>
      <c r="EY2" s="51" t="s">
        <v>152</v>
      </c>
      <c r="EZ2" s="51" t="s">
        <v>153</v>
      </c>
      <c r="FA2" s="51" t="s">
        <v>154</v>
      </c>
      <c r="FB2" s="51" t="s">
        <v>155</v>
      </c>
      <c r="FC2" s="51" t="s">
        <v>156</v>
      </c>
      <c r="FD2" s="51" t="s">
        <v>157</v>
      </c>
      <c r="FE2" s="51" t="s">
        <v>158</v>
      </c>
      <c r="FF2" s="51" t="s">
        <v>159</v>
      </c>
      <c r="FG2" s="51" t="s">
        <v>160</v>
      </c>
      <c r="FH2" s="51" t="s">
        <v>161</v>
      </c>
      <c r="FI2" s="51" t="s">
        <v>162</v>
      </c>
      <c r="FJ2" s="51" t="s">
        <v>163</v>
      </c>
      <c r="FK2" s="51" t="s">
        <v>164</v>
      </c>
      <c r="FL2" s="51" t="s">
        <v>165</v>
      </c>
      <c r="FM2" s="51" t="s">
        <v>166</v>
      </c>
      <c r="FN2" s="51" t="s">
        <v>167</v>
      </c>
      <c r="FO2" s="51" t="s">
        <v>168</v>
      </c>
      <c r="FP2" s="51" t="s">
        <v>169</v>
      </c>
      <c r="FQ2" s="51" t="s">
        <v>170</v>
      </c>
      <c r="FR2" s="51" t="s">
        <v>171</v>
      </c>
      <c r="FS2" s="51" t="s">
        <v>172</v>
      </c>
      <c r="FT2" s="51" t="s">
        <v>173</v>
      </c>
      <c r="FU2" s="51" t="s">
        <v>174</v>
      </c>
      <c r="FV2" s="51" t="s">
        <v>175</v>
      </c>
      <c r="FW2" s="51" t="s">
        <v>176</v>
      </c>
      <c r="FX2" s="51" t="s">
        <v>177</v>
      </c>
      <c r="FY2" s="51" t="s">
        <v>178</v>
      </c>
      <c r="FZ2" s="51" t="s">
        <v>179</v>
      </c>
      <c r="GA2" s="51" t="s">
        <v>180</v>
      </c>
      <c r="GB2" s="51" t="s">
        <v>181</v>
      </c>
      <c r="GC2" s="51" t="s">
        <v>182</v>
      </c>
      <c r="GD2" s="51" t="s">
        <v>183</v>
      </c>
      <c r="GE2" s="51" t="s">
        <v>184</v>
      </c>
      <c r="GF2" s="51" t="s">
        <v>185</v>
      </c>
      <c r="GG2" s="51" t="s">
        <v>186</v>
      </c>
      <c r="GH2" s="51" t="s">
        <v>187</v>
      </c>
      <c r="GI2" s="51" t="s">
        <v>188</v>
      </c>
      <c r="GJ2" s="51" t="s">
        <v>189</v>
      </c>
      <c r="GK2" s="51" t="s">
        <v>190</v>
      </c>
      <c r="GL2" s="51" t="s">
        <v>191</v>
      </c>
      <c r="GM2" s="51" t="s">
        <v>192</v>
      </c>
      <c r="GN2" s="51" t="s">
        <v>193</v>
      </c>
      <c r="GO2" s="51" t="s">
        <v>194</v>
      </c>
      <c r="GP2" s="51" t="s">
        <v>195</v>
      </c>
      <c r="GQ2" s="51" t="s">
        <v>196</v>
      </c>
      <c r="GR2" s="51" t="s">
        <v>197</v>
      </c>
      <c r="GS2" s="51" t="s">
        <v>198</v>
      </c>
      <c r="GT2" s="51" t="s">
        <v>199</v>
      </c>
      <c r="GU2" s="51" t="s">
        <v>200</v>
      </c>
      <c r="GV2" s="51" t="s">
        <v>201</v>
      </c>
      <c r="GW2" s="51" t="s">
        <v>202</v>
      </c>
      <c r="GX2" s="51" t="s">
        <v>203</v>
      </c>
      <c r="GY2" s="51" t="s">
        <v>204</v>
      </c>
      <c r="GZ2" s="51" t="s">
        <v>205</v>
      </c>
      <c r="HA2" s="51" t="s">
        <v>206</v>
      </c>
      <c r="HB2" s="51" t="s">
        <v>207</v>
      </c>
      <c r="HC2" s="51" t="s">
        <v>208</v>
      </c>
      <c r="HD2" s="51" t="s">
        <v>209</v>
      </c>
      <c r="HE2" s="51" t="s">
        <v>210</v>
      </c>
      <c r="HF2" s="51" t="s">
        <v>211</v>
      </c>
      <c r="HG2" s="51" t="s">
        <v>212</v>
      </c>
      <c r="HH2" s="51" t="s">
        <v>213</v>
      </c>
      <c r="HI2" s="51" t="s">
        <v>214</v>
      </c>
      <c r="HJ2" s="51" t="s">
        <v>215</v>
      </c>
      <c r="HK2" s="51" t="s">
        <v>216</v>
      </c>
      <c r="HL2" s="51" t="s">
        <v>217</v>
      </c>
      <c r="HM2" s="51" t="s">
        <v>218</v>
      </c>
      <c r="HN2" s="51" t="s">
        <v>219</v>
      </c>
      <c r="HO2" s="51" t="s">
        <v>220</v>
      </c>
      <c r="HP2" s="51" t="s">
        <v>221</v>
      </c>
      <c r="HQ2" s="51" t="s">
        <v>222</v>
      </c>
      <c r="HR2" s="51" t="s">
        <v>223</v>
      </c>
      <c r="HS2" s="51" t="s">
        <v>224</v>
      </c>
      <c r="HT2" s="51" t="s">
        <v>225</v>
      </c>
      <c r="HU2" s="51" t="s">
        <v>226</v>
      </c>
      <c r="HV2" s="51" t="s">
        <v>227</v>
      </c>
      <c r="HW2" s="51" t="s">
        <v>228</v>
      </c>
      <c r="HX2" s="51" t="s">
        <v>229</v>
      </c>
      <c r="HY2" s="51" t="s">
        <v>230</v>
      </c>
      <c r="HZ2" s="51" t="s">
        <v>231</v>
      </c>
      <c r="IA2" s="51" t="s">
        <v>232</v>
      </c>
      <c r="IB2" s="51" t="s">
        <v>233</v>
      </c>
      <c r="IC2" s="51" t="s">
        <v>234</v>
      </c>
      <c r="ID2" s="51" t="s">
        <v>235</v>
      </c>
      <c r="IE2" s="51" t="s">
        <v>236</v>
      </c>
      <c r="IF2" s="51" t="s">
        <v>237</v>
      </c>
      <c r="IG2" s="51" t="s">
        <v>238</v>
      </c>
      <c r="IH2" s="51" t="s">
        <v>239</v>
      </c>
      <c r="II2" s="51" t="s">
        <v>240</v>
      </c>
      <c r="IJ2" s="51" t="s">
        <v>241</v>
      </c>
      <c r="IK2" s="51" t="s">
        <v>242</v>
      </c>
      <c r="IL2" s="51" t="s">
        <v>243</v>
      </c>
      <c r="IM2" s="51" t="s">
        <v>244</v>
      </c>
      <c r="IN2" s="51" t="s">
        <v>245</v>
      </c>
      <c r="IO2" s="51" t="s">
        <v>246</v>
      </c>
      <c r="IP2" s="51" t="s">
        <v>247</v>
      </c>
      <c r="IQ2" s="51" t="s">
        <v>248</v>
      </c>
      <c r="IR2" s="51" t="s">
        <v>249</v>
      </c>
      <c r="IS2" s="51" t="s">
        <v>250</v>
      </c>
      <c r="IT2" s="51" t="s">
        <v>251</v>
      </c>
      <c r="IU2" s="51" t="s">
        <v>252</v>
      </c>
      <c r="IV2" s="51" t="s">
        <v>253</v>
      </c>
      <c r="IW2" s="51" t="s">
        <v>254</v>
      </c>
      <c r="IX2" s="51" t="s">
        <v>255</v>
      </c>
      <c r="IY2" s="51" t="s">
        <v>256</v>
      </c>
      <c r="IZ2" s="51" t="s">
        <v>257</v>
      </c>
      <c r="JA2" s="51" t="s">
        <v>258</v>
      </c>
      <c r="JB2" s="51" t="s">
        <v>259</v>
      </c>
      <c r="JC2" s="51" t="s">
        <v>260</v>
      </c>
      <c r="JD2" s="51" t="s">
        <v>261</v>
      </c>
      <c r="JE2" s="51" t="s">
        <v>262</v>
      </c>
      <c r="JF2" s="51" t="s">
        <v>263</v>
      </c>
      <c r="JG2" s="51" t="s">
        <v>264</v>
      </c>
      <c r="JH2" s="51" t="s">
        <v>265</v>
      </c>
      <c r="JI2" s="51" t="s">
        <v>266</v>
      </c>
      <c r="JJ2" s="51" t="s">
        <v>267</v>
      </c>
      <c r="JK2" s="51" t="s">
        <v>268</v>
      </c>
      <c r="JL2" s="51" t="s">
        <v>269</v>
      </c>
      <c r="JM2" s="51" t="s">
        <v>270</v>
      </c>
      <c r="JN2" s="51" t="s">
        <v>271</v>
      </c>
      <c r="JO2" s="51" t="s">
        <v>272</v>
      </c>
      <c r="JP2" s="51" t="s">
        <v>273</v>
      </c>
      <c r="JQ2" s="51" t="s">
        <v>274</v>
      </c>
      <c r="JR2" s="51" t="s">
        <v>275</v>
      </c>
      <c r="JS2" s="51" t="s">
        <v>276</v>
      </c>
      <c r="JT2" s="8"/>
      <c r="JU2" s="8" t="s">
        <v>358</v>
      </c>
      <c r="JV2" s="27" t="s">
        <v>359</v>
      </c>
      <c r="JW2" s="8" t="s">
        <v>360</v>
      </c>
      <c r="JX2" s="27" t="s">
        <v>359</v>
      </c>
      <c r="JY2" s="8" t="s">
        <v>361</v>
      </c>
      <c r="JZ2" s="27" t="s">
        <v>359</v>
      </c>
      <c r="KA2" s="8" t="s">
        <v>362</v>
      </c>
      <c r="KB2" s="27" t="s">
        <v>359</v>
      </c>
      <c r="KC2" s="8" t="s">
        <v>363</v>
      </c>
      <c r="KD2" s="27" t="s">
        <v>359</v>
      </c>
      <c r="KE2" s="5" t="s">
        <v>364</v>
      </c>
      <c r="KF2" s="26" t="s">
        <v>359</v>
      </c>
      <c r="KG2" s="8" t="s">
        <v>365</v>
      </c>
      <c r="KH2" s="27" t="s">
        <v>359</v>
      </c>
      <c r="KI2" s="8" t="s">
        <v>366</v>
      </c>
      <c r="KJ2" s="27" t="s">
        <v>359</v>
      </c>
      <c r="KK2" s="8" t="s">
        <v>367</v>
      </c>
      <c r="KL2" s="27" t="s">
        <v>359</v>
      </c>
      <c r="KM2" s="8" t="s">
        <v>368</v>
      </c>
      <c r="KN2" s="27" t="s">
        <v>359</v>
      </c>
      <c r="KO2" s="8" t="s">
        <v>369</v>
      </c>
      <c r="KP2" s="27" t="s">
        <v>359</v>
      </c>
      <c r="KQ2" s="8" t="s">
        <v>370</v>
      </c>
      <c r="KR2" s="27" t="s">
        <v>359</v>
      </c>
      <c r="KS2" s="8" t="s">
        <v>371</v>
      </c>
      <c r="KT2" s="27" t="s">
        <v>359</v>
      </c>
      <c r="KU2" s="8" t="s">
        <v>372</v>
      </c>
      <c r="KV2" s="27" t="s">
        <v>359</v>
      </c>
      <c r="KW2" s="8" t="s">
        <v>373</v>
      </c>
      <c r="KX2" s="27" t="s">
        <v>359</v>
      </c>
      <c r="KY2" s="8" t="s">
        <v>374</v>
      </c>
      <c r="KZ2" s="27" t="s">
        <v>359</v>
      </c>
      <c r="LA2" s="8" t="s">
        <v>375</v>
      </c>
      <c r="LB2" s="27" t="s">
        <v>359</v>
      </c>
      <c r="LC2" s="8" t="s">
        <v>376</v>
      </c>
      <c r="LD2" s="27" t="s">
        <v>359</v>
      </c>
      <c r="LE2" s="8" t="s">
        <v>377</v>
      </c>
      <c r="LF2" s="27" t="s">
        <v>359</v>
      </c>
      <c r="LG2" s="8" t="s">
        <v>378</v>
      </c>
      <c r="LH2" s="27" t="s">
        <v>359</v>
      </c>
      <c r="LI2" s="8" t="s">
        <v>379</v>
      </c>
      <c r="LJ2" s="27" t="s">
        <v>359</v>
      </c>
      <c r="LK2" s="5" t="s">
        <v>380</v>
      </c>
      <c r="LL2" s="26" t="s">
        <v>359</v>
      </c>
      <c r="LM2" s="8" t="s">
        <v>381</v>
      </c>
      <c r="LN2" s="27" t="s">
        <v>359</v>
      </c>
      <c r="LO2" s="8" t="s">
        <v>382</v>
      </c>
      <c r="LP2" s="27" t="s">
        <v>359</v>
      </c>
      <c r="LQ2" s="8" t="s">
        <v>383</v>
      </c>
      <c r="LR2" s="27" t="s">
        <v>359</v>
      </c>
      <c r="LS2" s="8" t="s">
        <v>384</v>
      </c>
      <c r="LT2" s="27" t="s">
        <v>359</v>
      </c>
      <c r="LU2" s="8" t="s">
        <v>385</v>
      </c>
      <c r="LV2" s="27" t="s">
        <v>359</v>
      </c>
      <c r="LW2" s="8" t="s">
        <v>386</v>
      </c>
      <c r="LX2" s="27" t="s">
        <v>359</v>
      </c>
      <c r="LY2" s="8" t="s">
        <v>387</v>
      </c>
      <c r="LZ2" s="27" t="s">
        <v>359</v>
      </c>
      <c r="MA2" s="8" t="s">
        <v>388</v>
      </c>
      <c r="MB2" s="27" t="s">
        <v>359</v>
      </c>
      <c r="MC2" s="8" t="s">
        <v>389</v>
      </c>
      <c r="MD2" s="27" t="s">
        <v>359</v>
      </c>
      <c r="ME2" s="8" t="s">
        <v>390</v>
      </c>
      <c r="MF2" s="27" t="s">
        <v>359</v>
      </c>
      <c r="MG2" s="8" t="s">
        <v>391</v>
      </c>
      <c r="MH2" s="27" t="s">
        <v>359</v>
      </c>
      <c r="MI2" s="8" t="s">
        <v>392</v>
      </c>
      <c r="MJ2" s="27" t="s">
        <v>359</v>
      </c>
      <c r="MK2" s="8" t="s">
        <v>393</v>
      </c>
      <c r="ML2" s="27" t="s">
        <v>359</v>
      </c>
      <c r="MM2" s="8" t="s">
        <v>394</v>
      </c>
      <c r="MN2" s="27" t="s">
        <v>359</v>
      </c>
      <c r="MO2" s="8" t="s">
        <v>395</v>
      </c>
      <c r="MP2" s="27" t="s">
        <v>359</v>
      </c>
      <c r="MQ2" s="8" t="s">
        <v>396</v>
      </c>
      <c r="MR2" s="27" t="s">
        <v>359</v>
      </c>
      <c r="MS2" s="8"/>
      <c r="MT2" s="8" t="s">
        <v>397</v>
      </c>
      <c r="MV2" s="7" t="s">
        <v>402</v>
      </c>
    </row>
    <row r="3" spans="1:360" x14ac:dyDescent="0.15">
      <c r="A3" s="155" t="s">
        <v>284</v>
      </c>
      <c r="B3" s="25" t="s">
        <v>407</v>
      </c>
      <c r="C3" s="105">
        <v>178396</v>
      </c>
      <c r="D3" s="105">
        <v>2011</v>
      </c>
      <c r="E3" s="106">
        <v>1</v>
      </c>
      <c r="F3" s="106">
        <v>9</v>
      </c>
      <c r="G3" s="107">
        <v>9794</v>
      </c>
      <c r="H3" s="107">
        <v>9077</v>
      </c>
      <c r="I3" s="108">
        <v>445175498</v>
      </c>
      <c r="J3" s="108"/>
      <c r="K3" s="108">
        <v>5153138</v>
      </c>
      <c r="L3" s="108"/>
      <c r="M3" s="108">
        <v>31464662</v>
      </c>
      <c r="N3" s="108"/>
      <c r="O3" s="108">
        <v>76499536</v>
      </c>
      <c r="P3" s="108"/>
      <c r="Q3" s="108">
        <v>461062907</v>
      </c>
      <c r="R3" s="108"/>
      <c r="S3" s="108">
        <v>343242587</v>
      </c>
      <c r="T3" s="108"/>
      <c r="U3" s="108">
        <v>19721</v>
      </c>
      <c r="V3" s="108"/>
      <c r="W3" s="108">
        <v>29529</v>
      </c>
      <c r="X3" s="108"/>
      <c r="Y3" s="108">
        <v>23312</v>
      </c>
      <c r="Z3" s="108"/>
      <c r="AA3" s="108">
        <v>33570</v>
      </c>
      <c r="AB3" s="108"/>
      <c r="AC3" s="129">
        <v>8</v>
      </c>
      <c r="AD3" s="129">
        <v>10</v>
      </c>
      <c r="AE3" s="129">
        <v>1</v>
      </c>
      <c r="AF3" s="26">
        <v>3554666</v>
      </c>
      <c r="AG3" s="26">
        <v>2194822</v>
      </c>
      <c r="AH3" s="26">
        <v>284154</v>
      </c>
      <c r="AI3" s="26">
        <v>154265</v>
      </c>
      <c r="AJ3" s="26">
        <v>258343</v>
      </c>
      <c r="AK3" s="36">
        <v>6</v>
      </c>
      <c r="AL3" s="26">
        <v>221437</v>
      </c>
      <c r="AM3" s="36">
        <v>7</v>
      </c>
      <c r="AN3" s="26">
        <v>95578</v>
      </c>
      <c r="AO3" s="36">
        <v>8</v>
      </c>
      <c r="AP3" s="26">
        <v>84958</v>
      </c>
      <c r="AQ3" s="36">
        <v>9</v>
      </c>
      <c r="AR3" s="26">
        <v>77523</v>
      </c>
      <c r="AS3" s="36">
        <v>21</v>
      </c>
      <c r="AT3" s="26">
        <v>67833</v>
      </c>
      <c r="AU3" s="36">
        <v>24</v>
      </c>
      <c r="AV3" s="26">
        <v>52190</v>
      </c>
      <c r="AW3" s="36">
        <v>15</v>
      </c>
      <c r="AX3" s="26">
        <v>48928</v>
      </c>
      <c r="AY3" s="36">
        <v>16</v>
      </c>
      <c r="AZ3" s="52">
        <v>621361</v>
      </c>
      <c r="BA3" s="52">
        <v>282332</v>
      </c>
      <c r="BB3" s="52">
        <v>10142</v>
      </c>
      <c r="BC3" s="52">
        <v>151655</v>
      </c>
      <c r="BD3" s="52">
        <v>122219</v>
      </c>
      <c r="BE3" s="52">
        <v>1187709</v>
      </c>
      <c r="BF3" s="52">
        <v>0</v>
      </c>
      <c r="BG3" s="52">
        <v>0</v>
      </c>
      <c r="BH3" s="52">
        <v>0</v>
      </c>
      <c r="BI3" s="52">
        <v>0</v>
      </c>
      <c r="BJ3" s="52">
        <v>17698300</v>
      </c>
      <c r="BK3" s="52">
        <v>17698300</v>
      </c>
      <c r="BL3" s="52">
        <v>550000</v>
      </c>
      <c r="BM3" s="52">
        <v>189000</v>
      </c>
      <c r="BN3" s="52">
        <v>0</v>
      </c>
      <c r="BO3" s="52">
        <v>13500</v>
      </c>
      <c r="BP3" s="52">
        <v>0</v>
      </c>
      <c r="BQ3" s="52">
        <v>752500</v>
      </c>
      <c r="BR3" s="52">
        <v>37797</v>
      </c>
      <c r="BS3" s="52">
        <v>56089</v>
      </c>
      <c r="BT3" s="52">
        <v>21987</v>
      </c>
      <c r="BU3" s="52">
        <v>250588</v>
      </c>
      <c r="BV3" s="52">
        <v>685419</v>
      </c>
      <c r="BW3" s="52">
        <v>1051880</v>
      </c>
      <c r="BX3" s="52">
        <v>0</v>
      </c>
      <c r="BY3" s="52">
        <v>0</v>
      </c>
      <c r="BZ3" s="52">
        <v>0</v>
      </c>
      <c r="CA3" s="52">
        <v>0</v>
      </c>
      <c r="CB3" s="52">
        <v>0</v>
      </c>
      <c r="CC3" s="52">
        <v>0</v>
      </c>
      <c r="CD3" s="52">
        <v>324</v>
      </c>
      <c r="CE3" s="52">
        <v>0</v>
      </c>
      <c r="CF3" s="52">
        <v>0</v>
      </c>
      <c r="CG3" s="52">
        <v>0</v>
      </c>
      <c r="CH3" s="52">
        <v>14676</v>
      </c>
      <c r="CI3" s="52">
        <v>15000</v>
      </c>
      <c r="CJ3" s="52">
        <v>0</v>
      </c>
      <c r="CK3" s="52">
        <v>12112</v>
      </c>
      <c r="CL3" s="52">
        <v>1264</v>
      </c>
      <c r="CM3" s="52">
        <v>5387</v>
      </c>
      <c r="CN3" s="52">
        <v>1624315</v>
      </c>
      <c r="CO3" s="52">
        <v>1643078</v>
      </c>
      <c r="CP3" s="52">
        <v>0</v>
      </c>
      <c r="CQ3" s="52">
        <v>0</v>
      </c>
      <c r="CR3" s="52">
        <v>0</v>
      </c>
      <c r="CS3" s="52">
        <v>0</v>
      </c>
      <c r="CT3" s="52">
        <v>0</v>
      </c>
      <c r="CU3" s="52">
        <v>0</v>
      </c>
      <c r="CV3" s="52">
        <v>0</v>
      </c>
      <c r="CW3" s="52">
        <v>0</v>
      </c>
      <c r="CX3" s="52">
        <v>0</v>
      </c>
      <c r="CY3" s="52">
        <v>0</v>
      </c>
      <c r="CZ3" s="52">
        <v>1312318</v>
      </c>
      <c r="DA3" s="52">
        <v>1312318</v>
      </c>
      <c r="DB3" s="52">
        <v>0</v>
      </c>
      <c r="DC3" s="52">
        <v>0</v>
      </c>
      <c r="DD3" s="52">
        <v>0</v>
      </c>
      <c r="DE3" s="52">
        <v>0</v>
      </c>
      <c r="DF3" s="52">
        <v>0</v>
      </c>
      <c r="DG3" s="52">
        <v>0</v>
      </c>
      <c r="DH3" s="52">
        <v>0</v>
      </c>
      <c r="DI3" s="52">
        <v>0</v>
      </c>
      <c r="DJ3" s="52">
        <v>0</v>
      </c>
      <c r="DK3" s="52">
        <v>0</v>
      </c>
      <c r="DL3" s="52">
        <v>48980</v>
      </c>
      <c r="DM3" s="52">
        <v>48980</v>
      </c>
      <c r="DN3" s="52">
        <v>0</v>
      </c>
      <c r="DO3" s="52">
        <v>0</v>
      </c>
      <c r="DP3" s="52">
        <v>0</v>
      </c>
      <c r="DQ3" s="52">
        <v>0</v>
      </c>
      <c r="DR3" s="52">
        <v>595764</v>
      </c>
      <c r="DS3" s="52">
        <v>595764</v>
      </c>
      <c r="DT3" s="52">
        <v>19617</v>
      </c>
      <c r="DU3" s="52">
        <v>42854</v>
      </c>
      <c r="DV3" s="52">
        <v>17118</v>
      </c>
      <c r="DW3" s="52">
        <v>475215</v>
      </c>
      <c r="DX3" s="52">
        <v>23082</v>
      </c>
      <c r="DY3" s="52">
        <v>577886</v>
      </c>
      <c r="DZ3" s="52">
        <v>23451</v>
      </c>
      <c r="EA3" s="52">
        <v>10677</v>
      </c>
      <c r="EB3" s="52">
        <v>1318</v>
      </c>
      <c r="EC3" s="52">
        <v>26205</v>
      </c>
      <c r="ED3" s="53">
        <v>102228</v>
      </c>
      <c r="EE3" s="52">
        <v>163879</v>
      </c>
      <c r="EF3" s="52">
        <v>2350</v>
      </c>
      <c r="EG3" s="52">
        <v>26695</v>
      </c>
      <c r="EH3" s="52">
        <v>200</v>
      </c>
      <c r="EI3" s="52">
        <v>92257</v>
      </c>
      <c r="EJ3" s="52">
        <v>414934</v>
      </c>
      <c r="EK3" s="52">
        <v>536436</v>
      </c>
      <c r="EL3" s="52">
        <v>1254900</v>
      </c>
      <c r="EM3" s="52">
        <v>619759</v>
      </c>
      <c r="EN3" s="52">
        <v>52029</v>
      </c>
      <c r="EO3" s="52">
        <v>1014807</v>
      </c>
      <c r="EP3" s="52">
        <v>22642235</v>
      </c>
      <c r="EQ3" s="52">
        <v>25583730</v>
      </c>
      <c r="ER3" s="52">
        <v>2175258</v>
      </c>
      <c r="ES3" s="52">
        <v>431515</v>
      </c>
      <c r="ET3" s="52">
        <v>362094</v>
      </c>
      <c r="EU3" s="52">
        <v>2886102</v>
      </c>
      <c r="EV3" s="52">
        <v>42629</v>
      </c>
      <c r="EW3" s="52">
        <v>5897598</v>
      </c>
      <c r="EX3" s="52">
        <v>385000</v>
      </c>
      <c r="EY3" s="52">
        <v>271900</v>
      </c>
      <c r="EZ3" s="52">
        <v>5000</v>
      </c>
      <c r="FA3" s="52">
        <v>4905</v>
      </c>
      <c r="FB3" s="52">
        <v>0</v>
      </c>
      <c r="FC3" s="52">
        <v>666805</v>
      </c>
      <c r="FD3" s="52">
        <v>1432084</v>
      </c>
      <c r="FE3" s="52">
        <v>716580</v>
      </c>
      <c r="FF3" s="52">
        <v>383912</v>
      </c>
      <c r="FG3" s="52">
        <v>2192980</v>
      </c>
      <c r="FH3" s="52">
        <v>0</v>
      </c>
      <c r="FI3" s="52">
        <v>4725556</v>
      </c>
      <c r="FJ3" s="52">
        <v>0</v>
      </c>
      <c r="FK3" s="52">
        <v>0</v>
      </c>
      <c r="FL3" s="52">
        <v>0</v>
      </c>
      <c r="FM3" s="52">
        <v>0</v>
      </c>
      <c r="FN3" s="52">
        <v>0</v>
      </c>
      <c r="FO3" s="52">
        <v>0</v>
      </c>
      <c r="FP3" s="52">
        <v>362187</v>
      </c>
      <c r="FQ3" s="52">
        <v>193781</v>
      </c>
      <c r="FR3" s="52">
        <v>85004</v>
      </c>
      <c r="FS3" s="52">
        <v>116852</v>
      </c>
      <c r="FT3" s="52">
        <v>3588525</v>
      </c>
      <c r="FU3" s="52">
        <v>4346349</v>
      </c>
      <c r="FV3" s="52">
        <v>0</v>
      </c>
      <c r="FW3" s="52">
        <v>0</v>
      </c>
      <c r="FX3" s="52">
        <v>0</v>
      </c>
      <c r="FY3" s="52">
        <v>0</v>
      </c>
      <c r="FZ3" s="52">
        <v>0</v>
      </c>
      <c r="GA3" s="52">
        <v>0</v>
      </c>
      <c r="GB3" s="52">
        <v>0</v>
      </c>
      <c r="GC3" s="52">
        <v>0</v>
      </c>
      <c r="GD3" s="52">
        <v>0</v>
      </c>
      <c r="GE3" s="52">
        <v>0</v>
      </c>
      <c r="GF3" s="52">
        <v>0</v>
      </c>
      <c r="GG3" s="52">
        <v>0</v>
      </c>
      <c r="GH3" s="52">
        <v>186725</v>
      </c>
      <c r="GI3" s="52">
        <v>50176</v>
      </c>
      <c r="GJ3" s="52">
        <v>57639</v>
      </c>
      <c r="GK3" s="52">
        <v>144737</v>
      </c>
      <c r="GL3" s="52">
        <v>51825</v>
      </c>
      <c r="GM3" s="52">
        <v>491102</v>
      </c>
      <c r="GN3" s="52">
        <v>366055</v>
      </c>
      <c r="GO3" s="52">
        <v>267159</v>
      </c>
      <c r="GP3" s="52">
        <v>109122</v>
      </c>
      <c r="GQ3" s="52">
        <v>929221</v>
      </c>
      <c r="GR3" s="52">
        <v>119768</v>
      </c>
      <c r="GS3" s="52">
        <v>1791325</v>
      </c>
      <c r="GT3" s="52">
        <v>240139</v>
      </c>
      <c r="GU3" s="52">
        <v>41708</v>
      </c>
      <c r="GV3" s="52">
        <v>46263</v>
      </c>
      <c r="GW3" s="52">
        <v>356910</v>
      </c>
      <c r="GX3" s="52">
        <v>335400</v>
      </c>
      <c r="GY3" s="52">
        <v>1020420</v>
      </c>
      <c r="GZ3" s="52">
        <v>205845</v>
      </c>
      <c r="HA3" s="52">
        <v>125531</v>
      </c>
      <c r="HB3" s="52">
        <v>67935</v>
      </c>
      <c r="HC3" s="52">
        <v>121581</v>
      </c>
      <c r="HD3" s="52">
        <v>2482</v>
      </c>
      <c r="HE3" s="52">
        <v>523374</v>
      </c>
      <c r="HF3" s="52">
        <v>16656</v>
      </c>
      <c r="HG3" s="52">
        <v>13118</v>
      </c>
      <c r="HH3" s="52">
        <v>7462</v>
      </c>
      <c r="HI3" s="52">
        <v>12242</v>
      </c>
      <c r="HJ3" s="52">
        <v>380865</v>
      </c>
      <c r="HK3" s="52">
        <v>430343</v>
      </c>
      <c r="HL3" s="52">
        <v>16607</v>
      </c>
      <c r="HM3" s="52">
        <v>40327</v>
      </c>
      <c r="HN3" s="52">
        <v>20818</v>
      </c>
      <c r="HO3" s="52">
        <v>194871</v>
      </c>
      <c r="HP3" s="52">
        <v>22325</v>
      </c>
      <c r="HQ3" s="52">
        <v>294948</v>
      </c>
      <c r="HR3" s="52">
        <v>307375</v>
      </c>
      <c r="HS3" s="52">
        <v>8150</v>
      </c>
      <c r="HT3" s="52">
        <v>18913</v>
      </c>
      <c r="HU3" s="52">
        <v>24231</v>
      </c>
      <c r="HV3" s="52">
        <v>1888263</v>
      </c>
      <c r="HW3" s="52">
        <v>2246932</v>
      </c>
      <c r="HX3" s="52">
        <v>0</v>
      </c>
      <c r="HY3" s="52">
        <v>0</v>
      </c>
      <c r="HZ3" s="52">
        <v>0</v>
      </c>
      <c r="IA3" s="52">
        <v>0</v>
      </c>
      <c r="IB3" s="52">
        <v>82217</v>
      </c>
      <c r="IC3" s="52">
        <v>82217</v>
      </c>
      <c r="ID3" s="52">
        <v>0</v>
      </c>
      <c r="IE3" s="52">
        <v>0</v>
      </c>
      <c r="IF3" s="52">
        <v>0</v>
      </c>
      <c r="IG3" s="52">
        <v>0</v>
      </c>
      <c r="IH3" s="52">
        <v>0</v>
      </c>
      <c r="II3" s="52">
        <v>0</v>
      </c>
      <c r="IJ3" s="52">
        <v>381</v>
      </c>
      <c r="IK3" s="52">
        <v>433</v>
      </c>
      <c r="IL3" s="52">
        <v>845</v>
      </c>
      <c r="IM3" s="52">
        <v>1162</v>
      </c>
      <c r="IN3" s="52">
        <v>262700</v>
      </c>
      <c r="IO3" s="52">
        <v>265521</v>
      </c>
      <c r="IP3" s="52">
        <v>1185</v>
      </c>
      <c r="IQ3" s="52">
        <v>2475</v>
      </c>
      <c r="IR3" s="52">
        <v>3250</v>
      </c>
      <c r="IS3" s="52">
        <v>8865</v>
      </c>
      <c r="IT3" s="52">
        <v>262811</v>
      </c>
      <c r="IU3" s="52">
        <v>278586</v>
      </c>
      <c r="IV3" s="52">
        <v>340140</v>
      </c>
      <c r="IW3" s="52">
        <v>134665</v>
      </c>
      <c r="IX3" s="52">
        <v>63821</v>
      </c>
      <c r="IY3" s="52">
        <v>276070</v>
      </c>
      <c r="IZ3" s="52">
        <v>1468687</v>
      </c>
      <c r="JA3" s="52">
        <v>2283383</v>
      </c>
      <c r="JB3" s="52">
        <v>6035637</v>
      </c>
      <c r="JC3" s="52">
        <v>2297518</v>
      </c>
      <c r="JD3" s="52">
        <v>1232078</v>
      </c>
      <c r="JE3" s="52">
        <v>7270729</v>
      </c>
      <c r="JF3" s="52">
        <v>8508497</v>
      </c>
      <c r="JG3" s="52">
        <v>25344459</v>
      </c>
      <c r="JH3" s="52">
        <v>0</v>
      </c>
      <c r="JI3" s="53">
        <v>0</v>
      </c>
      <c r="JJ3" s="52">
        <v>0</v>
      </c>
      <c r="JK3" s="52">
        <v>0</v>
      </c>
      <c r="JL3" s="52">
        <v>0</v>
      </c>
      <c r="JM3" s="52">
        <v>0</v>
      </c>
      <c r="JN3" s="52">
        <v>6035637</v>
      </c>
      <c r="JO3" s="52">
        <v>2297518</v>
      </c>
      <c r="JP3" s="52">
        <v>1232078</v>
      </c>
      <c r="JQ3" s="52">
        <v>7270729</v>
      </c>
      <c r="JR3" s="52">
        <v>8508497</v>
      </c>
      <c r="JS3" s="52">
        <v>25344459</v>
      </c>
      <c r="JU3" s="5">
        <f t="shared" ref="JU3:JU12" si="0">SUM(AZ3:BD3)</f>
        <v>1187709</v>
      </c>
      <c r="JV3" s="26">
        <f t="shared" ref="JV3:JV12" si="1">BE3-JU3</f>
        <v>0</v>
      </c>
      <c r="JW3" s="5">
        <f t="shared" ref="JW3:JW12" si="2">SUM(BF3:BJ3)</f>
        <v>17698300</v>
      </c>
      <c r="JX3" s="26">
        <f t="shared" ref="JX3:JX12" si="3">BK3-JW3</f>
        <v>0</v>
      </c>
      <c r="JY3" s="5">
        <f t="shared" ref="JY3:JY12" si="4">SUM(BL3:BP3)</f>
        <v>752500</v>
      </c>
      <c r="JZ3" s="26">
        <f t="shared" ref="JZ3:JZ12" si="5">BQ3-JY3</f>
        <v>0</v>
      </c>
      <c r="KA3" s="5">
        <f t="shared" ref="KA3:KA12" si="6">SUM(BR3:BV3)</f>
        <v>1051880</v>
      </c>
      <c r="KB3" s="26">
        <f t="shared" ref="KB3:KB12" si="7">BW3-KA3</f>
        <v>0</v>
      </c>
      <c r="KC3" s="5">
        <f t="shared" ref="KC3:KC12" si="8">SUM(BX3:CB3)</f>
        <v>0</v>
      </c>
      <c r="KD3" s="26">
        <f t="shared" ref="KD3:KD12" si="9">CC3-KC3</f>
        <v>0</v>
      </c>
      <c r="KE3" s="5">
        <f t="shared" ref="KE3:KE12" si="10">SUM(CD3:CH3)</f>
        <v>15000</v>
      </c>
      <c r="KF3" s="26">
        <f t="shared" ref="KF3:KF12" si="11">CI3-KE3</f>
        <v>0</v>
      </c>
      <c r="KG3" s="5">
        <f t="shared" ref="KG3:KG12" si="12">SUM(CJ3:CN3)</f>
        <v>1643078</v>
      </c>
      <c r="KH3" s="26">
        <f t="shared" ref="KH3:KH12" si="13">CO3-KG3</f>
        <v>0</v>
      </c>
      <c r="KI3" s="5">
        <f t="shared" ref="KI3:KI12" si="14">SUM(CP3:CT3)</f>
        <v>0</v>
      </c>
      <c r="KJ3" s="26">
        <f t="shared" ref="KJ3:KJ12" si="15">CU3-KI3</f>
        <v>0</v>
      </c>
      <c r="KK3" s="5">
        <f t="shared" ref="KK3:KK12" si="16">SUM(CV3:CZ3)</f>
        <v>1312318</v>
      </c>
      <c r="KL3" s="26">
        <f t="shared" ref="KL3:KL12" si="17">DA3-KK3</f>
        <v>0</v>
      </c>
      <c r="KM3" s="5">
        <f t="shared" ref="KM3:KM12" si="18">SUM(DB3:DF3)</f>
        <v>0</v>
      </c>
      <c r="KN3" s="26">
        <f t="shared" ref="KN3:KN12" si="19">DG3-KM3</f>
        <v>0</v>
      </c>
      <c r="KO3" s="5">
        <f t="shared" ref="KO3:KO12" si="20">SUM(DH3:DL3)</f>
        <v>48980</v>
      </c>
      <c r="KP3" s="26">
        <f t="shared" ref="KP3:KP12" si="21">DM3-KO3</f>
        <v>0</v>
      </c>
      <c r="KQ3" s="5">
        <f t="shared" ref="KQ3:KQ12" si="22">SUM(DN3:DR3)</f>
        <v>595764</v>
      </c>
      <c r="KR3" s="26">
        <f t="shared" ref="KR3:KR12" si="23">DS3-KQ3</f>
        <v>0</v>
      </c>
      <c r="KS3" s="5">
        <f t="shared" ref="KS3:KS12" si="24">SUM(DT3:DX3)</f>
        <v>577886</v>
      </c>
      <c r="KT3" s="26">
        <f t="shared" ref="KT3:KT12" si="25">DY3-KS3</f>
        <v>0</v>
      </c>
      <c r="KU3" s="5">
        <f t="shared" ref="KU3:KU12" si="26">SUM(DZ3:ED3)</f>
        <v>163879</v>
      </c>
      <c r="KV3" s="26">
        <f t="shared" ref="KV3:KV12" si="27">EE3-KU3</f>
        <v>0</v>
      </c>
      <c r="KW3" s="5">
        <f t="shared" ref="KW3:KW12" si="28">SUM(EF3:EJ3)</f>
        <v>536436</v>
      </c>
      <c r="KX3" s="26">
        <f t="shared" ref="KX3:KX12" si="29">EK3-KW3</f>
        <v>0</v>
      </c>
      <c r="KY3" s="5">
        <f t="shared" ref="KY3:KY12" si="30">SUM(EL3:EP3)</f>
        <v>25583730</v>
      </c>
      <c r="KZ3" s="26">
        <f t="shared" ref="KZ3:KZ12" si="31">EQ3-KY3</f>
        <v>0</v>
      </c>
      <c r="LA3" s="5">
        <f t="shared" ref="LA3:LA12" si="32">SUM(ER3:EV3)</f>
        <v>5897598</v>
      </c>
      <c r="LB3" s="26">
        <f t="shared" ref="LB3:LB12" si="33">EW3-LA3</f>
        <v>0</v>
      </c>
      <c r="LC3" s="5">
        <f t="shared" ref="LC3:LC12" si="34">SUM(EX3:FB3)</f>
        <v>666805</v>
      </c>
      <c r="LD3" s="26">
        <f t="shared" ref="LD3:LD12" si="35">FC3-LC3</f>
        <v>0</v>
      </c>
      <c r="LE3" s="5">
        <f t="shared" ref="LE3:LE12" si="36">SUM(FD3:FH3)</f>
        <v>4725556</v>
      </c>
      <c r="LF3" s="26">
        <f t="shared" ref="LF3:LF12" si="37">FI3-LE3</f>
        <v>0</v>
      </c>
      <c r="LG3" s="5">
        <f t="shared" ref="LG3:LG12" si="38">SUM(FJ3:FN3)</f>
        <v>0</v>
      </c>
      <c r="LH3" s="26">
        <f t="shared" ref="LH3:LH12" si="39">FO3-LG3</f>
        <v>0</v>
      </c>
      <c r="LI3" s="5">
        <f t="shared" ref="LI3:LI12" si="40">SUM(FP3:FT3)</f>
        <v>4346349</v>
      </c>
      <c r="LJ3" s="26">
        <f t="shared" ref="LJ3:LJ12" si="41">FU3-LI3</f>
        <v>0</v>
      </c>
      <c r="LK3" s="5">
        <f t="shared" ref="LK3:LK12" si="42">SUM(FV3:FZ3)</f>
        <v>0</v>
      </c>
      <c r="LL3" s="26">
        <f t="shared" ref="LL3:LL12" si="43">GA3-LK3</f>
        <v>0</v>
      </c>
      <c r="LM3" s="5">
        <f t="shared" ref="LM3:LM12" si="44">SUM(GB3:GF3)</f>
        <v>0</v>
      </c>
      <c r="LN3" s="26">
        <f t="shared" ref="LN3:LN12" si="45">GG3-LM3</f>
        <v>0</v>
      </c>
      <c r="LO3" s="5">
        <f t="shared" ref="LO3:LO12" si="46">SUM(GH3:GL3)</f>
        <v>491102</v>
      </c>
      <c r="LP3" s="26">
        <f t="shared" ref="LP3:LP12" si="47">GM3-LO3</f>
        <v>0</v>
      </c>
      <c r="LQ3" s="5">
        <f t="shared" ref="LQ3:LQ12" si="48">SUM(GN3:GR3)</f>
        <v>1791325</v>
      </c>
      <c r="LR3" s="26">
        <f t="shared" ref="LR3:LR12" si="49">GS3-LQ3</f>
        <v>0</v>
      </c>
      <c r="LS3" s="5">
        <f t="shared" ref="LS3:LS12" si="50">SUM(GT3:GX3)</f>
        <v>1020420</v>
      </c>
      <c r="LT3" s="26">
        <f t="shared" ref="LT3:LT12" si="51">GY3-LS3</f>
        <v>0</v>
      </c>
      <c r="LU3" s="5">
        <f t="shared" ref="LU3:LU12" si="52">SUM(GZ3:HD3)</f>
        <v>523374</v>
      </c>
      <c r="LV3" s="26">
        <f t="shared" ref="LV3:LV12" si="53">HE3-LU3</f>
        <v>0</v>
      </c>
      <c r="LW3" s="5">
        <f t="shared" ref="LW3:LW12" si="54">SUM(HF3:HJ3)</f>
        <v>430343</v>
      </c>
      <c r="LX3" s="26">
        <f t="shared" ref="LX3:LX12" si="55">HK3-LW3</f>
        <v>0</v>
      </c>
      <c r="LY3" s="5">
        <f t="shared" ref="LY3:LY12" si="56">SUM(HL3:HP3)</f>
        <v>294948</v>
      </c>
      <c r="LZ3" s="26">
        <f t="shared" ref="LZ3:LZ12" si="57">HQ3-LY3</f>
        <v>0</v>
      </c>
      <c r="MA3" s="5">
        <f t="shared" ref="MA3:MA12" si="58">SUM(HR3:HV3)</f>
        <v>2246932</v>
      </c>
      <c r="MB3" s="26">
        <f t="shared" ref="MB3:MB12" si="59">HW3-MA3</f>
        <v>0</v>
      </c>
      <c r="MC3" s="5">
        <f t="shared" ref="MC3:MC12" si="60">SUM(HX3:IB3)</f>
        <v>82217</v>
      </c>
      <c r="MD3" s="26">
        <f t="shared" ref="MD3:MD12" si="61">IC3-MC3</f>
        <v>0</v>
      </c>
      <c r="ME3" s="5">
        <f t="shared" ref="ME3:ME12" si="62">SUM(ID3:IH3)</f>
        <v>0</v>
      </c>
      <c r="MF3" s="26">
        <f t="shared" ref="MF3:MF12" si="63">II3-ME3</f>
        <v>0</v>
      </c>
      <c r="MG3" s="5">
        <f t="shared" ref="MG3:MG12" si="64">SUM(IJ3:IN3)</f>
        <v>265521</v>
      </c>
      <c r="MH3" s="26">
        <f t="shared" ref="MH3:MH12" si="65">IO3-MG3</f>
        <v>0</v>
      </c>
      <c r="MI3" s="5">
        <f t="shared" ref="MI3:MI12" si="66">SUM(IP3:IT3)</f>
        <v>278586</v>
      </c>
      <c r="MJ3" s="26">
        <f t="shared" ref="MJ3:MJ12" si="67">IU3-MI3</f>
        <v>0</v>
      </c>
      <c r="MK3" s="5">
        <f t="shared" ref="MK3:MK12" si="68">SUM(IV3:IZ3)</f>
        <v>2283383</v>
      </c>
      <c r="ML3" s="26">
        <f t="shared" ref="ML3:ML12" si="69">JA3-MK3</f>
        <v>0</v>
      </c>
      <c r="MM3" s="5">
        <f t="shared" ref="MM3:MM12" si="70">SUM(JB3:JF3)</f>
        <v>25344459</v>
      </c>
      <c r="MN3" s="26">
        <f t="shared" ref="MN3:MN12" si="71">JG3-MM3</f>
        <v>0</v>
      </c>
      <c r="MO3" s="5">
        <f t="shared" ref="MO3:MO12" si="72">SUM(JH3:JL3)</f>
        <v>0</v>
      </c>
      <c r="MP3" s="26">
        <f t="shared" ref="MP3:MP12" si="73">JM3-MO3</f>
        <v>0</v>
      </c>
      <c r="MQ3" s="5">
        <f>SUM(JN3:JR3)</f>
        <v>25344459</v>
      </c>
      <c r="MR3" s="26">
        <f>JS3-MQ3</f>
        <v>0</v>
      </c>
      <c r="MT3" s="5">
        <f>JV3+JX3+JZ3+KB3+KD3+KF3+KH3+KJ3+KL3+KN3+KP3+KT3+KV3+KX3+KR3+KZ3+LB3+LD3+LF3+LH3+LJ3+LL3+LN3+LP3+LR3+LV3+LX3+LZ3+LT3+MB3+MD3+MF3+MH3+MJ3+ML3+MN3+MP3+MR3</f>
        <v>0</v>
      </c>
      <c r="MV3" s="4">
        <f>IF(MT3=0,0,1)</f>
        <v>0</v>
      </c>
    </row>
    <row r="4" spans="1:360" x14ac:dyDescent="0.15">
      <c r="A4" s="156" t="s">
        <v>416</v>
      </c>
      <c r="B4" s="25" t="s">
        <v>481</v>
      </c>
      <c r="C4" s="109">
        <v>176017</v>
      </c>
      <c r="D4" s="105">
        <v>2011</v>
      </c>
      <c r="E4" s="106">
        <v>1</v>
      </c>
      <c r="F4" s="107">
        <v>5</v>
      </c>
      <c r="G4" s="107">
        <v>11838</v>
      </c>
      <c r="H4" s="107">
        <v>13046</v>
      </c>
      <c r="I4" s="108">
        <v>709630581</v>
      </c>
      <c r="J4" s="108"/>
      <c r="K4" s="108">
        <v>13317980</v>
      </c>
      <c r="L4" s="108"/>
      <c r="M4" s="108">
        <v>63806915</v>
      </c>
      <c r="N4" s="108"/>
      <c r="O4" s="108">
        <v>107197936</v>
      </c>
      <c r="P4" s="108"/>
      <c r="Q4" s="108">
        <v>616615669</v>
      </c>
      <c r="R4" s="108"/>
      <c r="S4" s="108">
        <v>506917979</v>
      </c>
      <c r="T4" s="108"/>
      <c r="U4" s="108">
        <v>19206</v>
      </c>
      <c r="V4" s="108"/>
      <c r="W4" s="108">
        <v>31806</v>
      </c>
      <c r="X4" s="108"/>
      <c r="Y4" s="108">
        <v>22381</v>
      </c>
      <c r="Z4" s="108"/>
      <c r="AA4" s="108">
        <v>36257</v>
      </c>
      <c r="AB4" s="108"/>
      <c r="AC4" s="130">
        <v>9</v>
      </c>
      <c r="AD4" s="130">
        <v>12</v>
      </c>
      <c r="AE4" s="130">
        <v>0</v>
      </c>
      <c r="AF4" s="26"/>
      <c r="AG4" s="26"/>
      <c r="AH4" s="26">
        <v>1339536</v>
      </c>
      <c r="AI4" s="26">
        <v>354665</v>
      </c>
      <c r="AJ4" s="26">
        <v>1208978</v>
      </c>
      <c r="AK4" s="36">
        <v>6.5</v>
      </c>
      <c r="AL4" s="26">
        <v>1122622.4285714286</v>
      </c>
      <c r="AM4" s="36">
        <v>7</v>
      </c>
      <c r="AN4" s="26">
        <v>201583.78947368421</v>
      </c>
      <c r="AO4" s="36">
        <v>9.5</v>
      </c>
      <c r="AP4" s="26">
        <v>191504.6</v>
      </c>
      <c r="AQ4" s="36">
        <v>10</v>
      </c>
      <c r="AR4" s="26">
        <v>290029.84999999998</v>
      </c>
      <c r="AS4" s="36">
        <v>20</v>
      </c>
      <c r="AT4" s="26">
        <v>263663.5</v>
      </c>
      <c r="AU4" s="36">
        <v>22</v>
      </c>
      <c r="AV4" s="26">
        <v>96073.789473684214</v>
      </c>
      <c r="AW4" s="36">
        <v>19</v>
      </c>
      <c r="AX4" s="26">
        <v>86923.904761904763</v>
      </c>
      <c r="AY4" s="36">
        <v>21</v>
      </c>
      <c r="AZ4" s="54">
        <v>29278884</v>
      </c>
      <c r="BA4" s="54">
        <v>1653456</v>
      </c>
      <c r="BB4" s="54">
        <v>22486</v>
      </c>
      <c r="BC4" s="54">
        <v>757629</v>
      </c>
      <c r="BD4" s="54">
        <v>0</v>
      </c>
      <c r="BE4" s="54">
        <v>31712455</v>
      </c>
      <c r="BF4" s="54">
        <v>0</v>
      </c>
      <c r="BG4" s="54">
        <v>0</v>
      </c>
      <c r="BH4" s="54">
        <v>0</v>
      </c>
      <c r="BI4" s="54">
        <v>0</v>
      </c>
      <c r="BJ4" s="54">
        <v>0</v>
      </c>
      <c r="BK4" s="54">
        <v>0</v>
      </c>
      <c r="BL4" s="54">
        <v>200000</v>
      </c>
      <c r="BM4" s="54">
        <v>20000</v>
      </c>
      <c r="BN4" s="54">
        <v>0</v>
      </c>
      <c r="BO4" s="54">
        <v>34500</v>
      </c>
      <c r="BP4" s="54">
        <v>0</v>
      </c>
      <c r="BQ4" s="54">
        <v>254500</v>
      </c>
      <c r="BR4" s="54">
        <v>18458891</v>
      </c>
      <c r="BS4" s="54">
        <v>603401</v>
      </c>
      <c r="BT4" s="54">
        <v>0</v>
      </c>
      <c r="BU4" s="54">
        <v>471706</v>
      </c>
      <c r="BV4" s="54">
        <v>10548103</v>
      </c>
      <c r="BW4" s="54">
        <v>30082101</v>
      </c>
      <c r="BX4" s="54">
        <v>227823</v>
      </c>
      <c r="BY4" s="54">
        <v>48084</v>
      </c>
      <c r="BZ4" s="54">
        <v>2700</v>
      </c>
      <c r="CA4" s="54">
        <v>217786</v>
      </c>
      <c r="CB4" s="54">
        <v>91790</v>
      </c>
      <c r="CC4" s="54">
        <v>588183</v>
      </c>
      <c r="CD4" s="54">
        <v>0</v>
      </c>
      <c r="CE4" s="54">
        <v>0</v>
      </c>
      <c r="CF4" s="54">
        <v>0</v>
      </c>
      <c r="CG4" s="54">
        <v>0</v>
      </c>
      <c r="CH4" s="54">
        <v>0</v>
      </c>
      <c r="CI4" s="54">
        <v>0</v>
      </c>
      <c r="CJ4" s="54">
        <v>0</v>
      </c>
      <c r="CK4" s="54">
        <v>0</v>
      </c>
      <c r="CL4" s="54">
        <v>300232</v>
      </c>
      <c r="CM4" s="54">
        <v>4935068</v>
      </c>
      <c r="CN4" s="54">
        <v>0</v>
      </c>
      <c r="CO4" s="54">
        <v>5235300</v>
      </c>
      <c r="CP4" s="54">
        <v>0</v>
      </c>
      <c r="CQ4" s="54">
        <v>0</v>
      </c>
      <c r="CR4" s="54">
        <v>0</v>
      </c>
      <c r="CS4" s="54">
        <v>0</v>
      </c>
      <c r="CT4" s="54">
        <v>0</v>
      </c>
      <c r="CU4" s="54">
        <v>0</v>
      </c>
      <c r="CV4" s="54">
        <v>15749103</v>
      </c>
      <c r="CW4" s="54">
        <v>5291386</v>
      </c>
      <c r="CX4" s="54">
        <v>10710</v>
      </c>
      <c r="CY4" s="54">
        <v>19834</v>
      </c>
      <c r="CZ4" s="54">
        <v>272834</v>
      </c>
      <c r="DA4" s="54">
        <v>21343867</v>
      </c>
      <c r="DB4" s="54">
        <v>5680302</v>
      </c>
      <c r="DC4" s="54">
        <v>2797760</v>
      </c>
      <c r="DD4" s="54">
        <v>0</v>
      </c>
      <c r="DE4" s="54">
        <v>0</v>
      </c>
      <c r="DF4" s="54">
        <v>102805</v>
      </c>
      <c r="DG4" s="54">
        <v>8580867</v>
      </c>
      <c r="DH4" s="54">
        <v>72714</v>
      </c>
      <c r="DI4" s="54">
        <v>38584</v>
      </c>
      <c r="DJ4" s="54">
        <v>53</v>
      </c>
      <c r="DK4" s="54">
        <v>380</v>
      </c>
      <c r="DL4" s="54">
        <v>0</v>
      </c>
      <c r="DM4" s="54">
        <v>111731</v>
      </c>
      <c r="DN4" s="54">
        <v>546574</v>
      </c>
      <c r="DO4" s="54">
        <v>269208</v>
      </c>
      <c r="DP4" s="54">
        <v>0</v>
      </c>
      <c r="DQ4" s="54">
        <v>6106697</v>
      </c>
      <c r="DR4" s="54">
        <v>818419</v>
      </c>
      <c r="DS4" s="54">
        <v>7740898</v>
      </c>
      <c r="DT4" s="54">
        <v>0</v>
      </c>
      <c r="DU4" s="54">
        <v>0</v>
      </c>
      <c r="DV4" s="54">
        <v>86941</v>
      </c>
      <c r="DW4" s="54">
        <v>48615</v>
      </c>
      <c r="DX4" s="54">
        <v>818419</v>
      </c>
      <c r="DY4" s="54">
        <v>953975</v>
      </c>
      <c r="DZ4" s="54">
        <v>105012</v>
      </c>
      <c r="EA4" s="54">
        <v>12419</v>
      </c>
      <c r="EB4" s="54">
        <v>2320</v>
      </c>
      <c r="EC4" s="54">
        <v>49431</v>
      </c>
      <c r="ED4" s="54">
        <v>6845726</v>
      </c>
      <c r="EE4" s="54">
        <v>7014908</v>
      </c>
      <c r="EF4" s="54">
        <v>7965792</v>
      </c>
      <c r="EG4" s="54">
        <v>547147</v>
      </c>
      <c r="EH4" s="54">
        <v>22575</v>
      </c>
      <c r="EI4" s="54">
        <v>185951</v>
      </c>
      <c r="EJ4" s="54">
        <v>2158366</v>
      </c>
      <c r="EK4" s="54">
        <v>10879831</v>
      </c>
      <c r="EL4" s="54">
        <v>78285095</v>
      </c>
      <c r="EM4" s="54">
        <v>11281445</v>
      </c>
      <c r="EN4" s="54">
        <v>448017</v>
      </c>
      <c r="EO4" s="54">
        <v>6750900</v>
      </c>
      <c r="EP4" s="54">
        <v>27733159</v>
      </c>
      <c r="EQ4" s="54">
        <v>124498616</v>
      </c>
      <c r="ER4" s="54">
        <v>3089583</v>
      </c>
      <c r="ES4" s="54">
        <v>464261</v>
      </c>
      <c r="ET4" s="54">
        <v>495887</v>
      </c>
      <c r="EU4" s="54">
        <v>5740487</v>
      </c>
      <c r="EV4" s="54">
        <v>2141529</v>
      </c>
      <c r="EW4" s="54">
        <v>11931747</v>
      </c>
      <c r="EX4" s="54">
        <v>1535000</v>
      </c>
      <c r="EY4" s="54">
        <v>614255</v>
      </c>
      <c r="EZ4" s="54">
        <v>66000</v>
      </c>
      <c r="FA4" s="54">
        <v>39374</v>
      </c>
      <c r="FB4" s="54">
        <v>0</v>
      </c>
      <c r="FC4" s="54">
        <v>2254629</v>
      </c>
      <c r="FD4" s="54">
        <v>9473565</v>
      </c>
      <c r="FE4" s="54">
        <v>2553787</v>
      </c>
      <c r="FF4" s="54">
        <v>743457</v>
      </c>
      <c r="FG4" s="54">
        <v>4628593</v>
      </c>
      <c r="FH4" s="54">
        <v>0</v>
      </c>
      <c r="FI4" s="54">
        <v>17399402</v>
      </c>
      <c r="FJ4" s="54">
        <v>184037</v>
      </c>
      <c r="FK4" s="54">
        <v>45583</v>
      </c>
      <c r="FL4" s="54">
        <v>2700</v>
      </c>
      <c r="FM4" s="54">
        <v>214088</v>
      </c>
      <c r="FN4" s="54">
        <v>0</v>
      </c>
      <c r="FO4" s="54">
        <v>446408</v>
      </c>
      <c r="FP4" s="54">
        <v>1779029</v>
      </c>
      <c r="FQ4" s="54">
        <v>247549</v>
      </c>
      <c r="FR4" s="54">
        <v>219199</v>
      </c>
      <c r="FS4" s="54">
        <v>671147</v>
      </c>
      <c r="FT4" s="54">
        <v>15232984</v>
      </c>
      <c r="FU4" s="54">
        <v>18149908</v>
      </c>
      <c r="FV4" s="54">
        <v>43785</v>
      </c>
      <c r="FW4" s="54">
        <v>2500</v>
      </c>
      <c r="FX4" s="54">
        <v>0</v>
      </c>
      <c r="FY4" s="54">
        <v>3700</v>
      </c>
      <c r="FZ4" s="54">
        <v>91790</v>
      </c>
      <c r="GA4" s="54">
        <v>141775</v>
      </c>
      <c r="GB4" s="54">
        <v>603021</v>
      </c>
      <c r="GC4" s="54">
        <v>702692</v>
      </c>
      <c r="GD4" s="54">
        <v>5539</v>
      </c>
      <c r="GE4" s="54">
        <v>70506</v>
      </c>
      <c r="GF4" s="54">
        <v>49142</v>
      </c>
      <c r="GG4" s="54">
        <v>1430900</v>
      </c>
      <c r="GH4" s="54">
        <v>980882</v>
      </c>
      <c r="GI4" s="54">
        <v>230522</v>
      </c>
      <c r="GJ4" s="54">
        <v>88526</v>
      </c>
      <c r="GK4" s="54">
        <v>394271</v>
      </c>
      <c r="GL4" s="54">
        <v>0</v>
      </c>
      <c r="GM4" s="54">
        <v>1694201</v>
      </c>
      <c r="GN4" s="54">
        <v>2325717</v>
      </c>
      <c r="GO4" s="54">
        <v>703804</v>
      </c>
      <c r="GP4" s="54">
        <v>474165</v>
      </c>
      <c r="GQ4" s="54">
        <v>2238852</v>
      </c>
      <c r="GR4" s="54">
        <v>0</v>
      </c>
      <c r="GS4" s="54">
        <v>5742538</v>
      </c>
      <c r="GT4" s="54">
        <v>1205902</v>
      </c>
      <c r="GU4" s="54">
        <v>43929</v>
      </c>
      <c r="GV4" s="54">
        <v>53541</v>
      </c>
      <c r="GW4" s="54">
        <v>532189</v>
      </c>
      <c r="GX4" s="54">
        <v>0</v>
      </c>
      <c r="GY4" s="54">
        <v>1835561</v>
      </c>
      <c r="GZ4" s="54">
        <v>1933734</v>
      </c>
      <c r="HA4" s="54">
        <v>290527</v>
      </c>
      <c r="HB4" s="54">
        <v>147177</v>
      </c>
      <c r="HC4" s="54">
        <v>450879</v>
      </c>
      <c r="HD4" s="54">
        <v>0</v>
      </c>
      <c r="HE4" s="54">
        <v>2822317</v>
      </c>
      <c r="HF4" s="54">
        <v>3731136</v>
      </c>
      <c r="HG4" s="54">
        <v>190733</v>
      </c>
      <c r="HH4" s="54">
        <v>39234</v>
      </c>
      <c r="HI4" s="54">
        <v>167718</v>
      </c>
      <c r="HJ4" s="54">
        <v>1555827</v>
      </c>
      <c r="HK4" s="54">
        <v>5684648</v>
      </c>
      <c r="HL4" s="54">
        <v>0</v>
      </c>
      <c r="HM4" s="54">
        <v>0</v>
      </c>
      <c r="HN4" s="54">
        <v>58558</v>
      </c>
      <c r="HO4" s="54">
        <v>30709</v>
      </c>
      <c r="HP4" s="54">
        <v>535588</v>
      </c>
      <c r="HQ4" s="54">
        <v>624855</v>
      </c>
      <c r="HR4" s="54">
        <v>2099541</v>
      </c>
      <c r="HS4" s="54">
        <v>221775</v>
      </c>
      <c r="HT4" s="54">
        <v>26183</v>
      </c>
      <c r="HU4" s="54">
        <v>364680</v>
      </c>
      <c r="HV4" s="54">
        <v>21873028</v>
      </c>
      <c r="HW4" s="54">
        <v>24585207</v>
      </c>
      <c r="HX4" s="54">
        <v>260543</v>
      </c>
      <c r="HY4" s="54">
        <v>130638</v>
      </c>
      <c r="HZ4" s="54">
        <v>69383</v>
      </c>
      <c r="IA4" s="54">
        <v>150787</v>
      </c>
      <c r="IB4" s="54">
        <v>0</v>
      </c>
      <c r="IC4" s="54">
        <v>611351</v>
      </c>
      <c r="ID4" s="54">
        <v>0</v>
      </c>
      <c r="IE4" s="54">
        <v>0</v>
      </c>
      <c r="IF4" s="54">
        <v>0</v>
      </c>
      <c r="IG4" s="54">
        <v>0</v>
      </c>
      <c r="IH4" s="54">
        <v>0</v>
      </c>
      <c r="II4" s="54">
        <v>0</v>
      </c>
      <c r="IJ4" s="54">
        <v>920211</v>
      </c>
      <c r="IK4" s="54">
        <v>94601</v>
      </c>
      <c r="IL4" s="54">
        <v>83860</v>
      </c>
      <c r="IM4" s="54">
        <v>859490</v>
      </c>
      <c r="IN4" s="54">
        <v>0</v>
      </c>
      <c r="IO4" s="54">
        <v>1958162</v>
      </c>
      <c r="IP4" s="54">
        <v>3149</v>
      </c>
      <c r="IQ4" s="54">
        <v>1224</v>
      </c>
      <c r="IR4" s="54">
        <v>1295</v>
      </c>
      <c r="IS4" s="54">
        <v>10745</v>
      </c>
      <c r="IT4" s="54">
        <v>75705</v>
      </c>
      <c r="IU4" s="54">
        <v>92118</v>
      </c>
      <c r="IV4" s="54">
        <v>1639045</v>
      </c>
      <c r="IW4" s="54">
        <v>313603</v>
      </c>
      <c r="IX4" s="54">
        <v>113711</v>
      </c>
      <c r="IY4" s="54">
        <v>549070</v>
      </c>
      <c r="IZ4" s="54">
        <v>5046996</v>
      </c>
      <c r="JA4" s="54">
        <v>7662425</v>
      </c>
      <c r="JB4" s="54">
        <v>31807880</v>
      </c>
      <c r="JC4" s="54">
        <v>6851983</v>
      </c>
      <c r="JD4" s="54">
        <v>2688415</v>
      </c>
      <c r="JE4" s="54">
        <v>17117285</v>
      </c>
      <c r="JF4" s="54">
        <v>46602589</v>
      </c>
      <c r="JG4" s="54">
        <v>105068152</v>
      </c>
      <c r="JH4" s="54">
        <v>0</v>
      </c>
      <c r="JI4" s="54">
        <v>0</v>
      </c>
      <c r="JJ4" s="54">
        <v>0</v>
      </c>
      <c r="JK4" s="54">
        <v>0</v>
      </c>
      <c r="JL4" s="54">
        <v>5468879</v>
      </c>
      <c r="JM4" s="54">
        <v>5468879</v>
      </c>
      <c r="JN4" s="54">
        <v>31807880</v>
      </c>
      <c r="JO4" s="54">
        <v>6851983</v>
      </c>
      <c r="JP4" s="54">
        <v>2688415</v>
      </c>
      <c r="JQ4" s="54">
        <v>17117285</v>
      </c>
      <c r="JR4" s="54">
        <v>52071468</v>
      </c>
      <c r="JS4" s="54">
        <v>110537031</v>
      </c>
      <c r="JU4" s="5">
        <f t="shared" si="0"/>
        <v>31712455</v>
      </c>
      <c r="JV4" s="26">
        <f t="shared" si="1"/>
        <v>0</v>
      </c>
      <c r="JW4" s="5">
        <f t="shared" si="2"/>
        <v>0</v>
      </c>
      <c r="JX4" s="26">
        <f t="shared" si="3"/>
        <v>0</v>
      </c>
      <c r="JY4" s="5">
        <f t="shared" si="4"/>
        <v>254500</v>
      </c>
      <c r="JZ4" s="26">
        <f t="shared" si="5"/>
        <v>0</v>
      </c>
      <c r="KA4" s="5">
        <f t="shared" si="6"/>
        <v>30082101</v>
      </c>
      <c r="KB4" s="26">
        <f t="shared" si="7"/>
        <v>0</v>
      </c>
      <c r="KC4" s="5">
        <f t="shared" si="8"/>
        <v>588183</v>
      </c>
      <c r="KD4" s="26">
        <f t="shared" si="9"/>
        <v>0</v>
      </c>
      <c r="KE4" s="5">
        <f t="shared" si="10"/>
        <v>0</v>
      </c>
      <c r="KF4" s="26">
        <f t="shared" si="11"/>
        <v>0</v>
      </c>
      <c r="KG4" s="5">
        <f t="shared" si="12"/>
        <v>5235300</v>
      </c>
      <c r="KH4" s="26">
        <f t="shared" si="13"/>
        <v>0</v>
      </c>
      <c r="KI4" s="5">
        <f t="shared" si="14"/>
        <v>0</v>
      </c>
      <c r="KJ4" s="26">
        <f t="shared" si="15"/>
        <v>0</v>
      </c>
      <c r="KK4" s="5">
        <f t="shared" si="16"/>
        <v>21343867</v>
      </c>
      <c r="KL4" s="26">
        <f t="shared" si="17"/>
        <v>0</v>
      </c>
      <c r="KM4" s="5">
        <f t="shared" si="18"/>
        <v>8580867</v>
      </c>
      <c r="KN4" s="26">
        <f t="shared" si="19"/>
        <v>0</v>
      </c>
      <c r="KO4" s="5">
        <f t="shared" si="20"/>
        <v>111731</v>
      </c>
      <c r="KP4" s="26">
        <f t="shared" si="21"/>
        <v>0</v>
      </c>
      <c r="KQ4" s="5">
        <f t="shared" si="22"/>
        <v>7740898</v>
      </c>
      <c r="KR4" s="26">
        <f t="shared" si="23"/>
        <v>0</v>
      </c>
      <c r="KS4" s="5">
        <f t="shared" si="24"/>
        <v>953975</v>
      </c>
      <c r="KT4" s="26">
        <f t="shared" si="25"/>
        <v>0</v>
      </c>
      <c r="KU4" s="5">
        <f t="shared" si="26"/>
        <v>7014908</v>
      </c>
      <c r="KV4" s="26">
        <f t="shared" si="27"/>
        <v>0</v>
      </c>
      <c r="KW4" s="5">
        <f t="shared" si="28"/>
        <v>10879831</v>
      </c>
      <c r="KX4" s="26">
        <f t="shared" si="29"/>
        <v>0</v>
      </c>
      <c r="KY4" s="5">
        <f t="shared" si="30"/>
        <v>124498616</v>
      </c>
      <c r="KZ4" s="26">
        <f t="shared" si="31"/>
        <v>0</v>
      </c>
      <c r="LA4" s="5">
        <f t="shared" si="32"/>
        <v>11931747</v>
      </c>
      <c r="LB4" s="26">
        <f t="shared" si="33"/>
        <v>0</v>
      </c>
      <c r="LC4" s="5">
        <f t="shared" si="34"/>
        <v>2254629</v>
      </c>
      <c r="LD4" s="26">
        <f t="shared" si="35"/>
        <v>0</v>
      </c>
      <c r="LE4" s="5">
        <f t="shared" si="36"/>
        <v>17399402</v>
      </c>
      <c r="LF4" s="26">
        <f t="shared" si="37"/>
        <v>0</v>
      </c>
      <c r="LG4" s="5">
        <f t="shared" si="38"/>
        <v>446408</v>
      </c>
      <c r="LH4" s="26">
        <f t="shared" si="39"/>
        <v>0</v>
      </c>
      <c r="LI4" s="5">
        <f t="shared" si="40"/>
        <v>18149908</v>
      </c>
      <c r="LJ4" s="26">
        <f t="shared" si="41"/>
        <v>0</v>
      </c>
      <c r="LK4" s="5">
        <f t="shared" si="42"/>
        <v>141775</v>
      </c>
      <c r="LL4" s="26">
        <f t="shared" si="43"/>
        <v>0</v>
      </c>
      <c r="LM4" s="5">
        <f t="shared" si="44"/>
        <v>1430900</v>
      </c>
      <c r="LN4" s="26">
        <f t="shared" si="45"/>
        <v>0</v>
      </c>
      <c r="LO4" s="5">
        <f t="shared" si="46"/>
        <v>1694201</v>
      </c>
      <c r="LP4" s="26">
        <f t="shared" si="47"/>
        <v>0</v>
      </c>
      <c r="LQ4" s="5">
        <f t="shared" si="48"/>
        <v>5742538</v>
      </c>
      <c r="LR4" s="26">
        <f t="shared" si="49"/>
        <v>0</v>
      </c>
      <c r="LS4" s="5">
        <f t="shared" si="50"/>
        <v>1835561</v>
      </c>
      <c r="LT4" s="26">
        <f t="shared" si="51"/>
        <v>0</v>
      </c>
      <c r="LU4" s="5">
        <f t="shared" si="52"/>
        <v>2822317</v>
      </c>
      <c r="LV4" s="26">
        <f t="shared" si="53"/>
        <v>0</v>
      </c>
      <c r="LW4" s="5">
        <f t="shared" si="54"/>
        <v>5684648</v>
      </c>
      <c r="LX4" s="26">
        <f t="shared" si="55"/>
        <v>0</v>
      </c>
      <c r="LY4" s="5">
        <f t="shared" si="56"/>
        <v>624855</v>
      </c>
      <c r="LZ4" s="26">
        <f t="shared" si="57"/>
        <v>0</v>
      </c>
      <c r="MA4" s="5">
        <f t="shared" si="58"/>
        <v>24585207</v>
      </c>
      <c r="MB4" s="26">
        <f t="shared" si="59"/>
        <v>0</v>
      </c>
      <c r="MC4" s="5">
        <f t="shared" si="60"/>
        <v>611351</v>
      </c>
      <c r="MD4" s="26">
        <f t="shared" si="61"/>
        <v>0</v>
      </c>
      <c r="ME4" s="5">
        <f t="shared" si="62"/>
        <v>0</v>
      </c>
      <c r="MF4" s="26">
        <f t="shared" si="63"/>
        <v>0</v>
      </c>
      <c r="MG4" s="5">
        <f t="shared" si="64"/>
        <v>1958162</v>
      </c>
      <c r="MH4" s="26">
        <f t="shared" si="65"/>
        <v>0</v>
      </c>
      <c r="MI4" s="5">
        <f t="shared" si="66"/>
        <v>92118</v>
      </c>
      <c r="MJ4" s="26">
        <f t="shared" si="67"/>
        <v>0</v>
      </c>
      <c r="MK4" s="5">
        <f t="shared" si="68"/>
        <v>7662425</v>
      </c>
      <c r="ML4" s="26">
        <f t="shared" si="69"/>
        <v>0</v>
      </c>
      <c r="MM4" s="5">
        <f t="shared" si="70"/>
        <v>105068152</v>
      </c>
      <c r="MN4" s="26">
        <f t="shared" si="71"/>
        <v>0</v>
      </c>
      <c r="MO4" s="5">
        <f t="shared" si="72"/>
        <v>5468879</v>
      </c>
      <c r="MP4" s="26">
        <f t="shared" si="73"/>
        <v>0</v>
      </c>
      <c r="MQ4" s="5">
        <f t="shared" ref="MQ4:MQ12" si="74">SUM(JN4:JR4)</f>
        <v>110537031</v>
      </c>
      <c r="MR4" s="26">
        <f t="shared" ref="MR4:MR12" si="75">JS4-MQ4</f>
        <v>0</v>
      </c>
      <c r="MT4" s="5">
        <f t="shared" ref="MT4:MT67" si="76">JV4+JX4+JZ4+KB4+KD4+KF4+KH4+KJ4+KL4+KN4+KP4+KT4+KV4+KX4+KR4+KZ4+LB4+LD4+LF4+LH4+LJ4+LL4+LN4+LP4+LR4+LV4+LX4+LZ4+LT4+MB4+MD4+MF4+MH4+MJ4+ML4+MN4+MP4+MR4</f>
        <v>0</v>
      </c>
      <c r="MV4" s="4">
        <f t="shared" ref="MV4:MV67" si="77">IF(MT4=0,0,1)</f>
        <v>0</v>
      </c>
    </row>
    <row r="5" spans="1:360" x14ac:dyDescent="0.15">
      <c r="A5" s="157" t="s">
        <v>512</v>
      </c>
      <c r="B5" s="25" t="s">
        <v>407</v>
      </c>
      <c r="C5" s="105">
        <v>176080</v>
      </c>
      <c r="D5" s="105">
        <v>2011</v>
      </c>
      <c r="E5" s="106">
        <v>1</v>
      </c>
      <c r="F5" s="106">
        <v>8</v>
      </c>
      <c r="G5" s="107">
        <v>3321</v>
      </c>
      <c r="H5" s="107">
        <v>4645</v>
      </c>
      <c r="I5" s="108">
        <v>1003623840</v>
      </c>
      <c r="J5" s="108"/>
      <c r="K5" s="108">
        <v>0</v>
      </c>
      <c r="L5" s="108"/>
      <c r="M5" s="108">
        <v>15219892</v>
      </c>
      <c r="N5" s="108"/>
      <c r="O5" s="108">
        <v>0</v>
      </c>
      <c r="P5" s="108"/>
      <c r="Q5" s="108">
        <v>290543607</v>
      </c>
      <c r="R5" s="108"/>
      <c r="S5" s="108">
        <v>849773486</v>
      </c>
      <c r="T5" s="108"/>
      <c r="U5" s="108">
        <v>16378</v>
      </c>
      <c r="V5" s="108"/>
      <c r="W5" s="108">
        <v>23708</v>
      </c>
      <c r="X5" s="108"/>
      <c r="Y5" s="108">
        <v>21228</v>
      </c>
      <c r="Z5" s="108"/>
      <c r="AA5" s="108">
        <v>28983</v>
      </c>
      <c r="AB5" s="108"/>
      <c r="AC5" s="129">
        <v>6</v>
      </c>
      <c r="AD5" s="129">
        <v>13</v>
      </c>
      <c r="AE5" s="129">
        <v>0</v>
      </c>
      <c r="AF5" s="26">
        <v>3561933</v>
      </c>
      <c r="AG5" s="26">
        <v>2301299</v>
      </c>
      <c r="AH5" s="26">
        <v>234669</v>
      </c>
      <c r="AI5" s="26">
        <v>178434</v>
      </c>
      <c r="AJ5" s="26">
        <v>290147</v>
      </c>
      <c r="AK5" s="36">
        <v>6</v>
      </c>
      <c r="AL5" s="26">
        <v>290147</v>
      </c>
      <c r="AM5" s="36">
        <v>6</v>
      </c>
      <c r="AN5" s="26">
        <v>95241</v>
      </c>
      <c r="AO5" s="36">
        <v>8</v>
      </c>
      <c r="AP5" s="26">
        <v>80765</v>
      </c>
      <c r="AQ5" s="36">
        <v>10</v>
      </c>
      <c r="AR5" s="26">
        <v>149256</v>
      </c>
      <c r="AS5" s="36">
        <v>17</v>
      </c>
      <c r="AT5" s="26">
        <v>140964</v>
      </c>
      <c r="AU5" s="36">
        <v>18</v>
      </c>
      <c r="AV5" s="26">
        <v>65276</v>
      </c>
      <c r="AW5" s="36">
        <v>11</v>
      </c>
      <c r="AX5" s="26">
        <v>61740</v>
      </c>
      <c r="AY5" s="36">
        <v>12</v>
      </c>
      <c r="AZ5" s="54">
        <v>503223</v>
      </c>
      <c r="BA5" s="54">
        <v>599448</v>
      </c>
      <c r="BB5" s="54">
        <v>4514</v>
      </c>
      <c r="BC5" s="54">
        <v>27099</v>
      </c>
      <c r="BD5" s="54">
        <v>0</v>
      </c>
      <c r="BE5" s="54">
        <v>1134284</v>
      </c>
      <c r="BF5" s="54">
        <v>0</v>
      </c>
      <c r="BG5" s="54">
        <v>0</v>
      </c>
      <c r="BH5" s="54">
        <v>0</v>
      </c>
      <c r="BI5" s="54">
        <v>0</v>
      </c>
      <c r="BJ5" s="54">
        <v>3826530</v>
      </c>
      <c r="BK5" s="54">
        <v>3826530</v>
      </c>
      <c r="BL5" s="54">
        <v>950000</v>
      </c>
      <c r="BM5" s="54">
        <v>160000</v>
      </c>
      <c r="BN5" s="54">
        <v>31000</v>
      </c>
      <c r="BO5" s="54">
        <v>14800</v>
      </c>
      <c r="BP5" s="54">
        <v>0</v>
      </c>
      <c r="BQ5" s="54">
        <v>1155800</v>
      </c>
      <c r="BR5" s="54">
        <v>1213523</v>
      </c>
      <c r="BS5" s="54">
        <v>642981</v>
      </c>
      <c r="BT5" s="54">
        <v>108927</v>
      </c>
      <c r="BU5" s="54">
        <v>299740</v>
      </c>
      <c r="BV5" s="54">
        <v>427454</v>
      </c>
      <c r="BW5" s="54">
        <v>2692625</v>
      </c>
      <c r="BX5" s="54">
        <v>0</v>
      </c>
      <c r="BY5" s="54">
        <v>0</v>
      </c>
      <c r="BZ5" s="54">
        <v>0</v>
      </c>
      <c r="CA5" s="54">
        <v>0</v>
      </c>
      <c r="CB5" s="54">
        <v>0</v>
      </c>
      <c r="CC5" s="54">
        <v>0</v>
      </c>
      <c r="CD5" s="54">
        <v>0</v>
      </c>
      <c r="CE5" s="54">
        <v>0</v>
      </c>
      <c r="CF5" s="54">
        <v>0</v>
      </c>
      <c r="CG5" s="54">
        <v>0</v>
      </c>
      <c r="CH5" s="54">
        <v>0</v>
      </c>
      <c r="CI5" s="54">
        <v>0</v>
      </c>
      <c r="CJ5" s="54">
        <v>2978026</v>
      </c>
      <c r="CK5" s="54">
        <v>316637</v>
      </c>
      <c r="CL5" s="54">
        <v>1478070</v>
      </c>
      <c r="CM5" s="54">
        <v>6040791</v>
      </c>
      <c r="CN5" s="54">
        <v>1662276</v>
      </c>
      <c r="CO5" s="54">
        <v>12475800</v>
      </c>
      <c r="CP5" s="54">
        <v>11605</v>
      </c>
      <c r="CQ5" s="54">
        <v>0</v>
      </c>
      <c r="CR5" s="54">
        <v>0</v>
      </c>
      <c r="CS5" s="54">
        <v>23724</v>
      </c>
      <c r="CT5" s="54">
        <v>286476</v>
      </c>
      <c r="CU5" s="54">
        <v>321805</v>
      </c>
      <c r="CV5" s="54">
        <v>1098866</v>
      </c>
      <c r="CW5" s="54">
        <v>905579</v>
      </c>
      <c r="CX5" s="54">
        <v>10000</v>
      </c>
      <c r="CY5" s="54">
        <v>6250</v>
      </c>
      <c r="CZ5" s="54">
        <v>1024499</v>
      </c>
      <c r="DA5" s="54">
        <v>3045194</v>
      </c>
      <c r="DB5" s="54">
        <v>0</v>
      </c>
      <c r="DC5" s="54">
        <v>0</v>
      </c>
      <c r="DD5" s="54">
        <v>0</v>
      </c>
      <c r="DE5" s="54">
        <v>0</v>
      </c>
      <c r="DF5" s="54">
        <v>0</v>
      </c>
      <c r="DG5" s="54">
        <v>0</v>
      </c>
      <c r="DH5" s="54">
        <v>0</v>
      </c>
      <c r="DI5" s="54">
        <v>0</v>
      </c>
      <c r="DJ5" s="54">
        <v>0</v>
      </c>
      <c r="DK5" s="54">
        <v>0</v>
      </c>
      <c r="DL5" s="54">
        <v>1985</v>
      </c>
      <c r="DM5" s="54">
        <v>1985</v>
      </c>
      <c r="DN5" s="54">
        <v>215183</v>
      </c>
      <c r="DO5" s="54">
        <v>322775</v>
      </c>
      <c r="DP5" s="54">
        <v>0</v>
      </c>
      <c r="DQ5" s="54">
        <v>0</v>
      </c>
      <c r="DR5" s="54">
        <v>339700</v>
      </c>
      <c r="DS5" s="54">
        <v>877658</v>
      </c>
      <c r="DT5" s="54">
        <v>0</v>
      </c>
      <c r="DU5" s="54">
        <v>0</v>
      </c>
      <c r="DV5" s="54">
        <v>0</v>
      </c>
      <c r="DW5" s="54">
        <v>0</v>
      </c>
      <c r="DX5" s="54">
        <v>0</v>
      </c>
      <c r="DY5" s="54">
        <v>0</v>
      </c>
      <c r="DZ5" s="54">
        <v>2783</v>
      </c>
      <c r="EA5" s="54">
        <v>3188</v>
      </c>
      <c r="EB5" s="54">
        <v>1528</v>
      </c>
      <c r="EC5" s="54">
        <v>4365</v>
      </c>
      <c r="ED5" s="54">
        <v>20232</v>
      </c>
      <c r="EE5" s="54">
        <v>32096</v>
      </c>
      <c r="EF5" s="54">
        <v>101</v>
      </c>
      <c r="EG5" s="54">
        <v>0</v>
      </c>
      <c r="EH5" s="54">
        <v>0</v>
      </c>
      <c r="EI5" s="54">
        <v>0</v>
      </c>
      <c r="EJ5" s="54">
        <v>126170</v>
      </c>
      <c r="EK5" s="54">
        <v>126271</v>
      </c>
      <c r="EL5" s="54">
        <v>6973310</v>
      </c>
      <c r="EM5" s="54">
        <v>2950608</v>
      </c>
      <c r="EN5" s="54">
        <v>1634039</v>
      </c>
      <c r="EO5" s="54">
        <v>6416769</v>
      </c>
      <c r="EP5" s="54">
        <v>7715322</v>
      </c>
      <c r="EQ5" s="54">
        <v>25690048</v>
      </c>
      <c r="ER5" s="54">
        <v>2333301</v>
      </c>
      <c r="ES5" s="54">
        <v>340584</v>
      </c>
      <c r="ET5" s="54">
        <v>386150</v>
      </c>
      <c r="EU5" s="54">
        <v>2803197</v>
      </c>
      <c r="EV5" s="54">
        <v>194240</v>
      </c>
      <c r="EW5" s="54">
        <v>6057472</v>
      </c>
      <c r="EX5" s="54">
        <v>352000</v>
      </c>
      <c r="EY5" s="54">
        <v>197854</v>
      </c>
      <c r="EZ5" s="54">
        <v>26247</v>
      </c>
      <c r="FA5" s="54">
        <v>41432</v>
      </c>
      <c r="FB5" s="54">
        <v>1800</v>
      </c>
      <c r="FC5" s="54">
        <v>619333</v>
      </c>
      <c r="FD5" s="54">
        <v>2174244</v>
      </c>
      <c r="FE5" s="54">
        <v>1433379</v>
      </c>
      <c r="FF5" s="54">
        <v>550696</v>
      </c>
      <c r="FG5" s="54">
        <v>1668475</v>
      </c>
      <c r="FH5" s="54">
        <v>0</v>
      </c>
      <c r="FI5" s="54">
        <v>5826794</v>
      </c>
      <c r="FJ5" s="54">
        <v>0</v>
      </c>
      <c r="FK5" s="54">
        <v>0</v>
      </c>
      <c r="FL5" s="54">
        <v>0</v>
      </c>
      <c r="FM5" s="54">
        <v>0</v>
      </c>
      <c r="FN5" s="54">
        <v>0</v>
      </c>
      <c r="FO5" s="54">
        <v>0</v>
      </c>
      <c r="FP5" s="54">
        <v>113121</v>
      </c>
      <c r="FQ5" s="54">
        <v>94368</v>
      </c>
      <c r="FR5" s="54">
        <v>56913</v>
      </c>
      <c r="FS5" s="54">
        <v>66647</v>
      </c>
      <c r="FT5" s="54">
        <v>3948862</v>
      </c>
      <c r="FU5" s="54">
        <v>4279911</v>
      </c>
      <c r="FV5" s="54">
        <v>0</v>
      </c>
      <c r="FW5" s="54">
        <v>0</v>
      </c>
      <c r="FX5" s="54">
        <v>0</v>
      </c>
      <c r="FY5" s="54">
        <v>0</v>
      </c>
      <c r="FZ5" s="54">
        <v>0</v>
      </c>
      <c r="GA5" s="54">
        <v>0</v>
      </c>
      <c r="GB5" s="54">
        <v>0</v>
      </c>
      <c r="GC5" s="54">
        <v>0</v>
      </c>
      <c r="GD5" s="54">
        <v>0</v>
      </c>
      <c r="GE5" s="54">
        <v>0</v>
      </c>
      <c r="GF5" s="54">
        <v>0</v>
      </c>
      <c r="GG5" s="54">
        <v>0</v>
      </c>
      <c r="GH5" s="54">
        <v>132112</v>
      </c>
      <c r="GI5" s="54">
        <v>47456</v>
      </c>
      <c r="GJ5" s="54">
        <v>71713</v>
      </c>
      <c r="GK5" s="54">
        <v>161822</v>
      </c>
      <c r="GL5" s="54">
        <v>19695</v>
      </c>
      <c r="GM5" s="54">
        <v>432798</v>
      </c>
      <c r="GN5" s="54">
        <v>453182</v>
      </c>
      <c r="GO5" s="54">
        <v>334165</v>
      </c>
      <c r="GP5" s="54">
        <v>316930</v>
      </c>
      <c r="GQ5" s="54">
        <v>772135</v>
      </c>
      <c r="GR5" s="54">
        <v>5002</v>
      </c>
      <c r="GS5" s="54">
        <v>1881414</v>
      </c>
      <c r="GT5" s="54">
        <v>238963</v>
      </c>
      <c r="GU5" s="54">
        <v>19302</v>
      </c>
      <c r="GV5" s="54">
        <v>49913</v>
      </c>
      <c r="GW5" s="54">
        <v>315546</v>
      </c>
      <c r="GX5" s="54">
        <v>277757</v>
      </c>
      <c r="GY5" s="54">
        <v>901481</v>
      </c>
      <c r="GZ5" s="54">
        <v>121094</v>
      </c>
      <c r="HA5" s="54">
        <v>103850</v>
      </c>
      <c r="HB5" s="54">
        <v>52171</v>
      </c>
      <c r="HC5" s="54">
        <v>83518</v>
      </c>
      <c r="HD5" s="54">
        <v>113414</v>
      </c>
      <c r="HE5" s="54">
        <v>474047</v>
      </c>
      <c r="HF5" s="54">
        <v>103</v>
      </c>
      <c r="HG5" s="54">
        <v>0</v>
      </c>
      <c r="HH5" s="54">
        <v>0</v>
      </c>
      <c r="HI5" s="54">
        <v>2403</v>
      </c>
      <c r="HJ5" s="54">
        <v>580023</v>
      </c>
      <c r="HK5" s="54">
        <v>582529</v>
      </c>
      <c r="HL5" s="54">
        <v>0</v>
      </c>
      <c r="HM5" s="54">
        <v>0</v>
      </c>
      <c r="HN5" s="54">
        <v>0</v>
      </c>
      <c r="HO5" s="54">
        <v>0</v>
      </c>
      <c r="HP5" s="54">
        <v>0</v>
      </c>
      <c r="HQ5" s="54">
        <v>0</v>
      </c>
      <c r="HR5" s="54">
        <v>73901</v>
      </c>
      <c r="HS5" s="54">
        <v>41797</v>
      </c>
      <c r="HT5" s="54">
        <v>42519</v>
      </c>
      <c r="HU5" s="54">
        <v>148646</v>
      </c>
      <c r="HV5" s="54">
        <v>578373</v>
      </c>
      <c r="HW5" s="54">
        <v>885236</v>
      </c>
      <c r="HX5" s="54">
        <v>488914</v>
      </c>
      <c r="HY5" s="54">
        <v>0</v>
      </c>
      <c r="HZ5" s="54">
        <v>0</v>
      </c>
      <c r="IA5" s="54">
        <v>0</v>
      </c>
      <c r="IB5" s="54">
        <v>218429</v>
      </c>
      <c r="IC5" s="54">
        <v>707343</v>
      </c>
      <c r="ID5" s="54">
        <v>11605</v>
      </c>
      <c r="IE5" s="54">
        <v>0</v>
      </c>
      <c r="IF5" s="54">
        <v>0</v>
      </c>
      <c r="IG5" s="54">
        <v>23724</v>
      </c>
      <c r="IH5" s="54">
        <v>286476</v>
      </c>
      <c r="II5" s="54">
        <v>321805</v>
      </c>
      <c r="IJ5" s="54">
        <v>7521</v>
      </c>
      <c r="IK5" s="54">
        <v>13</v>
      </c>
      <c r="IL5" s="54">
        <v>25</v>
      </c>
      <c r="IM5" s="54">
        <v>4305</v>
      </c>
      <c r="IN5" s="54">
        <v>605259</v>
      </c>
      <c r="IO5" s="54">
        <v>617123</v>
      </c>
      <c r="IP5" s="54">
        <v>2559</v>
      </c>
      <c r="IQ5" s="54">
        <v>1009</v>
      </c>
      <c r="IR5" s="54">
        <v>0</v>
      </c>
      <c r="IS5" s="54">
        <v>4720</v>
      </c>
      <c r="IT5" s="54">
        <v>316306</v>
      </c>
      <c r="IU5" s="54">
        <v>324594</v>
      </c>
      <c r="IV5" s="54">
        <v>236852</v>
      </c>
      <c r="IW5" s="54">
        <v>119167</v>
      </c>
      <c r="IX5" s="54">
        <v>71470</v>
      </c>
      <c r="IY5" s="54">
        <v>216976</v>
      </c>
      <c r="IZ5" s="54">
        <v>668081</v>
      </c>
      <c r="JA5" s="54">
        <v>1312546</v>
      </c>
      <c r="JB5" s="54">
        <v>6739472</v>
      </c>
      <c r="JC5" s="54">
        <v>2732944</v>
      </c>
      <c r="JD5" s="54">
        <v>1624747</v>
      </c>
      <c r="JE5" s="54">
        <v>6313546</v>
      </c>
      <c r="JF5" s="54">
        <v>7813717</v>
      </c>
      <c r="JG5" s="54">
        <v>25224426</v>
      </c>
      <c r="JH5" s="54">
        <v>0</v>
      </c>
      <c r="JI5" s="54">
        <v>0</v>
      </c>
      <c r="JJ5" s="54">
        <v>0</v>
      </c>
      <c r="JK5" s="54">
        <v>0</v>
      </c>
      <c r="JL5" s="54">
        <v>0</v>
      </c>
      <c r="JM5" s="54">
        <v>0</v>
      </c>
      <c r="JN5" s="54">
        <v>6739472</v>
      </c>
      <c r="JO5" s="54">
        <v>2732944</v>
      </c>
      <c r="JP5" s="54">
        <v>1624747</v>
      </c>
      <c r="JQ5" s="54">
        <v>6313546</v>
      </c>
      <c r="JR5" s="54">
        <v>7813717</v>
      </c>
      <c r="JS5" s="54">
        <v>25224426</v>
      </c>
      <c r="JU5" s="5">
        <f t="shared" si="0"/>
        <v>1134284</v>
      </c>
      <c r="JV5" s="26">
        <f t="shared" si="1"/>
        <v>0</v>
      </c>
      <c r="JW5" s="5">
        <f t="shared" si="2"/>
        <v>3826530</v>
      </c>
      <c r="JX5" s="26">
        <f t="shared" si="3"/>
        <v>0</v>
      </c>
      <c r="JY5" s="5">
        <f t="shared" si="4"/>
        <v>1155800</v>
      </c>
      <c r="JZ5" s="26">
        <f t="shared" si="5"/>
        <v>0</v>
      </c>
      <c r="KA5" s="5">
        <f t="shared" si="6"/>
        <v>2692625</v>
      </c>
      <c r="KB5" s="26">
        <f t="shared" si="7"/>
        <v>0</v>
      </c>
      <c r="KC5" s="5">
        <f t="shared" si="8"/>
        <v>0</v>
      </c>
      <c r="KD5" s="26">
        <f t="shared" si="9"/>
        <v>0</v>
      </c>
      <c r="KE5" s="5">
        <f t="shared" si="10"/>
        <v>0</v>
      </c>
      <c r="KF5" s="26">
        <f t="shared" si="11"/>
        <v>0</v>
      </c>
      <c r="KG5" s="5">
        <f t="shared" si="12"/>
        <v>12475800</v>
      </c>
      <c r="KH5" s="26">
        <f t="shared" si="13"/>
        <v>0</v>
      </c>
      <c r="KI5" s="5">
        <f t="shared" si="14"/>
        <v>321805</v>
      </c>
      <c r="KJ5" s="26">
        <f t="shared" si="15"/>
        <v>0</v>
      </c>
      <c r="KK5" s="5">
        <f t="shared" si="16"/>
        <v>3045194</v>
      </c>
      <c r="KL5" s="26">
        <f t="shared" si="17"/>
        <v>0</v>
      </c>
      <c r="KM5" s="5">
        <f t="shared" si="18"/>
        <v>0</v>
      </c>
      <c r="KN5" s="26">
        <f t="shared" si="19"/>
        <v>0</v>
      </c>
      <c r="KO5" s="5">
        <f t="shared" si="20"/>
        <v>1985</v>
      </c>
      <c r="KP5" s="26">
        <f t="shared" si="21"/>
        <v>0</v>
      </c>
      <c r="KQ5" s="5">
        <f t="shared" si="22"/>
        <v>877658</v>
      </c>
      <c r="KR5" s="26">
        <f t="shared" si="23"/>
        <v>0</v>
      </c>
      <c r="KS5" s="5">
        <f t="shared" si="24"/>
        <v>0</v>
      </c>
      <c r="KT5" s="26">
        <f t="shared" si="25"/>
        <v>0</v>
      </c>
      <c r="KU5" s="5">
        <f t="shared" si="26"/>
        <v>32096</v>
      </c>
      <c r="KV5" s="26">
        <f t="shared" si="27"/>
        <v>0</v>
      </c>
      <c r="KW5" s="5">
        <f t="shared" si="28"/>
        <v>126271</v>
      </c>
      <c r="KX5" s="26">
        <f t="shared" si="29"/>
        <v>0</v>
      </c>
      <c r="KY5" s="5">
        <f t="shared" si="30"/>
        <v>25690048</v>
      </c>
      <c r="KZ5" s="26">
        <f t="shared" si="31"/>
        <v>0</v>
      </c>
      <c r="LA5" s="5">
        <f t="shared" si="32"/>
        <v>6057472</v>
      </c>
      <c r="LB5" s="26">
        <f t="shared" si="33"/>
        <v>0</v>
      </c>
      <c r="LC5" s="5">
        <f t="shared" si="34"/>
        <v>619333</v>
      </c>
      <c r="LD5" s="26">
        <f t="shared" si="35"/>
        <v>0</v>
      </c>
      <c r="LE5" s="5">
        <f t="shared" si="36"/>
        <v>5826794</v>
      </c>
      <c r="LF5" s="26">
        <f t="shared" si="37"/>
        <v>0</v>
      </c>
      <c r="LG5" s="5">
        <f t="shared" si="38"/>
        <v>0</v>
      </c>
      <c r="LH5" s="26">
        <f t="shared" si="39"/>
        <v>0</v>
      </c>
      <c r="LI5" s="5">
        <f t="shared" si="40"/>
        <v>4279911</v>
      </c>
      <c r="LJ5" s="26">
        <f t="shared" si="41"/>
        <v>0</v>
      </c>
      <c r="LK5" s="5">
        <f t="shared" si="42"/>
        <v>0</v>
      </c>
      <c r="LL5" s="26">
        <f t="shared" si="43"/>
        <v>0</v>
      </c>
      <c r="LM5" s="5">
        <f t="shared" si="44"/>
        <v>0</v>
      </c>
      <c r="LN5" s="26">
        <f t="shared" si="45"/>
        <v>0</v>
      </c>
      <c r="LO5" s="5">
        <f t="shared" si="46"/>
        <v>432798</v>
      </c>
      <c r="LP5" s="26">
        <f t="shared" si="47"/>
        <v>0</v>
      </c>
      <c r="LQ5" s="5">
        <f t="shared" si="48"/>
        <v>1881414</v>
      </c>
      <c r="LR5" s="26">
        <f t="shared" si="49"/>
        <v>0</v>
      </c>
      <c r="LS5" s="5">
        <f t="shared" si="50"/>
        <v>901481</v>
      </c>
      <c r="LT5" s="26">
        <f t="shared" si="51"/>
        <v>0</v>
      </c>
      <c r="LU5" s="5">
        <f t="shared" si="52"/>
        <v>474047</v>
      </c>
      <c r="LV5" s="26">
        <f t="shared" si="53"/>
        <v>0</v>
      </c>
      <c r="LW5" s="5">
        <f t="shared" si="54"/>
        <v>582529</v>
      </c>
      <c r="LX5" s="26">
        <f t="shared" si="55"/>
        <v>0</v>
      </c>
      <c r="LY5" s="5">
        <f t="shared" si="56"/>
        <v>0</v>
      </c>
      <c r="LZ5" s="26">
        <f t="shared" si="57"/>
        <v>0</v>
      </c>
      <c r="MA5" s="5">
        <f t="shared" si="58"/>
        <v>885236</v>
      </c>
      <c r="MB5" s="26">
        <f t="shared" si="59"/>
        <v>0</v>
      </c>
      <c r="MC5" s="5">
        <f t="shared" si="60"/>
        <v>707343</v>
      </c>
      <c r="MD5" s="26">
        <f t="shared" si="61"/>
        <v>0</v>
      </c>
      <c r="ME5" s="5">
        <f t="shared" si="62"/>
        <v>321805</v>
      </c>
      <c r="MF5" s="26">
        <f t="shared" si="63"/>
        <v>0</v>
      </c>
      <c r="MG5" s="5">
        <f t="shared" si="64"/>
        <v>617123</v>
      </c>
      <c r="MH5" s="26">
        <f t="shared" si="65"/>
        <v>0</v>
      </c>
      <c r="MI5" s="5">
        <f t="shared" si="66"/>
        <v>324594</v>
      </c>
      <c r="MJ5" s="26">
        <f t="shared" si="67"/>
        <v>0</v>
      </c>
      <c r="MK5" s="5">
        <f t="shared" si="68"/>
        <v>1312546</v>
      </c>
      <c r="ML5" s="26">
        <f t="shared" si="69"/>
        <v>0</v>
      </c>
      <c r="MM5" s="5">
        <f t="shared" si="70"/>
        <v>25224426</v>
      </c>
      <c r="MN5" s="26">
        <f t="shared" si="71"/>
        <v>0</v>
      </c>
      <c r="MO5" s="5">
        <f t="shared" si="72"/>
        <v>0</v>
      </c>
      <c r="MP5" s="26">
        <f t="shared" si="73"/>
        <v>0</v>
      </c>
      <c r="MQ5" s="5">
        <f t="shared" si="74"/>
        <v>25224426</v>
      </c>
      <c r="MR5" s="26">
        <f t="shared" si="75"/>
        <v>0</v>
      </c>
      <c r="MT5" s="5">
        <f t="shared" si="76"/>
        <v>0</v>
      </c>
      <c r="MV5" s="4">
        <f t="shared" si="77"/>
        <v>0</v>
      </c>
    </row>
    <row r="6" spans="1:360" x14ac:dyDescent="0.15">
      <c r="A6" s="155" t="s">
        <v>285</v>
      </c>
      <c r="B6" s="25" t="s">
        <v>461</v>
      </c>
      <c r="C6" s="105">
        <v>233921</v>
      </c>
      <c r="D6" s="105">
        <v>2011</v>
      </c>
      <c r="E6" s="106">
        <v>1</v>
      </c>
      <c r="F6" s="106">
        <v>4</v>
      </c>
      <c r="G6" s="107">
        <v>14641</v>
      </c>
      <c r="H6" s="107">
        <v>15951</v>
      </c>
      <c r="I6" s="108">
        <v>155574900</v>
      </c>
      <c r="J6" s="108"/>
      <c r="K6" s="108">
        <v>1824823</v>
      </c>
      <c r="L6" s="108"/>
      <c r="M6" s="108">
        <v>95525605</v>
      </c>
      <c r="N6" s="108"/>
      <c r="O6" s="108">
        <v>24125000</v>
      </c>
      <c r="P6" s="108"/>
      <c r="Q6" s="108">
        <v>1146893000</v>
      </c>
      <c r="R6" s="108"/>
      <c r="S6" s="111">
        <v>1151499000</v>
      </c>
      <c r="T6" s="108"/>
      <c r="U6" s="108">
        <v>19535</v>
      </c>
      <c r="V6" s="108"/>
      <c r="W6" s="108">
        <v>35894</v>
      </c>
      <c r="X6" s="108"/>
      <c r="Y6" s="108">
        <v>22444</v>
      </c>
      <c r="Z6" s="108"/>
      <c r="AA6" s="108">
        <v>38804</v>
      </c>
      <c r="AB6" s="108"/>
      <c r="AC6" s="130">
        <v>9</v>
      </c>
      <c r="AD6" s="130">
        <v>11</v>
      </c>
      <c r="AE6" s="130">
        <v>0</v>
      </c>
      <c r="AF6" s="26">
        <v>5571826</v>
      </c>
      <c r="AG6" s="26">
        <v>4172127</v>
      </c>
      <c r="AH6" s="26">
        <v>733394</v>
      </c>
      <c r="AI6" s="26">
        <v>3435856</v>
      </c>
      <c r="AJ6" s="26">
        <f>(4670324+540000)/AK6</f>
        <v>868387.33333333337</v>
      </c>
      <c r="AK6" s="36">
        <v>6</v>
      </c>
      <c r="AL6" s="26">
        <f>(4670324+540000)/AM6</f>
        <v>744332</v>
      </c>
      <c r="AM6" s="36">
        <v>7</v>
      </c>
      <c r="AN6" s="37">
        <f>(1194945+210000)/AO6</f>
        <v>175618.125</v>
      </c>
      <c r="AO6" s="38">
        <v>8</v>
      </c>
      <c r="AP6" s="37">
        <f>(1194945+210000)/AQ6</f>
        <v>156105</v>
      </c>
      <c r="AQ6" s="38">
        <v>9</v>
      </c>
      <c r="AR6" s="37">
        <f>3689085/AS6</f>
        <v>184454.25</v>
      </c>
      <c r="AS6" s="38">
        <v>20</v>
      </c>
      <c r="AT6" s="37">
        <f>3689085/AU6</f>
        <v>153711.875</v>
      </c>
      <c r="AU6" s="38">
        <v>24</v>
      </c>
      <c r="AV6" s="37">
        <f>1265250/AW6</f>
        <v>74426.470588235301</v>
      </c>
      <c r="AW6" s="39">
        <v>17</v>
      </c>
      <c r="AX6" s="37">
        <f>1265250/AY6</f>
        <v>60250</v>
      </c>
      <c r="AY6" s="39">
        <v>21</v>
      </c>
      <c r="AZ6" s="55">
        <v>7443145</v>
      </c>
      <c r="BA6" s="56">
        <v>5760053</v>
      </c>
      <c r="BB6" s="56">
        <v>113360</v>
      </c>
      <c r="BC6" s="57">
        <f>13310474+451751-AZ6-BA6-BB6</f>
        <v>445667</v>
      </c>
      <c r="BD6" s="58">
        <v>0</v>
      </c>
      <c r="BE6" s="58">
        <v>13762225</v>
      </c>
      <c r="BF6" s="58">
        <v>0</v>
      </c>
      <c r="BG6" s="58">
        <v>0</v>
      </c>
      <c r="BH6" s="58">
        <v>0</v>
      </c>
      <c r="BI6" s="58">
        <v>0</v>
      </c>
      <c r="BJ6" s="55">
        <v>0</v>
      </c>
      <c r="BK6" s="59">
        <v>0</v>
      </c>
      <c r="BL6" s="55">
        <v>1065853</v>
      </c>
      <c r="BM6" s="55">
        <v>78096</v>
      </c>
      <c r="BN6" s="55">
        <v>0</v>
      </c>
      <c r="BO6" s="56">
        <f>1174629+20475-BL6-BM6-BN6</f>
        <v>51155</v>
      </c>
      <c r="BP6" s="58">
        <v>0</v>
      </c>
      <c r="BQ6" s="58">
        <v>1195104</v>
      </c>
      <c r="BR6" s="56">
        <v>4251726</v>
      </c>
      <c r="BS6" s="58">
        <v>4287409</v>
      </c>
      <c r="BT6" s="55">
        <v>21658</v>
      </c>
      <c r="BU6" s="58">
        <f>8670037+223128-BR6-BS6-BT6</f>
        <v>332372</v>
      </c>
      <c r="BV6" s="56">
        <v>5559341</v>
      </c>
      <c r="BW6" s="55">
        <v>14452506</v>
      </c>
      <c r="BX6" s="54">
        <v>200000</v>
      </c>
      <c r="BY6" s="54">
        <v>200000</v>
      </c>
      <c r="BZ6" s="54">
        <v>25000</v>
      </c>
      <c r="CA6" s="54">
        <f>540000+210000-BX6-BY6-BZ6</f>
        <v>325000</v>
      </c>
      <c r="CB6" s="54">
        <v>0</v>
      </c>
      <c r="CC6" s="54">
        <v>750000</v>
      </c>
      <c r="CD6" s="58">
        <v>0</v>
      </c>
      <c r="CE6" s="58">
        <v>0</v>
      </c>
      <c r="CF6" s="58">
        <v>0</v>
      </c>
      <c r="CG6" s="58">
        <v>0</v>
      </c>
      <c r="CH6" s="55">
        <v>0</v>
      </c>
      <c r="CI6" s="58">
        <v>0</v>
      </c>
      <c r="CJ6" s="58">
        <v>1968997</v>
      </c>
      <c r="CK6" s="58">
        <v>287030</v>
      </c>
      <c r="CL6" s="58">
        <v>250136</v>
      </c>
      <c r="CM6" s="58">
        <f>3692652+2697690-CJ6-CK6-CL6</f>
        <v>3884179</v>
      </c>
      <c r="CN6" s="55">
        <v>0</v>
      </c>
      <c r="CO6" s="55">
        <v>6390342</v>
      </c>
      <c r="CP6" s="54">
        <v>0</v>
      </c>
      <c r="CQ6" s="54">
        <v>0</v>
      </c>
      <c r="CR6" s="54">
        <v>0</v>
      </c>
      <c r="CS6" s="54">
        <v>0</v>
      </c>
      <c r="CT6" s="54">
        <v>1006250</v>
      </c>
      <c r="CU6" s="54">
        <v>1006250</v>
      </c>
      <c r="CV6" s="58">
        <v>6316604</v>
      </c>
      <c r="CW6" s="56">
        <v>6316604</v>
      </c>
      <c r="CX6" s="58">
        <v>0</v>
      </c>
      <c r="CY6" s="58">
        <v>0</v>
      </c>
      <c r="CZ6" s="59">
        <v>0</v>
      </c>
      <c r="DA6" s="55">
        <v>12633208</v>
      </c>
      <c r="DB6" s="54">
        <v>0</v>
      </c>
      <c r="DC6" s="54">
        <v>0</v>
      </c>
      <c r="DD6" s="54">
        <v>0</v>
      </c>
      <c r="DE6" s="54">
        <v>0</v>
      </c>
      <c r="DF6" s="54">
        <v>0</v>
      </c>
      <c r="DG6" s="54">
        <v>0</v>
      </c>
      <c r="DH6" s="56">
        <v>938872</v>
      </c>
      <c r="DI6" s="56">
        <v>938872</v>
      </c>
      <c r="DJ6" s="56">
        <v>0</v>
      </c>
      <c r="DK6" s="58">
        <v>0</v>
      </c>
      <c r="DL6" s="59">
        <v>0</v>
      </c>
      <c r="DM6" s="59">
        <v>1877744</v>
      </c>
      <c r="DN6" s="54">
        <v>3253783</v>
      </c>
      <c r="DO6" s="54">
        <v>3253783</v>
      </c>
      <c r="DP6" s="54">
        <v>0</v>
      </c>
      <c r="DQ6" s="54">
        <v>0</v>
      </c>
      <c r="DR6" s="54">
        <v>0</v>
      </c>
      <c r="DS6" s="54">
        <v>6507566</v>
      </c>
      <c r="DT6" s="56">
        <v>0</v>
      </c>
      <c r="DU6" s="56">
        <v>0</v>
      </c>
      <c r="DV6" s="55">
        <v>0</v>
      </c>
      <c r="DW6" s="56">
        <v>0</v>
      </c>
      <c r="DX6" s="58">
        <v>0</v>
      </c>
      <c r="DY6" s="56">
        <v>0</v>
      </c>
      <c r="DZ6" s="58">
        <v>209232</v>
      </c>
      <c r="EA6" s="56">
        <v>288133</v>
      </c>
      <c r="EB6" s="56">
        <v>0</v>
      </c>
      <c r="EC6" s="56">
        <f>596293+49202-DZ6-EA6-EB6</f>
        <v>148130</v>
      </c>
      <c r="ED6" s="55">
        <v>332351</v>
      </c>
      <c r="EE6" s="56">
        <v>977846</v>
      </c>
      <c r="EF6" s="56">
        <v>0</v>
      </c>
      <c r="EG6" s="58">
        <v>0</v>
      </c>
      <c r="EH6" s="56">
        <v>0</v>
      </c>
      <c r="EI6" s="55">
        <v>0</v>
      </c>
      <c r="EJ6" s="56">
        <v>110337</v>
      </c>
      <c r="EK6" s="56">
        <v>110337</v>
      </c>
      <c r="EL6" s="56">
        <v>25648212</v>
      </c>
      <c r="EM6" s="56">
        <v>21409980</v>
      </c>
      <c r="EN6" s="60">
        <v>410154</v>
      </c>
      <c r="EO6" s="55">
        <f>49002603+3652246-EL6-EM6-EN6</f>
        <v>5186503</v>
      </c>
      <c r="EP6" s="56">
        <v>7008279</v>
      </c>
      <c r="EQ6" s="58">
        <v>59663128</v>
      </c>
      <c r="ER6" s="58">
        <v>3279616</v>
      </c>
      <c r="ES6" s="58">
        <v>497359</v>
      </c>
      <c r="ET6" s="56">
        <v>437037</v>
      </c>
      <c r="EU6" s="56">
        <f>5571826+4172127-ER6-ES6-ET6</f>
        <v>5529941</v>
      </c>
      <c r="EV6" s="56">
        <v>0</v>
      </c>
      <c r="EW6" s="58">
        <v>9743953</v>
      </c>
      <c r="EX6" s="61">
        <v>1885271</v>
      </c>
      <c r="EY6" s="61">
        <v>626817</v>
      </c>
      <c r="EZ6" s="61">
        <v>62000</v>
      </c>
      <c r="FA6" s="61">
        <f>2568088+93950-EX6-EY6-EZ6</f>
        <v>87950</v>
      </c>
      <c r="FB6" s="61">
        <v>0</v>
      </c>
      <c r="FC6" s="61">
        <v>2662038</v>
      </c>
      <c r="FD6" s="61">
        <f>1728079+2310329</f>
        <v>4038408</v>
      </c>
      <c r="FE6" s="61">
        <f>2390306+739653</f>
        <v>3129959</v>
      </c>
      <c r="FF6" s="61">
        <f>271182+339867</f>
        <v>611049</v>
      </c>
      <c r="FG6" s="61">
        <f>4670324+3689085+1194945+1265250-FD6-FE6-FF6</f>
        <v>3040188</v>
      </c>
      <c r="FH6" s="61">
        <v>0</v>
      </c>
      <c r="FI6" s="61">
        <v>10819604</v>
      </c>
      <c r="FJ6" s="54">
        <f>200000+0</f>
        <v>200000</v>
      </c>
      <c r="FK6" s="54">
        <f>200000+0</f>
        <v>200000</v>
      </c>
      <c r="FL6" s="54">
        <f>25000+0</f>
        <v>25000</v>
      </c>
      <c r="FM6" s="54">
        <f>540000+0+210000+0-FJ6-FK6-FL6</f>
        <v>325000</v>
      </c>
      <c r="FN6" s="54">
        <v>0</v>
      </c>
      <c r="FO6" s="54">
        <v>750000</v>
      </c>
      <c r="FP6" s="61">
        <v>615108</v>
      </c>
      <c r="FQ6" s="61">
        <v>190072</v>
      </c>
      <c r="FR6" s="61">
        <v>94532</v>
      </c>
      <c r="FS6" s="61">
        <f>5050014+4339366-FP6-FQ6-FR6</f>
        <v>8489668</v>
      </c>
      <c r="FT6" s="61">
        <v>0</v>
      </c>
      <c r="FU6" s="61">
        <v>9389380</v>
      </c>
      <c r="FV6" s="54">
        <v>0</v>
      </c>
      <c r="FW6" s="54">
        <v>0</v>
      </c>
      <c r="FX6" s="54">
        <v>0</v>
      </c>
      <c r="FY6" s="54">
        <v>0</v>
      </c>
      <c r="FZ6" s="54">
        <v>0</v>
      </c>
      <c r="GA6" s="54">
        <v>0</v>
      </c>
      <c r="GB6" s="54">
        <v>0</v>
      </c>
      <c r="GC6" s="54">
        <v>0</v>
      </c>
      <c r="GD6" s="54">
        <v>0</v>
      </c>
      <c r="GE6" s="54">
        <v>0</v>
      </c>
      <c r="GF6" s="54">
        <v>0</v>
      </c>
      <c r="GG6" s="54">
        <v>0</v>
      </c>
      <c r="GH6" s="61">
        <v>411785</v>
      </c>
      <c r="GI6" s="61">
        <v>172183</v>
      </c>
      <c r="GJ6" s="61">
        <v>126489</v>
      </c>
      <c r="GK6" s="61">
        <f>733394+346856-GH6-GI6-GJ6</f>
        <v>369793</v>
      </c>
      <c r="GL6" s="61">
        <v>0</v>
      </c>
      <c r="GM6" s="61">
        <v>1080250</v>
      </c>
      <c r="GN6" s="61">
        <v>2102422</v>
      </c>
      <c r="GO6" s="61">
        <v>590457</v>
      </c>
      <c r="GP6" s="61">
        <v>289881</v>
      </c>
      <c r="GQ6" s="61">
        <f>3511020+1379146-GN6-GO6-GP6</f>
        <v>1907406</v>
      </c>
      <c r="GR6" s="61">
        <v>0</v>
      </c>
      <c r="GS6" s="61">
        <v>4890166</v>
      </c>
      <c r="GT6" s="61">
        <v>637835</v>
      </c>
      <c r="GU6" s="61">
        <v>169421</v>
      </c>
      <c r="GV6" s="61">
        <v>20803</v>
      </c>
      <c r="GW6" s="61">
        <f>1085222+416300-GT6-GU6-GV6</f>
        <v>673463</v>
      </c>
      <c r="GX6" s="61">
        <v>0</v>
      </c>
      <c r="GY6" s="61">
        <v>1501522</v>
      </c>
      <c r="GZ6" s="61">
        <v>1256163</v>
      </c>
      <c r="HA6" s="61">
        <v>1055958</v>
      </c>
      <c r="HB6" s="61">
        <v>174281</v>
      </c>
      <c r="HC6" s="61">
        <f>2547877+469522-GZ6-HA6-HB6</f>
        <v>530997</v>
      </c>
      <c r="HD6" s="61">
        <v>0</v>
      </c>
      <c r="HE6" s="61">
        <v>3017399</v>
      </c>
      <c r="HF6" s="61">
        <v>582016</v>
      </c>
      <c r="HG6" s="61">
        <v>75662</v>
      </c>
      <c r="HH6" s="61">
        <v>75662</v>
      </c>
      <c r="HI6" s="61">
        <f>1198953+925404-HF6-HG6-HH6</f>
        <v>1391017</v>
      </c>
      <c r="HJ6" s="61">
        <v>0</v>
      </c>
      <c r="HK6" s="61">
        <v>2124357</v>
      </c>
      <c r="HL6" s="61">
        <v>0</v>
      </c>
      <c r="HM6" s="61">
        <v>0</v>
      </c>
      <c r="HN6" s="61">
        <v>0</v>
      </c>
      <c r="HO6" s="61">
        <v>0</v>
      </c>
      <c r="HP6" s="61">
        <v>0</v>
      </c>
      <c r="HQ6" s="61">
        <v>0</v>
      </c>
      <c r="HR6" s="61">
        <v>2123773</v>
      </c>
      <c r="HS6" s="61">
        <v>276091</v>
      </c>
      <c r="HT6" s="61">
        <v>276091</v>
      </c>
      <c r="HU6" s="61">
        <f>4374972+3376800-HR6-HS6-HT6</f>
        <v>5075817</v>
      </c>
      <c r="HV6" s="61">
        <v>0</v>
      </c>
      <c r="HW6" s="61">
        <v>7751772</v>
      </c>
      <c r="HX6" s="61">
        <v>72105</v>
      </c>
      <c r="HY6" s="61">
        <v>9374</v>
      </c>
      <c r="HZ6" s="61">
        <v>9374</v>
      </c>
      <c r="IA6" s="61">
        <f>148537+114647-HX6-HY6-HZ6</f>
        <v>172331</v>
      </c>
      <c r="IB6" s="61">
        <v>0</v>
      </c>
      <c r="IC6" s="61">
        <v>263184</v>
      </c>
      <c r="ID6" s="54">
        <v>275685</v>
      </c>
      <c r="IE6" s="54">
        <v>35839</v>
      </c>
      <c r="IF6" s="54">
        <v>35839</v>
      </c>
      <c r="IG6" s="54">
        <f>567911+438339-ID6-IE6-IF6</f>
        <v>658887</v>
      </c>
      <c r="IH6" s="54">
        <v>0</v>
      </c>
      <c r="II6" s="54">
        <v>1006250</v>
      </c>
      <c r="IJ6" s="61">
        <v>288025</v>
      </c>
      <c r="IK6" s="61">
        <v>37443</v>
      </c>
      <c r="IL6" s="61">
        <v>37443</v>
      </c>
      <c r="IM6" s="61">
        <f>593331+457960-IJ6-IK6-IL6</f>
        <v>688380</v>
      </c>
      <c r="IN6" s="61">
        <v>0</v>
      </c>
      <c r="IO6" s="61">
        <v>1051291</v>
      </c>
      <c r="IP6" s="61">
        <v>33526</v>
      </c>
      <c r="IQ6" s="61">
        <v>4358</v>
      </c>
      <c r="IR6" s="61">
        <v>4358</v>
      </c>
      <c r="IS6" s="61">
        <f>69062+53305-IP6-IQ6-IR6</f>
        <v>80125</v>
      </c>
      <c r="IT6" s="61">
        <v>0</v>
      </c>
      <c r="IU6" s="61">
        <v>122367</v>
      </c>
      <c r="IV6" s="61">
        <v>639116</v>
      </c>
      <c r="IW6" s="61">
        <v>83085</v>
      </c>
      <c r="IX6" s="61">
        <v>83085</v>
      </c>
      <c r="IY6" s="61">
        <f>1316580+1016195-IV6-IW6-IX6</f>
        <v>1527489</v>
      </c>
      <c r="IZ6" s="61">
        <v>0</v>
      </c>
      <c r="JA6" s="61">
        <v>2332775</v>
      </c>
      <c r="JB6" s="61">
        <v>18440854</v>
      </c>
      <c r="JC6" s="61">
        <v>7154078</v>
      </c>
      <c r="JD6" s="61">
        <v>2362925</v>
      </c>
      <c r="JE6" s="61">
        <f>38236196+20270112-JB6-JC6-JD6</f>
        <v>30548451</v>
      </c>
      <c r="JF6" s="61">
        <v>0</v>
      </c>
      <c r="JG6" s="61">
        <v>58506308</v>
      </c>
      <c r="JH6" s="54" t="s">
        <v>485</v>
      </c>
      <c r="JI6" s="54">
        <v>0</v>
      </c>
      <c r="JJ6" s="54">
        <v>0</v>
      </c>
      <c r="JK6" s="54">
        <v>0</v>
      </c>
      <c r="JL6" s="54">
        <v>0</v>
      </c>
      <c r="JM6" s="54">
        <v>0</v>
      </c>
      <c r="JN6" s="61">
        <v>18440854</v>
      </c>
      <c r="JO6" s="61">
        <v>7154078</v>
      </c>
      <c r="JP6" s="61">
        <v>2362925</v>
      </c>
      <c r="JQ6" s="61">
        <f>38236196+20270112-JN6-JO6-JP6</f>
        <v>30548451</v>
      </c>
      <c r="JR6" s="61">
        <v>0</v>
      </c>
      <c r="JS6" s="61">
        <v>58506308</v>
      </c>
      <c r="JU6" s="5">
        <f t="shared" si="0"/>
        <v>13762225</v>
      </c>
      <c r="JV6" s="26">
        <f t="shared" si="1"/>
        <v>0</v>
      </c>
      <c r="JW6" s="5">
        <f t="shared" si="2"/>
        <v>0</v>
      </c>
      <c r="JX6" s="26">
        <f t="shared" si="3"/>
        <v>0</v>
      </c>
      <c r="JY6" s="5">
        <f t="shared" si="4"/>
        <v>1195104</v>
      </c>
      <c r="JZ6" s="26">
        <f t="shared" si="5"/>
        <v>0</v>
      </c>
      <c r="KA6" s="5">
        <f t="shared" si="6"/>
        <v>14452506</v>
      </c>
      <c r="KB6" s="26">
        <f t="shared" si="7"/>
        <v>0</v>
      </c>
      <c r="KC6" s="5">
        <f t="shared" si="8"/>
        <v>750000</v>
      </c>
      <c r="KD6" s="26">
        <f t="shared" si="9"/>
        <v>0</v>
      </c>
      <c r="KE6" s="5">
        <f t="shared" si="10"/>
        <v>0</v>
      </c>
      <c r="KF6" s="26">
        <f t="shared" si="11"/>
        <v>0</v>
      </c>
      <c r="KG6" s="5">
        <f t="shared" si="12"/>
        <v>6390342</v>
      </c>
      <c r="KH6" s="26">
        <f t="shared" si="13"/>
        <v>0</v>
      </c>
      <c r="KI6" s="5">
        <f t="shared" si="14"/>
        <v>1006250</v>
      </c>
      <c r="KJ6" s="26">
        <f t="shared" si="15"/>
        <v>0</v>
      </c>
      <c r="KK6" s="5">
        <f t="shared" si="16"/>
        <v>12633208</v>
      </c>
      <c r="KL6" s="26">
        <f t="shared" si="17"/>
        <v>0</v>
      </c>
      <c r="KM6" s="5">
        <f t="shared" si="18"/>
        <v>0</v>
      </c>
      <c r="KN6" s="26">
        <f t="shared" si="19"/>
        <v>0</v>
      </c>
      <c r="KO6" s="5">
        <f t="shared" si="20"/>
        <v>1877744</v>
      </c>
      <c r="KP6" s="26">
        <f t="shared" si="21"/>
        <v>0</v>
      </c>
      <c r="KQ6" s="5">
        <f t="shared" si="22"/>
        <v>6507566</v>
      </c>
      <c r="KR6" s="26">
        <f t="shared" si="23"/>
        <v>0</v>
      </c>
      <c r="KS6" s="5">
        <f t="shared" si="24"/>
        <v>0</v>
      </c>
      <c r="KT6" s="26">
        <f t="shared" si="25"/>
        <v>0</v>
      </c>
      <c r="KU6" s="5">
        <f t="shared" si="26"/>
        <v>977846</v>
      </c>
      <c r="KV6" s="26">
        <f t="shared" si="27"/>
        <v>0</v>
      </c>
      <c r="KW6" s="5">
        <f t="shared" si="28"/>
        <v>110337</v>
      </c>
      <c r="KX6" s="26">
        <f t="shared" si="29"/>
        <v>0</v>
      </c>
      <c r="KY6" s="5">
        <f t="shared" si="30"/>
        <v>59663128</v>
      </c>
      <c r="KZ6" s="26">
        <f t="shared" si="31"/>
        <v>0</v>
      </c>
      <c r="LA6" s="5">
        <f t="shared" si="32"/>
        <v>9743953</v>
      </c>
      <c r="LB6" s="26">
        <f t="shared" si="33"/>
        <v>0</v>
      </c>
      <c r="LC6" s="5">
        <f t="shared" si="34"/>
        <v>2662038</v>
      </c>
      <c r="LD6" s="26">
        <f t="shared" si="35"/>
        <v>0</v>
      </c>
      <c r="LE6" s="5">
        <f t="shared" si="36"/>
        <v>10819604</v>
      </c>
      <c r="LF6" s="26">
        <f t="shared" si="37"/>
        <v>0</v>
      </c>
      <c r="LG6" s="5">
        <f t="shared" si="38"/>
        <v>750000</v>
      </c>
      <c r="LH6" s="26">
        <f t="shared" si="39"/>
        <v>0</v>
      </c>
      <c r="LI6" s="5">
        <f t="shared" si="40"/>
        <v>9389380</v>
      </c>
      <c r="LJ6" s="26">
        <f t="shared" si="41"/>
        <v>0</v>
      </c>
      <c r="LK6" s="5">
        <f t="shared" si="42"/>
        <v>0</v>
      </c>
      <c r="LL6" s="26">
        <f t="shared" si="43"/>
        <v>0</v>
      </c>
      <c r="LM6" s="5">
        <f t="shared" si="44"/>
        <v>0</v>
      </c>
      <c r="LN6" s="26">
        <f t="shared" si="45"/>
        <v>0</v>
      </c>
      <c r="LO6" s="5">
        <f t="shared" si="46"/>
        <v>1080250</v>
      </c>
      <c r="LP6" s="26">
        <f t="shared" si="47"/>
        <v>0</v>
      </c>
      <c r="LQ6" s="5">
        <f t="shared" si="48"/>
        <v>4890166</v>
      </c>
      <c r="LR6" s="26">
        <f t="shared" si="49"/>
        <v>0</v>
      </c>
      <c r="LS6" s="5">
        <f t="shared" si="50"/>
        <v>1501522</v>
      </c>
      <c r="LT6" s="26">
        <f t="shared" si="51"/>
        <v>0</v>
      </c>
      <c r="LU6" s="5">
        <f t="shared" si="52"/>
        <v>3017399</v>
      </c>
      <c r="LV6" s="26">
        <f t="shared" si="53"/>
        <v>0</v>
      </c>
      <c r="LW6" s="5">
        <f t="shared" si="54"/>
        <v>2124357</v>
      </c>
      <c r="LX6" s="26">
        <f t="shared" si="55"/>
        <v>0</v>
      </c>
      <c r="LY6" s="5">
        <f t="shared" si="56"/>
        <v>0</v>
      </c>
      <c r="LZ6" s="26">
        <f t="shared" si="57"/>
        <v>0</v>
      </c>
      <c r="MA6" s="5">
        <f t="shared" si="58"/>
        <v>7751772</v>
      </c>
      <c r="MB6" s="26">
        <f t="shared" si="59"/>
        <v>0</v>
      </c>
      <c r="MC6" s="5">
        <f t="shared" si="60"/>
        <v>263184</v>
      </c>
      <c r="MD6" s="26">
        <f t="shared" si="61"/>
        <v>0</v>
      </c>
      <c r="ME6" s="5">
        <f t="shared" si="62"/>
        <v>1006250</v>
      </c>
      <c r="MF6" s="26">
        <f t="shared" si="63"/>
        <v>0</v>
      </c>
      <c r="MG6" s="5">
        <f t="shared" si="64"/>
        <v>1051291</v>
      </c>
      <c r="MH6" s="26">
        <f t="shared" si="65"/>
        <v>0</v>
      </c>
      <c r="MI6" s="5">
        <f t="shared" si="66"/>
        <v>122367</v>
      </c>
      <c r="MJ6" s="26">
        <f t="shared" si="67"/>
        <v>0</v>
      </c>
      <c r="MK6" s="5">
        <f t="shared" si="68"/>
        <v>2332775</v>
      </c>
      <c r="ML6" s="26">
        <f t="shared" si="69"/>
        <v>0</v>
      </c>
      <c r="MM6" s="5">
        <f t="shared" si="70"/>
        <v>58506308</v>
      </c>
      <c r="MN6" s="26">
        <f t="shared" si="71"/>
        <v>0</v>
      </c>
      <c r="MO6" s="5">
        <f t="shared" si="72"/>
        <v>0</v>
      </c>
      <c r="MP6" s="26">
        <f t="shared" si="73"/>
        <v>0</v>
      </c>
      <c r="MQ6" s="5">
        <f t="shared" si="74"/>
        <v>58506308</v>
      </c>
      <c r="MR6" s="26">
        <f t="shared" si="75"/>
        <v>0</v>
      </c>
      <c r="MT6" s="5">
        <f t="shared" si="76"/>
        <v>0</v>
      </c>
      <c r="MV6" s="4">
        <f t="shared" si="77"/>
        <v>0</v>
      </c>
    </row>
    <row r="7" spans="1:360" x14ac:dyDescent="0.15">
      <c r="A7" s="157" t="s">
        <v>286</v>
      </c>
      <c r="B7" s="25" t="s">
        <v>405</v>
      </c>
      <c r="C7" s="109">
        <v>104151</v>
      </c>
      <c r="D7" s="105">
        <v>2011</v>
      </c>
      <c r="E7" s="106">
        <v>1</v>
      </c>
      <c r="F7" s="106">
        <v>4</v>
      </c>
      <c r="G7" s="107">
        <v>23164</v>
      </c>
      <c r="H7" s="107">
        <v>23830</v>
      </c>
      <c r="I7" s="108">
        <v>1556911000</v>
      </c>
      <c r="J7" s="108"/>
      <c r="K7" s="108">
        <v>4842000</v>
      </c>
      <c r="L7" s="108"/>
      <c r="M7" s="108">
        <v>90213000</v>
      </c>
      <c r="N7" s="108"/>
      <c r="O7" s="108">
        <v>32994000</v>
      </c>
      <c r="P7" s="108"/>
      <c r="Q7" s="108">
        <v>1140423000</v>
      </c>
      <c r="R7" s="108"/>
      <c r="S7" s="112">
        <v>1317217000</v>
      </c>
      <c r="T7" s="112"/>
      <c r="U7" s="112">
        <v>20589</v>
      </c>
      <c r="V7" s="112"/>
      <c r="W7" s="112">
        <v>33821</v>
      </c>
      <c r="X7" s="112"/>
      <c r="Y7" s="112">
        <v>23295</v>
      </c>
      <c r="Z7" s="112"/>
      <c r="AA7" s="112">
        <v>36527</v>
      </c>
      <c r="AB7" s="108"/>
      <c r="AC7" s="130">
        <v>9</v>
      </c>
      <c r="AD7" s="130">
        <v>12</v>
      </c>
      <c r="AE7" s="130">
        <v>0</v>
      </c>
      <c r="AF7" s="26">
        <v>5647827</v>
      </c>
      <c r="AG7" s="26">
        <v>4007120</v>
      </c>
      <c r="AH7" s="26">
        <v>500083</v>
      </c>
      <c r="AI7" s="26">
        <v>223028</v>
      </c>
      <c r="AJ7" s="26">
        <v>63346.5</v>
      </c>
      <c r="AK7" s="36">
        <v>6</v>
      </c>
      <c r="AL7" s="26">
        <v>542954.14</v>
      </c>
      <c r="AM7" s="36">
        <v>7</v>
      </c>
      <c r="AN7" s="26">
        <v>238384.89</v>
      </c>
      <c r="AO7" s="36">
        <v>9</v>
      </c>
      <c r="AP7" s="26">
        <v>214546.4</v>
      </c>
      <c r="AQ7" s="36">
        <v>10</v>
      </c>
      <c r="AR7" s="26">
        <v>150373.04999999999</v>
      </c>
      <c r="AS7" s="36">
        <v>21</v>
      </c>
      <c r="AT7" s="26">
        <v>126313.36</v>
      </c>
      <c r="AU7" s="36">
        <v>25</v>
      </c>
      <c r="AV7" s="26">
        <v>77470.509999999995</v>
      </c>
      <c r="AW7" s="36">
        <v>17.5</v>
      </c>
      <c r="AX7" s="26">
        <v>61624.27</v>
      </c>
      <c r="AY7" s="36">
        <v>22</v>
      </c>
      <c r="AZ7" s="54">
        <v>5950473</v>
      </c>
      <c r="BA7" s="54">
        <v>1313054</v>
      </c>
      <c r="BB7" s="54">
        <v>87528</v>
      </c>
      <c r="BC7" s="54">
        <v>752637</v>
      </c>
      <c r="BD7" s="54">
        <v>0</v>
      </c>
      <c r="BE7" s="54">
        <v>8103692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1585181</v>
      </c>
      <c r="BM7" s="54">
        <v>141817</v>
      </c>
      <c r="BN7" s="54">
        <v>0</v>
      </c>
      <c r="BO7" s="54">
        <v>0</v>
      </c>
      <c r="BP7" s="54">
        <v>0</v>
      </c>
      <c r="BQ7" s="54">
        <v>1726998</v>
      </c>
      <c r="BR7" s="54">
        <v>6184483</v>
      </c>
      <c r="BS7" s="54">
        <v>2487313</v>
      </c>
      <c r="BT7" s="54">
        <v>1101257</v>
      </c>
      <c r="BU7" s="54">
        <v>1273774</v>
      </c>
      <c r="BV7" s="54">
        <v>936027</v>
      </c>
      <c r="BW7" s="54">
        <v>11982854</v>
      </c>
      <c r="BX7" s="54">
        <v>58114</v>
      </c>
      <c r="BY7" s="54">
        <v>33974</v>
      </c>
      <c r="BZ7" s="54">
        <v>23300</v>
      </c>
      <c r="CA7" s="54">
        <v>130917</v>
      </c>
      <c r="CB7" s="54">
        <v>119321</v>
      </c>
      <c r="CC7" s="54">
        <v>365626</v>
      </c>
      <c r="CD7" s="54">
        <v>0</v>
      </c>
      <c r="CE7" s="54">
        <v>0</v>
      </c>
      <c r="CF7" s="54">
        <v>0</v>
      </c>
      <c r="CG7" s="54">
        <v>0</v>
      </c>
      <c r="CH7" s="54">
        <v>0</v>
      </c>
      <c r="CI7" s="54">
        <v>0</v>
      </c>
      <c r="CJ7" s="54">
        <v>0</v>
      </c>
      <c r="CK7" s="54">
        <v>0</v>
      </c>
      <c r="CL7" s="54">
        <v>0</v>
      </c>
      <c r="CM7" s="54">
        <v>0</v>
      </c>
      <c r="CN7" s="54">
        <v>9324476</v>
      </c>
      <c r="CO7" s="54">
        <v>9324476</v>
      </c>
      <c r="CP7" s="54">
        <v>473806</v>
      </c>
      <c r="CQ7" s="54">
        <v>80358</v>
      </c>
      <c r="CR7" s="54">
        <v>80358</v>
      </c>
      <c r="CS7" s="54">
        <v>383819</v>
      </c>
      <c r="CT7" s="54">
        <v>318135</v>
      </c>
      <c r="CU7" s="54">
        <v>1336476</v>
      </c>
      <c r="CV7" s="54">
        <v>4686697</v>
      </c>
      <c r="CW7" s="54">
        <v>2586595</v>
      </c>
      <c r="CX7" s="54">
        <v>13966</v>
      </c>
      <c r="CY7" s="54">
        <v>0</v>
      </c>
      <c r="CZ7" s="54">
        <v>1623388</v>
      </c>
      <c r="DA7" s="54">
        <v>8910646</v>
      </c>
      <c r="DB7" s="54">
        <v>0</v>
      </c>
      <c r="DC7" s="54">
        <v>0</v>
      </c>
      <c r="DD7" s="54">
        <v>0</v>
      </c>
      <c r="DE7" s="54">
        <v>0</v>
      </c>
      <c r="DF7" s="54">
        <v>0</v>
      </c>
      <c r="DG7" s="54">
        <v>0</v>
      </c>
      <c r="DH7" s="54">
        <v>1217648</v>
      </c>
      <c r="DI7" s="54">
        <v>218365</v>
      </c>
      <c r="DJ7" s="54">
        <v>25414</v>
      </c>
      <c r="DK7" s="54">
        <v>129283</v>
      </c>
      <c r="DL7" s="54">
        <v>137314</v>
      </c>
      <c r="DM7" s="54">
        <v>1728024</v>
      </c>
      <c r="DN7" s="54">
        <v>7922589</v>
      </c>
      <c r="DO7" s="54">
        <v>1748229</v>
      </c>
      <c r="DP7" s="54">
        <v>116537</v>
      </c>
      <c r="DQ7" s="54">
        <v>1002076</v>
      </c>
      <c r="DR7" s="54">
        <v>27352</v>
      </c>
      <c r="DS7" s="54">
        <v>10816783</v>
      </c>
      <c r="DT7" s="54">
        <v>39075</v>
      </c>
      <c r="DU7" s="54">
        <v>0</v>
      </c>
      <c r="DV7" s="54">
        <v>0</v>
      </c>
      <c r="DW7" s="54">
        <v>0</v>
      </c>
      <c r="DX7" s="54">
        <v>0</v>
      </c>
      <c r="DY7" s="62">
        <v>39075</v>
      </c>
      <c r="DZ7" s="54">
        <v>1206</v>
      </c>
      <c r="EA7" s="54">
        <v>0</v>
      </c>
      <c r="EB7" s="54">
        <v>0</v>
      </c>
      <c r="EC7" s="54">
        <v>48624</v>
      </c>
      <c r="ED7" s="54">
        <v>191679</v>
      </c>
      <c r="EE7" s="54">
        <v>241509</v>
      </c>
      <c r="EF7" s="54">
        <v>176965</v>
      </c>
      <c r="EG7" s="54">
        <v>39156</v>
      </c>
      <c r="EH7" s="54">
        <v>3331</v>
      </c>
      <c r="EI7" s="54">
        <v>200580</v>
      </c>
      <c r="EJ7" s="54">
        <v>297922</v>
      </c>
      <c r="EK7" s="54">
        <v>717954</v>
      </c>
      <c r="EL7" s="54">
        <v>28296237</v>
      </c>
      <c r="EM7" s="54">
        <v>8648861</v>
      </c>
      <c r="EN7" s="54">
        <v>1451691</v>
      </c>
      <c r="EO7" s="54">
        <v>3921710</v>
      </c>
      <c r="EP7" s="54">
        <v>12975614</v>
      </c>
      <c r="EQ7" s="54">
        <v>55294113</v>
      </c>
      <c r="ER7" s="54">
        <v>3552722</v>
      </c>
      <c r="ES7" s="54">
        <v>546530</v>
      </c>
      <c r="ET7" s="54">
        <v>527694</v>
      </c>
      <c r="EU7" s="54">
        <v>5028001</v>
      </c>
      <c r="EV7" s="54">
        <v>707139</v>
      </c>
      <c r="EW7" s="54">
        <v>10362086</v>
      </c>
      <c r="EX7" s="54">
        <v>1415000</v>
      </c>
      <c r="EY7" s="54">
        <v>518096</v>
      </c>
      <c r="EZ7" s="54">
        <v>44104</v>
      </c>
      <c r="FA7" s="54">
        <v>75710</v>
      </c>
      <c r="FB7" s="54">
        <v>0</v>
      </c>
      <c r="FC7" s="54">
        <v>2052910</v>
      </c>
      <c r="FD7" s="54">
        <v>3550507</v>
      </c>
      <c r="FE7" s="54">
        <v>1890647</v>
      </c>
      <c r="FF7" s="54">
        <v>1293538</v>
      </c>
      <c r="FG7" s="54">
        <v>3725019</v>
      </c>
      <c r="FH7" s="54">
        <v>0</v>
      </c>
      <c r="FI7" s="54">
        <v>10459711</v>
      </c>
      <c r="FJ7" s="54">
        <v>56614</v>
      </c>
      <c r="FK7" s="54">
        <v>32774</v>
      </c>
      <c r="FL7" s="54">
        <v>22100</v>
      </c>
      <c r="FM7" s="54">
        <v>128515</v>
      </c>
      <c r="FN7" s="54">
        <v>0</v>
      </c>
      <c r="FO7" s="54">
        <v>240003</v>
      </c>
      <c r="FP7" s="54">
        <v>579697</v>
      </c>
      <c r="FQ7" s="54">
        <v>172374</v>
      </c>
      <c r="FR7" s="54">
        <v>86410</v>
      </c>
      <c r="FS7" s="54">
        <v>261736</v>
      </c>
      <c r="FT7" s="54">
        <v>6638793</v>
      </c>
      <c r="FU7" s="54">
        <v>7739010</v>
      </c>
      <c r="FV7" s="54">
        <v>1500</v>
      </c>
      <c r="FW7" s="54">
        <v>1200</v>
      </c>
      <c r="FX7" s="54">
        <v>1200</v>
      </c>
      <c r="FY7" s="54">
        <v>2400</v>
      </c>
      <c r="FZ7" s="54">
        <v>119323</v>
      </c>
      <c r="GA7" s="54">
        <v>125623</v>
      </c>
      <c r="GB7" s="54">
        <v>0</v>
      </c>
      <c r="GC7" s="54">
        <v>0</v>
      </c>
      <c r="GD7" s="54">
        <v>0</v>
      </c>
      <c r="GE7" s="54">
        <v>0</v>
      </c>
      <c r="GF7" s="54">
        <v>0</v>
      </c>
      <c r="GG7" s="54">
        <v>0</v>
      </c>
      <c r="GH7" s="54">
        <v>229464</v>
      </c>
      <c r="GI7" s="54">
        <v>136405</v>
      </c>
      <c r="GJ7" s="54">
        <v>67405</v>
      </c>
      <c r="GK7" s="54">
        <v>289837</v>
      </c>
      <c r="GL7" s="54">
        <v>0</v>
      </c>
      <c r="GM7" s="54">
        <v>723111</v>
      </c>
      <c r="GN7" s="54">
        <v>853913</v>
      </c>
      <c r="GO7" s="54">
        <v>343730</v>
      </c>
      <c r="GP7" s="54">
        <v>200491</v>
      </c>
      <c r="GQ7" s="54">
        <v>1559241</v>
      </c>
      <c r="GR7" s="54">
        <v>13405</v>
      </c>
      <c r="GS7" s="54">
        <v>2970780</v>
      </c>
      <c r="GT7" s="54">
        <v>831162</v>
      </c>
      <c r="GU7" s="54">
        <v>144049</v>
      </c>
      <c r="GV7" s="54">
        <v>112241</v>
      </c>
      <c r="GW7" s="54">
        <v>976570</v>
      </c>
      <c r="GX7" s="54">
        <v>416278</v>
      </c>
      <c r="GY7" s="54">
        <v>2480300</v>
      </c>
      <c r="GZ7" s="54">
        <v>2106412</v>
      </c>
      <c r="HA7" s="54">
        <v>308012</v>
      </c>
      <c r="HB7" s="54">
        <v>164468</v>
      </c>
      <c r="HC7" s="54">
        <v>414608</v>
      </c>
      <c r="HD7" s="54">
        <v>36829</v>
      </c>
      <c r="HE7" s="54">
        <v>3030329</v>
      </c>
      <c r="HF7" s="54">
        <v>1021313</v>
      </c>
      <c r="HG7" s="54">
        <v>105716</v>
      </c>
      <c r="HH7" s="54">
        <v>36213</v>
      </c>
      <c r="HI7" s="54">
        <v>182875</v>
      </c>
      <c r="HJ7" s="54">
        <v>737575</v>
      </c>
      <c r="HK7" s="54">
        <v>2083692</v>
      </c>
      <c r="HL7" s="54">
        <v>107593</v>
      </c>
      <c r="HM7" s="54">
        <v>0</v>
      </c>
      <c r="HN7" s="54">
        <v>0</v>
      </c>
      <c r="HO7" s="54">
        <v>0</v>
      </c>
      <c r="HP7" s="54">
        <v>0</v>
      </c>
      <c r="HQ7" s="54">
        <v>107593</v>
      </c>
      <c r="HR7" s="54">
        <v>1148975</v>
      </c>
      <c r="HS7" s="54">
        <v>1799674</v>
      </c>
      <c r="HT7" s="54">
        <v>1798938</v>
      </c>
      <c r="HU7" s="54">
        <v>751554</v>
      </c>
      <c r="HV7" s="54">
        <v>2010225</v>
      </c>
      <c r="HW7" s="54">
        <v>7509366</v>
      </c>
      <c r="HX7" s="54">
        <v>1871</v>
      </c>
      <c r="HY7" s="54">
        <v>1871</v>
      </c>
      <c r="HZ7" s="54">
        <v>1871</v>
      </c>
      <c r="IA7" s="54">
        <v>0</v>
      </c>
      <c r="IB7" s="54">
        <v>0</v>
      </c>
      <c r="IC7" s="54">
        <v>5613</v>
      </c>
      <c r="ID7" s="54">
        <v>473806</v>
      </c>
      <c r="IE7" s="54">
        <v>80358</v>
      </c>
      <c r="IF7" s="54">
        <v>80358</v>
      </c>
      <c r="IG7" s="54">
        <v>383819</v>
      </c>
      <c r="IH7" s="54">
        <v>318135</v>
      </c>
      <c r="II7" s="54">
        <v>1336476</v>
      </c>
      <c r="IJ7" s="54">
        <v>310564</v>
      </c>
      <c r="IK7" s="54">
        <v>31805</v>
      </c>
      <c r="IL7" s="54">
        <v>75025</v>
      </c>
      <c r="IM7" s="54">
        <v>569523</v>
      </c>
      <c r="IN7" s="54">
        <v>69315</v>
      </c>
      <c r="IO7" s="54">
        <v>1056232</v>
      </c>
      <c r="IP7" s="54">
        <v>1200</v>
      </c>
      <c r="IQ7" s="54">
        <v>2889</v>
      </c>
      <c r="IR7" s="54">
        <v>890</v>
      </c>
      <c r="IS7" s="54">
        <v>17432</v>
      </c>
      <c r="IT7" s="54">
        <v>8735</v>
      </c>
      <c r="IU7" s="54">
        <v>31146</v>
      </c>
      <c r="IV7" s="54">
        <v>366196</v>
      </c>
      <c r="IW7" s="54">
        <v>166551</v>
      </c>
      <c r="IX7" s="54">
        <v>130631</v>
      </c>
      <c r="IY7" s="54">
        <v>846903</v>
      </c>
      <c r="IZ7" s="54">
        <v>3256622</v>
      </c>
      <c r="JA7" s="54">
        <v>4766903</v>
      </c>
      <c r="JB7" s="54">
        <v>16608509</v>
      </c>
      <c r="JC7" s="54">
        <v>6282681</v>
      </c>
      <c r="JD7" s="54">
        <v>4643577</v>
      </c>
      <c r="JE7" s="54">
        <v>15213743</v>
      </c>
      <c r="JF7" s="54">
        <v>14332374</v>
      </c>
      <c r="JG7" s="54">
        <v>57080884</v>
      </c>
      <c r="JH7" s="54">
        <v>0</v>
      </c>
      <c r="JI7" s="54">
        <v>0</v>
      </c>
      <c r="JJ7" s="54">
        <v>0</v>
      </c>
      <c r="JK7" s="54">
        <v>0</v>
      </c>
      <c r="JL7" s="54">
        <v>0</v>
      </c>
      <c r="JM7" s="54">
        <v>0</v>
      </c>
      <c r="JN7" s="54">
        <v>16608509</v>
      </c>
      <c r="JO7" s="54">
        <v>6282681</v>
      </c>
      <c r="JP7" s="54">
        <v>4643577</v>
      </c>
      <c r="JQ7" s="54">
        <v>15213743</v>
      </c>
      <c r="JR7" s="54">
        <v>14332374</v>
      </c>
      <c r="JS7" s="54">
        <v>57080884</v>
      </c>
      <c r="JU7" s="5">
        <f t="shared" si="0"/>
        <v>8103692</v>
      </c>
      <c r="JV7" s="26">
        <f t="shared" si="1"/>
        <v>0</v>
      </c>
      <c r="JW7" s="5">
        <f t="shared" si="2"/>
        <v>0</v>
      </c>
      <c r="JX7" s="26">
        <f t="shared" si="3"/>
        <v>0</v>
      </c>
      <c r="JY7" s="5">
        <f t="shared" si="4"/>
        <v>1726998</v>
      </c>
      <c r="JZ7" s="26">
        <f t="shared" si="5"/>
        <v>0</v>
      </c>
      <c r="KA7" s="5">
        <f t="shared" si="6"/>
        <v>11982854</v>
      </c>
      <c r="KB7" s="26">
        <f t="shared" si="7"/>
        <v>0</v>
      </c>
      <c r="KC7" s="5">
        <f t="shared" si="8"/>
        <v>365626</v>
      </c>
      <c r="KD7" s="26">
        <f t="shared" si="9"/>
        <v>0</v>
      </c>
      <c r="KE7" s="5">
        <f t="shared" si="10"/>
        <v>0</v>
      </c>
      <c r="KF7" s="26">
        <f t="shared" si="11"/>
        <v>0</v>
      </c>
      <c r="KG7" s="5">
        <f t="shared" si="12"/>
        <v>9324476</v>
      </c>
      <c r="KH7" s="26">
        <f t="shared" si="13"/>
        <v>0</v>
      </c>
      <c r="KI7" s="5">
        <f t="shared" si="14"/>
        <v>1336476</v>
      </c>
      <c r="KJ7" s="26">
        <f t="shared" si="15"/>
        <v>0</v>
      </c>
      <c r="KK7" s="5">
        <f t="shared" si="16"/>
        <v>8910646</v>
      </c>
      <c r="KL7" s="26">
        <f t="shared" si="17"/>
        <v>0</v>
      </c>
      <c r="KM7" s="5">
        <f t="shared" si="18"/>
        <v>0</v>
      </c>
      <c r="KN7" s="26">
        <f t="shared" si="19"/>
        <v>0</v>
      </c>
      <c r="KO7" s="5">
        <f t="shared" si="20"/>
        <v>1728024</v>
      </c>
      <c r="KP7" s="26">
        <f t="shared" si="21"/>
        <v>0</v>
      </c>
      <c r="KQ7" s="5">
        <f t="shared" si="22"/>
        <v>10816783</v>
      </c>
      <c r="KR7" s="26">
        <f t="shared" si="23"/>
        <v>0</v>
      </c>
      <c r="KS7" s="5">
        <f t="shared" si="24"/>
        <v>39075</v>
      </c>
      <c r="KT7" s="26">
        <f t="shared" si="25"/>
        <v>0</v>
      </c>
      <c r="KU7" s="5">
        <f t="shared" si="26"/>
        <v>241509</v>
      </c>
      <c r="KV7" s="26">
        <f t="shared" si="27"/>
        <v>0</v>
      </c>
      <c r="KW7" s="5">
        <f t="shared" si="28"/>
        <v>717954</v>
      </c>
      <c r="KX7" s="26">
        <f t="shared" si="29"/>
        <v>0</v>
      </c>
      <c r="KY7" s="5">
        <f t="shared" si="30"/>
        <v>55294113</v>
      </c>
      <c r="KZ7" s="26">
        <f t="shared" si="31"/>
        <v>0</v>
      </c>
      <c r="LA7" s="5">
        <f t="shared" si="32"/>
        <v>10362086</v>
      </c>
      <c r="LB7" s="26">
        <f t="shared" si="33"/>
        <v>0</v>
      </c>
      <c r="LC7" s="5">
        <f t="shared" si="34"/>
        <v>2052910</v>
      </c>
      <c r="LD7" s="26">
        <f t="shared" si="35"/>
        <v>0</v>
      </c>
      <c r="LE7" s="5">
        <f t="shared" si="36"/>
        <v>10459711</v>
      </c>
      <c r="LF7" s="26">
        <f t="shared" si="37"/>
        <v>0</v>
      </c>
      <c r="LG7" s="5">
        <f t="shared" si="38"/>
        <v>240003</v>
      </c>
      <c r="LH7" s="26">
        <f t="shared" si="39"/>
        <v>0</v>
      </c>
      <c r="LI7" s="5">
        <f t="shared" si="40"/>
        <v>7739010</v>
      </c>
      <c r="LJ7" s="26">
        <f t="shared" si="41"/>
        <v>0</v>
      </c>
      <c r="LK7" s="5">
        <f t="shared" si="42"/>
        <v>125623</v>
      </c>
      <c r="LL7" s="26">
        <f t="shared" si="43"/>
        <v>0</v>
      </c>
      <c r="LM7" s="5">
        <f t="shared" si="44"/>
        <v>0</v>
      </c>
      <c r="LN7" s="26">
        <f t="shared" si="45"/>
        <v>0</v>
      </c>
      <c r="LO7" s="5">
        <f t="shared" si="46"/>
        <v>723111</v>
      </c>
      <c r="LP7" s="26">
        <f t="shared" si="47"/>
        <v>0</v>
      </c>
      <c r="LQ7" s="5">
        <f t="shared" si="48"/>
        <v>2970780</v>
      </c>
      <c r="LR7" s="26">
        <f t="shared" si="49"/>
        <v>0</v>
      </c>
      <c r="LS7" s="5">
        <f t="shared" si="50"/>
        <v>2480300</v>
      </c>
      <c r="LT7" s="26">
        <f t="shared" si="51"/>
        <v>0</v>
      </c>
      <c r="LU7" s="5">
        <f t="shared" si="52"/>
        <v>3030329</v>
      </c>
      <c r="LV7" s="26">
        <f t="shared" si="53"/>
        <v>0</v>
      </c>
      <c r="LW7" s="5">
        <f t="shared" si="54"/>
        <v>2083692</v>
      </c>
      <c r="LX7" s="26">
        <f t="shared" si="55"/>
        <v>0</v>
      </c>
      <c r="LY7" s="5">
        <f t="shared" si="56"/>
        <v>107593</v>
      </c>
      <c r="LZ7" s="26">
        <f t="shared" si="57"/>
        <v>0</v>
      </c>
      <c r="MA7" s="5">
        <f t="shared" si="58"/>
        <v>7509366</v>
      </c>
      <c r="MB7" s="26">
        <f t="shared" si="59"/>
        <v>0</v>
      </c>
      <c r="MC7" s="5">
        <f t="shared" si="60"/>
        <v>5613</v>
      </c>
      <c r="MD7" s="26">
        <f t="shared" si="61"/>
        <v>0</v>
      </c>
      <c r="ME7" s="5">
        <f t="shared" si="62"/>
        <v>1336476</v>
      </c>
      <c r="MF7" s="26">
        <f t="shared" si="63"/>
        <v>0</v>
      </c>
      <c r="MG7" s="5">
        <f t="shared" si="64"/>
        <v>1056232</v>
      </c>
      <c r="MH7" s="26">
        <f t="shared" si="65"/>
        <v>0</v>
      </c>
      <c r="MI7" s="5">
        <f t="shared" si="66"/>
        <v>31146</v>
      </c>
      <c r="MJ7" s="26">
        <f t="shared" si="67"/>
        <v>0</v>
      </c>
      <c r="MK7" s="5">
        <f t="shared" si="68"/>
        <v>4766903</v>
      </c>
      <c r="ML7" s="26">
        <f t="shared" si="69"/>
        <v>0</v>
      </c>
      <c r="MM7" s="5">
        <f t="shared" si="70"/>
        <v>57080884</v>
      </c>
      <c r="MN7" s="26">
        <f t="shared" si="71"/>
        <v>0</v>
      </c>
      <c r="MO7" s="5">
        <f t="shared" si="72"/>
        <v>0</v>
      </c>
      <c r="MP7" s="26">
        <f t="shared" si="73"/>
        <v>0</v>
      </c>
      <c r="MQ7" s="5">
        <f t="shared" si="74"/>
        <v>57080884</v>
      </c>
      <c r="MR7" s="26">
        <f t="shared" si="75"/>
        <v>0</v>
      </c>
      <c r="MT7" s="5">
        <f t="shared" si="76"/>
        <v>0</v>
      </c>
      <c r="MV7" s="4">
        <f t="shared" si="77"/>
        <v>0</v>
      </c>
    </row>
    <row r="8" spans="1:360" x14ac:dyDescent="0.15">
      <c r="A8" s="155" t="s">
        <v>287</v>
      </c>
      <c r="B8" s="25" t="s">
        <v>481</v>
      </c>
      <c r="C8" s="109">
        <v>220978</v>
      </c>
      <c r="D8" s="105">
        <v>2011</v>
      </c>
      <c r="E8" s="106">
        <v>1</v>
      </c>
      <c r="F8" s="106">
        <v>5</v>
      </c>
      <c r="G8" s="107">
        <v>7573</v>
      </c>
      <c r="H8" s="107">
        <v>7212</v>
      </c>
      <c r="I8" s="108">
        <v>547737733</v>
      </c>
      <c r="J8" s="108"/>
      <c r="K8" s="108">
        <v>7335672</v>
      </c>
      <c r="L8" s="108"/>
      <c r="M8" s="108">
        <v>39049839</v>
      </c>
      <c r="N8" s="108"/>
      <c r="O8" s="108">
        <v>64081740</v>
      </c>
      <c r="P8" s="108"/>
      <c r="Q8" s="108">
        <v>572932656</v>
      </c>
      <c r="R8" s="108"/>
      <c r="S8" s="108">
        <v>419123907</v>
      </c>
      <c r="T8" s="108"/>
      <c r="U8" s="108">
        <v>15210</v>
      </c>
      <c r="V8" s="108"/>
      <c r="W8" s="108">
        <v>24442</v>
      </c>
      <c r="X8" s="108"/>
      <c r="Y8" s="108">
        <v>19490</v>
      </c>
      <c r="Z8" s="108"/>
      <c r="AA8" s="108">
        <v>28722</v>
      </c>
      <c r="AB8" s="108"/>
      <c r="AC8" s="130">
        <v>8</v>
      </c>
      <c r="AD8" s="130">
        <v>11</v>
      </c>
      <c r="AE8" s="130">
        <v>0</v>
      </c>
      <c r="AF8" s="26">
        <v>3951785</v>
      </c>
      <c r="AG8" s="26">
        <v>3323173</v>
      </c>
      <c r="AH8" s="26">
        <v>1060500</v>
      </c>
      <c r="AI8" s="26">
        <v>420057</v>
      </c>
      <c r="AJ8" s="26">
        <v>1098440.6666666667</v>
      </c>
      <c r="AK8" s="36">
        <v>6</v>
      </c>
      <c r="AL8" s="26">
        <v>1098440.6666666667</v>
      </c>
      <c r="AM8" s="36">
        <v>6</v>
      </c>
      <c r="AN8" s="26">
        <v>193893.33333333334</v>
      </c>
      <c r="AO8" s="36">
        <v>9</v>
      </c>
      <c r="AP8" s="26">
        <v>193893.33333333334</v>
      </c>
      <c r="AQ8" s="36">
        <v>9</v>
      </c>
      <c r="AR8" s="26">
        <v>250127.5</v>
      </c>
      <c r="AS8" s="36">
        <v>18</v>
      </c>
      <c r="AT8" s="26">
        <v>250127.5</v>
      </c>
      <c r="AU8" s="36">
        <v>18</v>
      </c>
      <c r="AV8" s="26">
        <v>80860.470588235301</v>
      </c>
      <c r="AW8" s="36">
        <v>17</v>
      </c>
      <c r="AX8" s="26">
        <v>80860.470588235301</v>
      </c>
      <c r="AY8" s="36">
        <v>17</v>
      </c>
      <c r="AZ8" s="54">
        <v>28479575</v>
      </c>
      <c r="BA8" s="54">
        <v>5810167</v>
      </c>
      <c r="BB8" s="54">
        <v>97411</v>
      </c>
      <c r="BC8" s="54">
        <v>1544398</v>
      </c>
      <c r="BD8" s="54">
        <v>0</v>
      </c>
      <c r="BE8" s="54">
        <v>35931551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35000</v>
      </c>
      <c r="BN8" s="54">
        <v>8000</v>
      </c>
      <c r="BO8" s="54">
        <v>8700</v>
      </c>
      <c r="BP8" s="54">
        <v>0</v>
      </c>
      <c r="BQ8" s="54">
        <v>51700</v>
      </c>
      <c r="BR8" s="54">
        <v>15443739</v>
      </c>
      <c r="BS8" s="54">
        <v>3099465</v>
      </c>
      <c r="BT8" s="54">
        <v>0</v>
      </c>
      <c r="BU8" s="54">
        <v>458269</v>
      </c>
      <c r="BV8" s="54">
        <v>960591</v>
      </c>
      <c r="BW8" s="54">
        <v>19962064</v>
      </c>
      <c r="BX8" s="54">
        <v>0</v>
      </c>
      <c r="BY8" s="54">
        <v>0</v>
      </c>
      <c r="BZ8" s="54">
        <v>0</v>
      </c>
      <c r="CA8" s="54">
        <v>73500</v>
      </c>
      <c r="CB8" s="54">
        <v>0</v>
      </c>
      <c r="CC8" s="54">
        <v>73500</v>
      </c>
      <c r="CD8" s="54">
        <v>0</v>
      </c>
      <c r="CE8" s="54">
        <v>0</v>
      </c>
      <c r="CF8" s="54">
        <v>0</v>
      </c>
      <c r="CG8" s="54">
        <v>0</v>
      </c>
      <c r="CH8" s="54">
        <v>0</v>
      </c>
      <c r="CI8" s="54">
        <v>0</v>
      </c>
      <c r="CJ8" s="54">
        <v>621655</v>
      </c>
      <c r="CK8" s="54">
        <v>121869</v>
      </c>
      <c r="CL8" s="54">
        <v>138487</v>
      </c>
      <c r="CM8" s="54">
        <v>968489</v>
      </c>
      <c r="CN8" s="54">
        <v>0</v>
      </c>
      <c r="CO8" s="54">
        <v>1850500</v>
      </c>
      <c r="CP8" s="54">
        <v>0</v>
      </c>
      <c r="CQ8" s="54">
        <v>0</v>
      </c>
      <c r="CR8" s="54">
        <v>0</v>
      </c>
      <c r="CS8" s="54">
        <v>0</v>
      </c>
      <c r="CT8" s="54">
        <v>0</v>
      </c>
      <c r="CU8" s="54">
        <v>0</v>
      </c>
      <c r="CV8" s="54">
        <v>15115546</v>
      </c>
      <c r="CW8" s="54">
        <v>5048639</v>
      </c>
      <c r="CX8" s="54">
        <v>30845</v>
      </c>
      <c r="CY8" s="54">
        <v>225816</v>
      </c>
      <c r="CZ8" s="54">
        <v>1603306</v>
      </c>
      <c r="DA8" s="54">
        <v>22024152</v>
      </c>
      <c r="DB8" s="54">
        <v>700000</v>
      </c>
      <c r="DC8" s="54">
        <v>375000</v>
      </c>
      <c r="DD8" s="54">
        <v>0</v>
      </c>
      <c r="DE8" s="54">
        <v>0</v>
      </c>
      <c r="DF8" s="54">
        <v>0</v>
      </c>
      <c r="DG8" s="54">
        <v>1075000</v>
      </c>
      <c r="DH8" s="54">
        <v>626132</v>
      </c>
      <c r="DI8" s="54">
        <v>118373</v>
      </c>
      <c r="DJ8" s="54">
        <v>17553</v>
      </c>
      <c r="DK8" s="54">
        <v>125618</v>
      </c>
      <c r="DL8" s="54">
        <v>898586</v>
      </c>
      <c r="DM8" s="54">
        <v>1786262</v>
      </c>
      <c r="DN8" s="54">
        <v>75000</v>
      </c>
      <c r="DO8" s="54">
        <v>0</v>
      </c>
      <c r="DP8" s="54">
        <v>0</v>
      </c>
      <c r="DQ8" s="54">
        <v>0</v>
      </c>
      <c r="DR8" s="54">
        <v>7885239</v>
      </c>
      <c r="DS8" s="54">
        <v>7960239</v>
      </c>
      <c r="DT8" s="54">
        <v>1250</v>
      </c>
      <c r="DU8" s="54">
        <v>0</v>
      </c>
      <c r="DV8" s="54">
        <v>1361</v>
      </c>
      <c r="DW8" s="54">
        <v>6440</v>
      </c>
      <c r="DX8" s="54">
        <v>0</v>
      </c>
      <c r="DY8" s="54">
        <v>9051</v>
      </c>
      <c r="DZ8" s="54">
        <v>0</v>
      </c>
      <c r="EA8" s="54">
        <v>0</v>
      </c>
      <c r="EB8" s="54">
        <v>0</v>
      </c>
      <c r="EC8" s="54">
        <v>0</v>
      </c>
      <c r="ED8" s="54">
        <v>314779</v>
      </c>
      <c r="EE8" s="54">
        <v>314779</v>
      </c>
      <c r="EF8" s="54">
        <v>68810</v>
      </c>
      <c r="EG8" s="54">
        <v>0</v>
      </c>
      <c r="EH8" s="54">
        <v>0</v>
      </c>
      <c r="EI8" s="54">
        <v>64667</v>
      </c>
      <c r="EJ8" s="54">
        <v>595837</v>
      </c>
      <c r="EK8" s="54">
        <v>729314</v>
      </c>
      <c r="EL8" s="54">
        <v>61131707</v>
      </c>
      <c r="EM8" s="54">
        <v>14608513</v>
      </c>
      <c r="EN8" s="54">
        <v>293657</v>
      </c>
      <c r="EO8" s="54">
        <v>3475897</v>
      </c>
      <c r="EP8" s="54">
        <v>12258338</v>
      </c>
      <c r="EQ8" s="54">
        <v>91768112</v>
      </c>
      <c r="ER8" s="54">
        <v>2580733</v>
      </c>
      <c r="ES8" s="54">
        <v>430827</v>
      </c>
      <c r="ET8" s="54">
        <v>482884</v>
      </c>
      <c r="EU8" s="54">
        <v>3780514</v>
      </c>
      <c r="EV8" s="54">
        <v>167971</v>
      </c>
      <c r="EW8" s="54">
        <v>7442929</v>
      </c>
      <c r="EX8" s="54">
        <v>1475000</v>
      </c>
      <c r="EY8" s="54">
        <v>921963</v>
      </c>
      <c r="EZ8" s="54">
        <v>103278</v>
      </c>
      <c r="FA8" s="54">
        <v>98087</v>
      </c>
      <c r="FB8" s="54">
        <v>0</v>
      </c>
      <c r="FC8" s="54">
        <v>2598328</v>
      </c>
      <c r="FD8" s="54">
        <v>6705574</v>
      </c>
      <c r="FE8" s="54">
        <v>2558051</v>
      </c>
      <c r="FF8" s="54">
        <v>908519</v>
      </c>
      <c r="FG8" s="54">
        <v>4040463</v>
      </c>
      <c r="FH8" s="54">
        <v>0</v>
      </c>
      <c r="FI8" s="54">
        <v>14212607</v>
      </c>
      <c r="FJ8" s="54">
        <v>0</v>
      </c>
      <c r="FK8" s="54">
        <v>0</v>
      </c>
      <c r="FL8" s="54">
        <v>0</v>
      </c>
      <c r="FM8" s="54">
        <v>73500</v>
      </c>
      <c r="FN8" s="54">
        <v>0</v>
      </c>
      <c r="FO8" s="54">
        <v>73500</v>
      </c>
      <c r="FP8" s="54">
        <v>577267</v>
      </c>
      <c r="FQ8" s="54">
        <v>356063</v>
      </c>
      <c r="FR8" s="54">
        <v>182308</v>
      </c>
      <c r="FS8" s="54">
        <v>315876</v>
      </c>
      <c r="FT8" s="54">
        <v>12998452</v>
      </c>
      <c r="FU8" s="54">
        <v>14429966</v>
      </c>
      <c r="FV8" s="54">
        <v>0</v>
      </c>
      <c r="FW8" s="54">
        <v>0</v>
      </c>
      <c r="FX8" s="54">
        <v>0</v>
      </c>
      <c r="FY8" s="54">
        <v>0</v>
      </c>
      <c r="FZ8" s="54">
        <v>0</v>
      </c>
      <c r="GA8" s="54">
        <v>0</v>
      </c>
      <c r="GB8" s="54">
        <v>0</v>
      </c>
      <c r="GC8" s="54">
        <v>1274874</v>
      </c>
      <c r="GD8" s="54">
        <v>0</v>
      </c>
      <c r="GE8" s="54">
        <v>0</v>
      </c>
      <c r="GF8" s="54">
        <v>23175</v>
      </c>
      <c r="GG8" s="54">
        <v>1298049</v>
      </c>
      <c r="GH8" s="54">
        <v>666419</v>
      </c>
      <c r="GI8" s="54">
        <v>208435</v>
      </c>
      <c r="GJ8" s="54">
        <v>128185</v>
      </c>
      <c r="GK8" s="54">
        <v>477518</v>
      </c>
      <c r="GL8" s="54">
        <v>0</v>
      </c>
      <c r="GM8" s="54">
        <v>1480557</v>
      </c>
      <c r="GN8" s="54">
        <v>3257936</v>
      </c>
      <c r="GO8" s="54">
        <v>729067</v>
      </c>
      <c r="GP8" s="54">
        <v>452775</v>
      </c>
      <c r="GQ8" s="54">
        <v>2918167</v>
      </c>
      <c r="GR8" s="54">
        <v>0</v>
      </c>
      <c r="GS8" s="54">
        <v>7357945</v>
      </c>
      <c r="GT8" s="54">
        <v>1179619</v>
      </c>
      <c r="GU8" s="54">
        <v>111902</v>
      </c>
      <c r="GV8" s="54">
        <v>64421</v>
      </c>
      <c r="GW8" s="54">
        <v>960342</v>
      </c>
      <c r="GX8" s="54">
        <v>0</v>
      </c>
      <c r="GY8" s="54">
        <v>2316284</v>
      </c>
      <c r="GZ8" s="54">
        <v>2780872</v>
      </c>
      <c r="HA8" s="54">
        <v>675173</v>
      </c>
      <c r="HB8" s="54">
        <v>251115</v>
      </c>
      <c r="HC8" s="54">
        <v>762383</v>
      </c>
      <c r="HD8" s="54">
        <v>0</v>
      </c>
      <c r="HE8" s="54">
        <v>4469543</v>
      </c>
      <c r="HF8" s="54">
        <v>395404</v>
      </c>
      <c r="HG8" s="54">
        <v>103794</v>
      </c>
      <c r="HH8" s="54">
        <v>22939</v>
      </c>
      <c r="HI8" s="54">
        <v>54520</v>
      </c>
      <c r="HJ8" s="54">
        <v>1109533</v>
      </c>
      <c r="HK8" s="54">
        <v>1686190</v>
      </c>
      <c r="HL8" s="54">
        <v>0</v>
      </c>
      <c r="HM8" s="54">
        <v>0</v>
      </c>
      <c r="HN8" s="54">
        <v>0</v>
      </c>
      <c r="HO8" s="54">
        <v>0</v>
      </c>
      <c r="HP8" s="54">
        <v>0</v>
      </c>
      <c r="HQ8" s="54">
        <v>0</v>
      </c>
      <c r="HR8" s="54">
        <v>2519631</v>
      </c>
      <c r="HS8" s="54">
        <v>1368409</v>
      </c>
      <c r="HT8" s="54">
        <v>1203954</v>
      </c>
      <c r="HU8" s="54">
        <v>2005950</v>
      </c>
      <c r="HV8" s="54">
        <v>5087706</v>
      </c>
      <c r="HW8" s="54">
        <v>12185650</v>
      </c>
      <c r="HX8" s="54">
        <v>0</v>
      </c>
      <c r="HY8" s="54">
        <v>0</v>
      </c>
      <c r="HZ8" s="54">
        <v>0</v>
      </c>
      <c r="IA8" s="54">
        <v>0</v>
      </c>
      <c r="IB8" s="54">
        <v>1037704</v>
      </c>
      <c r="IC8" s="54">
        <v>1037704</v>
      </c>
      <c r="ID8" s="54">
        <v>0</v>
      </c>
      <c r="IE8" s="54">
        <v>0</v>
      </c>
      <c r="IF8" s="54">
        <v>0</v>
      </c>
      <c r="IG8" s="54">
        <v>0</v>
      </c>
      <c r="IH8" s="54">
        <v>0</v>
      </c>
      <c r="II8" s="54">
        <v>0</v>
      </c>
      <c r="IJ8" s="54">
        <v>275186</v>
      </c>
      <c r="IK8" s="54">
        <v>49024</v>
      </c>
      <c r="IL8" s="54">
        <v>53136</v>
      </c>
      <c r="IM8" s="54">
        <v>409338</v>
      </c>
      <c r="IN8" s="54">
        <v>359164</v>
      </c>
      <c r="IO8" s="54">
        <v>1145848</v>
      </c>
      <c r="IP8" s="54">
        <v>25</v>
      </c>
      <c r="IQ8" s="54">
        <v>155</v>
      </c>
      <c r="IR8" s="54">
        <v>1080</v>
      </c>
      <c r="IS8" s="54">
        <v>5091</v>
      </c>
      <c r="IT8" s="54">
        <v>23135</v>
      </c>
      <c r="IU8" s="54">
        <v>29486</v>
      </c>
      <c r="IV8" s="54">
        <v>1645525</v>
      </c>
      <c r="IW8" s="54">
        <v>760397</v>
      </c>
      <c r="IX8" s="54">
        <v>101220</v>
      </c>
      <c r="IY8" s="54">
        <v>622351</v>
      </c>
      <c r="IZ8" s="54">
        <v>4498909</v>
      </c>
      <c r="JA8" s="54">
        <v>7628402</v>
      </c>
      <c r="JB8" s="54">
        <v>24059191</v>
      </c>
      <c r="JC8" s="54">
        <v>9548134</v>
      </c>
      <c r="JD8" s="54">
        <v>3955814</v>
      </c>
      <c r="JE8" s="54">
        <v>16524100</v>
      </c>
      <c r="JF8" s="54">
        <v>25305749</v>
      </c>
      <c r="JG8" s="54">
        <v>79392988</v>
      </c>
      <c r="JH8" s="54">
        <v>0</v>
      </c>
      <c r="JI8" s="54">
        <v>0</v>
      </c>
      <c r="JJ8" s="54">
        <v>0</v>
      </c>
      <c r="JK8" s="54">
        <v>0</v>
      </c>
      <c r="JL8" s="54">
        <v>1089500</v>
      </c>
      <c r="JM8" s="54">
        <v>1089500</v>
      </c>
      <c r="JN8" s="54">
        <v>24059191</v>
      </c>
      <c r="JO8" s="54">
        <v>9548134</v>
      </c>
      <c r="JP8" s="54">
        <v>3955814</v>
      </c>
      <c r="JQ8" s="54">
        <v>16524100</v>
      </c>
      <c r="JR8" s="54">
        <v>26395249</v>
      </c>
      <c r="JS8" s="54">
        <v>80482488</v>
      </c>
      <c r="JU8" s="5">
        <f t="shared" si="0"/>
        <v>35931551</v>
      </c>
      <c r="JV8" s="26">
        <f t="shared" si="1"/>
        <v>0</v>
      </c>
      <c r="JW8" s="5">
        <f t="shared" si="2"/>
        <v>0</v>
      </c>
      <c r="JX8" s="26">
        <f t="shared" si="3"/>
        <v>0</v>
      </c>
      <c r="JY8" s="5">
        <f t="shared" si="4"/>
        <v>51700</v>
      </c>
      <c r="JZ8" s="26">
        <f t="shared" si="5"/>
        <v>0</v>
      </c>
      <c r="KA8" s="5">
        <f t="shared" si="6"/>
        <v>19962064</v>
      </c>
      <c r="KB8" s="26">
        <f t="shared" si="7"/>
        <v>0</v>
      </c>
      <c r="KC8" s="5">
        <f t="shared" si="8"/>
        <v>73500</v>
      </c>
      <c r="KD8" s="26">
        <f t="shared" si="9"/>
        <v>0</v>
      </c>
      <c r="KE8" s="5">
        <f t="shared" si="10"/>
        <v>0</v>
      </c>
      <c r="KF8" s="26">
        <f t="shared" si="11"/>
        <v>0</v>
      </c>
      <c r="KG8" s="5">
        <f t="shared" si="12"/>
        <v>1850500</v>
      </c>
      <c r="KH8" s="26">
        <f t="shared" si="13"/>
        <v>0</v>
      </c>
      <c r="KI8" s="5">
        <f t="shared" si="14"/>
        <v>0</v>
      </c>
      <c r="KJ8" s="26">
        <f t="shared" si="15"/>
        <v>0</v>
      </c>
      <c r="KK8" s="5">
        <f t="shared" si="16"/>
        <v>22024152</v>
      </c>
      <c r="KL8" s="26">
        <f t="shared" si="17"/>
        <v>0</v>
      </c>
      <c r="KM8" s="5">
        <f t="shared" si="18"/>
        <v>1075000</v>
      </c>
      <c r="KN8" s="26">
        <f t="shared" si="19"/>
        <v>0</v>
      </c>
      <c r="KO8" s="5">
        <f t="shared" si="20"/>
        <v>1786262</v>
      </c>
      <c r="KP8" s="26">
        <f t="shared" si="21"/>
        <v>0</v>
      </c>
      <c r="KQ8" s="5">
        <f t="shared" si="22"/>
        <v>7960239</v>
      </c>
      <c r="KR8" s="26">
        <f t="shared" si="23"/>
        <v>0</v>
      </c>
      <c r="KS8" s="5">
        <f t="shared" si="24"/>
        <v>9051</v>
      </c>
      <c r="KT8" s="26">
        <f t="shared" si="25"/>
        <v>0</v>
      </c>
      <c r="KU8" s="5">
        <f t="shared" si="26"/>
        <v>314779</v>
      </c>
      <c r="KV8" s="26">
        <f t="shared" si="27"/>
        <v>0</v>
      </c>
      <c r="KW8" s="5">
        <f t="shared" si="28"/>
        <v>729314</v>
      </c>
      <c r="KX8" s="26">
        <f t="shared" si="29"/>
        <v>0</v>
      </c>
      <c r="KY8" s="5">
        <f t="shared" si="30"/>
        <v>91768112</v>
      </c>
      <c r="KZ8" s="26">
        <f t="shared" si="31"/>
        <v>0</v>
      </c>
      <c r="LA8" s="5">
        <f t="shared" si="32"/>
        <v>7442929</v>
      </c>
      <c r="LB8" s="26">
        <f t="shared" si="33"/>
        <v>0</v>
      </c>
      <c r="LC8" s="5">
        <f t="shared" si="34"/>
        <v>2598328</v>
      </c>
      <c r="LD8" s="26">
        <f t="shared" si="35"/>
        <v>0</v>
      </c>
      <c r="LE8" s="5">
        <f t="shared" si="36"/>
        <v>14212607</v>
      </c>
      <c r="LF8" s="26">
        <f t="shared" si="37"/>
        <v>0</v>
      </c>
      <c r="LG8" s="5">
        <f t="shared" si="38"/>
        <v>73500</v>
      </c>
      <c r="LH8" s="26">
        <f t="shared" si="39"/>
        <v>0</v>
      </c>
      <c r="LI8" s="5">
        <f t="shared" si="40"/>
        <v>14429966</v>
      </c>
      <c r="LJ8" s="26">
        <f t="shared" si="41"/>
        <v>0</v>
      </c>
      <c r="LK8" s="5">
        <f t="shared" si="42"/>
        <v>0</v>
      </c>
      <c r="LL8" s="26">
        <f t="shared" si="43"/>
        <v>0</v>
      </c>
      <c r="LM8" s="5">
        <f t="shared" si="44"/>
        <v>1298049</v>
      </c>
      <c r="LN8" s="26">
        <f t="shared" si="45"/>
        <v>0</v>
      </c>
      <c r="LO8" s="5">
        <f t="shared" si="46"/>
        <v>1480557</v>
      </c>
      <c r="LP8" s="26">
        <f t="shared" si="47"/>
        <v>0</v>
      </c>
      <c r="LQ8" s="5">
        <f t="shared" si="48"/>
        <v>7357945</v>
      </c>
      <c r="LR8" s="26">
        <f t="shared" si="49"/>
        <v>0</v>
      </c>
      <c r="LS8" s="5">
        <f t="shared" si="50"/>
        <v>2316284</v>
      </c>
      <c r="LT8" s="26">
        <f t="shared" si="51"/>
        <v>0</v>
      </c>
      <c r="LU8" s="5">
        <f t="shared" si="52"/>
        <v>4469543</v>
      </c>
      <c r="LV8" s="26">
        <f t="shared" si="53"/>
        <v>0</v>
      </c>
      <c r="LW8" s="5">
        <f t="shared" si="54"/>
        <v>1686190</v>
      </c>
      <c r="LX8" s="26">
        <f t="shared" si="55"/>
        <v>0</v>
      </c>
      <c r="LY8" s="5">
        <f t="shared" si="56"/>
        <v>0</v>
      </c>
      <c r="LZ8" s="26">
        <f t="shared" si="57"/>
        <v>0</v>
      </c>
      <c r="MA8" s="5">
        <f t="shared" si="58"/>
        <v>12185650</v>
      </c>
      <c r="MB8" s="26">
        <f t="shared" si="59"/>
        <v>0</v>
      </c>
      <c r="MC8" s="5">
        <f t="shared" si="60"/>
        <v>1037704</v>
      </c>
      <c r="MD8" s="26">
        <f t="shared" si="61"/>
        <v>0</v>
      </c>
      <c r="ME8" s="5">
        <f t="shared" si="62"/>
        <v>0</v>
      </c>
      <c r="MF8" s="26">
        <f t="shared" si="63"/>
        <v>0</v>
      </c>
      <c r="MG8" s="5">
        <f t="shared" si="64"/>
        <v>1145848</v>
      </c>
      <c r="MH8" s="26">
        <f t="shared" si="65"/>
        <v>0</v>
      </c>
      <c r="MI8" s="5">
        <f t="shared" si="66"/>
        <v>29486</v>
      </c>
      <c r="MJ8" s="26">
        <f t="shared" si="67"/>
        <v>0</v>
      </c>
      <c r="MK8" s="5">
        <f t="shared" si="68"/>
        <v>7628402</v>
      </c>
      <c r="ML8" s="26">
        <f t="shared" si="69"/>
        <v>0</v>
      </c>
      <c r="MM8" s="5">
        <f t="shared" si="70"/>
        <v>79392988</v>
      </c>
      <c r="MN8" s="26">
        <f t="shared" si="71"/>
        <v>0</v>
      </c>
      <c r="MO8" s="5">
        <f t="shared" si="72"/>
        <v>1089500</v>
      </c>
      <c r="MP8" s="26">
        <f t="shared" si="73"/>
        <v>0</v>
      </c>
      <c r="MQ8" s="5">
        <f t="shared" si="74"/>
        <v>80482488</v>
      </c>
      <c r="MR8" s="26">
        <f t="shared" si="75"/>
        <v>0</v>
      </c>
      <c r="MT8" s="5">
        <f t="shared" si="76"/>
        <v>0</v>
      </c>
      <c r="MV8" s="4">
        <f t="shared" si="77"/>
        <v>0</v>
      </c>
    </row>
    <row r="9" spans="1:360" x14ac:dyDescent="0.15">
      <c r="A9" s="155" t="s">
        <v>288</v>
      </c>
      <c r="B9" s="25" t="s">
        <v>461</v>
      </c>
      <c r="C9" s="105">
        <v>106458</v>
      </c>
      <c r="D9" s="105">
        <v>2011</v>
      </c>
      <c r="E9" s="106">
        <v>1</v>
      </c>
      <c r="F9" s="106">
        <v>11</v>
      </c>
      <c r="G9" s="107">
        <v>3272</v>
      </c>
      <c r="H9" s="107">
        <v>4409</v>
      </c>
      <c r="I9" s="108">
        <v>187969159</v>
      </c>
      <c r="J9" s="108"/>
      <c r="K9" s="108">
        <v>0</v>
      </c>
      <c r="L9" s="108"/>
      <c r="M9" s="108">
        <v>10248796</v>
      </c>
      <c r="N9" s="108"/>
      <c r="O9" s="108">
        <v>0</v>
      </c>
      <c r="P9" s="108"/>
      <c r="Q9" s="108">
        <v>122172956</v>
      </c>
      <c r="R9" s="108"/>
      <c r="S9" s="108">
        <v>130304411</v>
      </c>
      <c r="T9" s="108"/>
      <c r="U9" s="108">
        <v>13584</v>
      </c>
      <c r="V9" s="108"/>
      <c r="W9" s="108">
        <v>21804</v>
      </c>
      <c r="X9" s="108"/>
      <c r="Y9" s="108">
        <v>18772</v>
      </c>
      <c r="Z9" s="108"/>
      <c r="AA9" s="108">
        <v>27322</v>
      </c>
      <c r="AB9" s="108"/>
      <c r="AC9" s="130">
        <v>7</v>
      </c>
      <c r="AD9" s="130">
        <v>9</v>
      </c>
      <c r="AE9" s="130">
        <v>0</v>
      </c>
      <c r="AF9" s="26">
        <v>2718724</v>
      </c>
      <c r="AG9" s="26">
        <v>1764248</v>
      </c>
      <c r="AH9" s="26">
        <v>204772</v>
      </c>
      <c r="AI9" s="26">
        <v>104456</v>
      </c>
      <c r="AJ9" s="26">
        <v>110753.33</v>
      </c>
      <c r="AK9" s="36">
        <v>4.5</v>
      </c>
      <c r="AL9" s="26">
        <v>99678</v>
      </c>
      <c r="AM9" s="36">
        <v>5</v>
      </c>
      <c r="AN9" s="26">
        <v>63634.46</v>
      </c>
      <c r="AO9" s="36">
        <v>6.5</v>
      </c>
      <c r="AP9" s="26">
        <v>59089.14</v>
      </c>
      <c r="AQ9" s="36">
        <v>7</v>
      </c>
      <c r="AR9" s="26">
        <v>73077.399999999994</v>
      </c>
      <c r="AS9" s="36">
        <v>15.75</v>
      </c>
      <c r="AT9" s="26">
        <v>54808.05</v>
      </c>
      <c r="AU9" s="36">
        <v>21</v>
      </c>
      <c r="AV9" s="26">
        <v>38992.46</v>
      </c>
      <c r="AW9" s="36">
        <v>6.5</v>
      </c>
      <c r="AX9" s="26">
        <v>23041</v>
      </c>
      <c r="AY9" s="36">
        <v>11</v>
      </c>
      <c r="AZ9" s="63">
        <v>480770</v>
      </c>
      <c r="BA9" s="63">
        <v>290955</v>
      </c>
      <c r="BB9" s="63">
        <v>45295</v>
      </c>
      <c r="BC9" s="63">
        <v>20448</v>
      </c>
      <c r="BD9" s="63">
        <v>0</v>
      </c>
      <c r="BE9" s="63">
        <v>837468</v>
      </c>
      <c r="BF9" s="54">
        <v>492984</v>
      </c>
      <c r="BG9" s="54">
        <v>260992</v>
      </c>
      <c r="BH9" s="54">
        <v>434986</v>
      </c>
      <c r="BI9" s="54">
        <v>1710945</v>
      </c>
      <c r="BJ9" s="54">
        <v>0</v>
      </c>
      <c r="BK9" s="54">
        <v>2899907</v>
      </c>
      <c r="BL9" s="63">
        <v>2600000</v>
      </c>
      <c r="BM9" s="63">
        <v>170000</v>
      </c>
      <c r="BN9" s="63">
        <v>15500</v>
      </c>
      <c r="BO9" s="63">
        <v>6750</v>
      </c>
      <c r="BP9" s="63">
        <v>0</v>
      </c>
      <c r="BQ9" s="63">
        <v>2792250</v>
      </c>
      <c r="BR9" s="63">
        <v>0</v>
      </c>
      <c r="BS9" s="63">
        <v>20413</v>
      </c>
      <c r="BT9" s="63">
        <v>0</v>
      </c>
      <c r="BU9" s="63">
        <v>0</v>
      </c>
      <c r="BV9" s="63">
        <v>44093</v>
      </c>
      <c r="BW9" s="63">
        <v>64506</v>
      </c>
      <c r="BX9" s="54">
        <v>308112</v>
      </c>
      <c r="BY9" s="54">
        <v>40012</v>
      </c>
      <c r="BZ9" s="54">
        <v>44792</v>
      </c>
      <c r="CA9" s="54">
        <v>84311</v>
      </c>
      <c r="CB9" s="54">
        <v>0</v>
      </c>
      <c r="CC9" s="54">
        <v>477227</v>
      </c>
      <c r="CD9" s="54">
        <v>0</v>
      </c>
      <c r="CE9" s="54">
        <v>0</v>
      </c>
      <c r="CF9" s="54">
        <v>0</v>
      </c>
      <c r="CG9" s="54">
        <v>0</v>
      </c>
      <c r="CH9" s="54">
        <v>0</v>
      </c>
      <c r="CI9" s="54">
        <v>0</v>
      </c>
      <c r="CJ9" s="54">
        <v>0</v>
      </c>
      <c r="CK9" s="54">
        <v>0</v>
      </c>
      <c r="CL9" s="54">
        <v>0</v>
      </c>
      <c r="CM9" s="54">
        <v>0</v>
      </c>
      <c r="CN9" s="54">
        <v>4870461</v>
      </c>
      <c r="CO9" s="54">
        <v>4870461</v>
      </c>
      <c r="CP9" s="54">
        <v>0</v>
      </c>
      <c r="CQ9" s="54">
        <v>0</v>
      </c>
      <c r="CR9" s="54">
        <v>0</v>
      </c>
      <c r="CS9" s="54">
        <v>0</v>
      </c>
      <c r="CT9" s="54">
        <v>0</v>
      </c>
      <c r="CU9" s="54">
        <v>0</v>
      </c>
      <c r="CV9" s="63">
        <v>0</v>
      </c>
      <c r="CW9" s="63">
        <v>0</v>
      </c>
      <c r="CX9" s="63">
        <v>0</v>
      </c>
      <c r="CY9" s="63">
        <v>34712</v>
      </c>
      <c r="CZ9" s="63">
        <v>639884</v>
      </c>
      <c r="DA9" s="63">
        <v>674596</v>
      </c>
      <c r="DB9" s="54">
        <v>0</v>
      </c>
      <c r="DC9" s="54">
        <v>0</v>
      </c>
      <c r="DD9" s="54">
        <v>0</v>
      </c>
      <c r="DE9" s="54">
        <v>0</v>
      </c>
      <c r="DF9" s="54">
        <v>0</v>
      </c>
      <c r="DG9" s="54">
        <v>0</v>
      </c>
      <c r="DH9" s="54">
        <v>42711</v>
      </c>
      <c r="DI9" s="54">
        <v>21909</v>
      </c>
      <c r="DJ9" s="54">
        <v>6142</v>
      </c>
      <c r="DK9" s="54">
        <v>3988</v>
      </c>
      <c r="DL9" s="54">
        <v>6565</v>
      </c>
      <c r="DM9" s="54">
        <v>81315</v>
      </c>
      <c r="DN9" s="54">
        <v>0</v>
      </c>
      <c r="DO9" s="54">
        <v>0</v>
      </c>
      <c r="DP9" s="54">
        <v>0</v>
      </c>
      <c r="DQ9" s="54">
        <v>0</v>
      </c>
      <c r="DR9" s="54">
        <v>203881</v>
      </c>
      <c r="DS9" s="54">
        <v>203881</v>
      </c>
      <c r="DT9" s="54">
        <v>0</v>
      </c>
      <c r="DU9" s="54">
        <v>0</v>
      </c>
      <c r="DV9" s="54">
        <v>0</v>
      </c>
      <c r="DW9" s="54">
        <v>0</v>
      </c>
      <c r="DX9" s="54">
        <v>0</v>
      </c>
      <c r="DY9" s="54">
        <v>0</v>
      </c>
      <c r="DZ9" s="54">
        <v>6225</v>
      </c>
      <c r="EA9" s="54">
        <v>0</v>
      </c>
      <c r="EB9" s="54">
        <v>0</v>
      </c>
      <c r="EC9" s="54">
        <v>0</v>
      </c>
      <c r="ED9" s="54">
        <v>206668</v>
      </c>
      <c r="EE9" s="54">
        <v>212893</v>
      </c>
      <c r="EF9" s="54">
        <v>12461</v>
      </c>
      <c r="EG9" s="54">
        <v>802</v>
      </c>
      <c r="EH9" s="54">
        <v>263</v>
      </c>
      <c r="EI9" s="54">
        <v>25307</v>
      </c>
      <c r="EJ9" s="54">
        <v>221170</v>
      </c>
      <c r="EK9" s="54">
        <v>260003</v>
      </c>
      <c r="EL9" s="54">
        <v>3943263</v>
      </c>
      <c r="EM9" s="54">
        <v>805083</v>
      </c>
      <c r="EN9" s="54">
        <v>546978</v>
      </c>
      <c r="EO9" s="54">
        <v>1886461</v>
      </c>
      <c r="EP9" s="54">
        <v>6192722</v>
      </c>
      <c r="EQ9" s="54">
        <v>13374507</v>
      </c>
      <c r="ER9" s="54">
        <v>1823974</v>
      </c>
      <c r="ES9" s="54">
        <v>252275</v>
      </c>
      <c r="ET9" s="54">
        <v>311858</v>
      </c>
      <c r="EU9" s="54">
        <v>2094865</v>
      </c>
      <c r="EV9" s="54">
        <v>75913</v>
      </c>
      <c r="EW9" s="54">
        <v>4558885</v>
      </c>
      <c r="EX9" s="54">
        <v>400000</v>
      </c>
      <c r="EY9" s="54">
        <v>25349</v>
      </c>
      <c r="EZ9" s="54">
        <v>19882</v>
      </c>
      <c r="FA9" s="54">
        <v>4767</v>
      </c>
      <c r="FB9" s="54">
        <v>0</v>
      </c>
      <c r="FC9" s="54">
        <v>449998</v>
      </c>
      <c r="FD9" s="54">
        <v>1034103</v>
      </c>
      <c r="FE9" s="54">
        <v>310211</v>
      </c>
      <c r="FF9" s="54">
        <v>248713</v>
      </c>
      <c r="FG9" s="54">
        <v>723407</v>
      </c>
      <c r="FH9" s="54">
        <v>0</v>
      </c>
      <c r="FI9" s="54">
        <v>2316434</v>
      </c>
      <c r="FJ9" s="54">
        <v>282042</v>
      </c>
      <c r="FK9" s="54">
        <v>40012</v>
      </c>
      <c r="FL9" s="54">
        <v>44492</v>
      </c>
      <c r="FM9" s="54">
        <v>84111</v>
      </c>
      <c r="FN9" s="54">
        <v>0</v>
      </c>
      <c r="FO9" s="54">
        <v>450657</v>
      </c>
      <c r="FP9" s="61">
        <v>38235</v>
      </c>
      <c r="FQ9" s="61">
        <v>33197</v>
      </c>
      <c r="FR9" s="61">
        <v>0</v>
      </c>
      <c r="FS9" s="61">
        <v>0</v>
      </c>
      <c r="FT9" s="61">
        <v>1481739</v>
      </c>
      <c r="FU9" s="61">
        <v>1553171</v>
      </c>
      <c r="FV9" s="54">
        <v>26070</v>
      </c>
      <c r="FW9" s="54">
        <v>0</v>
      </c>
      <c r="FX9" s="54">
        <v>300</v>
      </c>
      <c r="FY9" s="54">
        <v>200</v>
      </c>
      <c r="FZ9" s="54">
        <v>0</v>
      </c>
      <c r="GA9" s="54">
        <v>26570</v>
      </c>
      <c r="GB9" s="54">
        <v>0</v>
      </c>
      <c r="GC9" s="54">
        <v>0</v>
      </c>
      <c r="GD9" s="54">
        <v>0</v>
      </c>
      <c r="GE9" s="54">
        <v>0</v>
      </c>
      <c r="GF9" s="54">
        <v>0</v>
      </c>
      <c r="GG9" s="54">
        <v>0</v>
      </c>
      <c r="GH9" s="54">
        <v>123086</v>
      </c>
      <c r="GI9" s="54">
        <v>55032</v>
      </c>
      <c r="GJ9" s="54">
        <v>49019</v>
      </c>
      <c r="GK9" s="54">
        <v>82091</v>
      </c>
      <c r="GL9" s="54">
        <v>3143</v>
      </c>
      <c r="GM9" s="54">
        <v>312371</v>
      </c>
      <c r="GN9" s="54">
        <v>556337</v>
      </c>
      <c r="GO9" s="54">
        <v>171297</v>
      </c>
      <c r="GP9" s="54">
        <v>138865</v>
      </c>
      <c r="GQ9" s="54">
        <v>561909</v>
      </c>
      <c r="GR9" s="54">
        <v>6576</v>
      </c>
      <c r="GS9" s="54">
        <v>1434984</v>
      </c>
      <c r="GT9" s="54">
        <v>209369</v>
      </c>
      <c r="GU9" s="54">
        <v>30042</v>
      </c>
      <c r="GV9" s="54">
        <v>28510</v>
      </c>
      <c r="GW9" s="54">
        <v>190051</v>
      </c>
      <c r="GX9" s="54">
        <v>121868</v>
      </c>
      <c r="GY9" s="54">
        <v>579840</v>
      </c>
      <c r="GZ9" s="54">
        <v>155502</v>
      </c>
      <c r="HA9" s="54">
        <v>76409</v>
      </c>
      <c r="HB9" s="54">
        <v>56198</v>
      </c>
      <c r="HC9" s="54">
        <v>85358</v>
      </c>
      <c r="HD9" s="54">
        <v>71680</v>
      </c>
      <c r="HE9" s="54">
        <v>445147</v>
      </c>
      <c r="HF9" s="54">
        <v>3833</v>
      </c>
      <c r="HG9" s="54">
        <v>1240</v>
      </c>
      <c r="HH9" s="54">
        <v>2933</v>
      </c>
      <c r="HI9" s="54">
        <v>1542</v>
      </c>
      <c r="HJ9" s="54">
        <v>46600</v>
      </c>
      <c r="HK9" s="54">
        <v>56148</v>
      </c>
      <c r="HL9" s="54">
        <v>0</v>
      </c>
      <c r="HM9" s="54">
        <v>0</v>
      </c>
      <c r="HN9" s="54">
        <v>0</v>
      </c>
      <c r="HO9" s="54">
        <v>0</v>
      </c>
      <c r="HP9" s="54">
        <v>0</v>
      </c>
      <c r="HQ9" s="54">
        <v>0</v>
      </c>
      <c r="HR9" s="54">
        <v>8242</v>
      </c>
      <c r="HS9" s="54">
        <v>650</v>
      </c>
      <c r="HT9" s="54">
        <v>677</v>
      </c>
      <c r="HU9" s="54">
        <v>1899</v>
      </c>
      <c r="HV9" s="54">
        <v>355657</v>
      </c>
      <c r="HW9" s="54">
        <v>367125</v>
      </c>
      <c r="HX9" s="54">
        <v>0</v>
      </c>
      <c r="HY9" s="54">
        <v>0</v>
      </c>
      <c r="HZ9" s="54">
        <v>0</v>
      </c>
      <c r="IA9" s="54">
        <v>0</v>
      </c>
      <c r="IB9" s="54">
        <v>0</v>
      </c>
      <c r="IC9" s="54">
        <v>0</v>
      </c>
      <c r="ID9" s="54">
        <v>0</v>
      </c>
      <c r="IE9" s="54">
        <v>0</v>
      </c>
      <c r="IF9" s="54">
        <v>0</v>
      </c>
      <c r="IG9" s="54">
        <v>0</v>
      </c>
      <c r="IH9" s="54">
        <v>0</v>
      </c>
      <c r="II9" s="54">
        <v>0</v>
      </c>
      <c r="IJ9" s="54">
        <v>800</v>
      </c>
      <c r="IK9" s="54">
        <v>0</v>
      </c>
      <c r="IL9" s="54">
        <v>0</v>
      </c>
      <c r="IM9" s="54">
        <v>0</v>
      </c>
      <c r="IN9" s="54">
        <v>116346</v>
      </c>
      <c r="IO9" s="54">
        <v>117146</v>
      </c>
      <c r="IP9" s="54">
        <v>5398</v>
      </c>
      <c r="IQ9" s="54">
        <v>4092</v>
      </c>
      <c r="IR9" s="54">
        <v>518</v>
      </c>
      <c r="IS9" s="54">
        <v>3893</v>
      </c>
      <c r="IT9" s="54">
        <v>123254</v>
      </c>
      <c r="IU9" s="54">
        <v>137155</v>
      </c>
      <c r="IV9" s="54">
        <v>118714</v>
      </c>
      <c r="IW9" s="54">
        <v>48815</v>
      </c>
      <c r="IX9" s="54">
        <v>28847</v>
      </c>
      <c r="IY9" s="54">
        <v>74361</v>
      </c>
      <c r="IZ9" s="54">
        <v>298139</v>
      </c>
      <c r="JA9" s="54">
        <v>568876</v>
      </c>
      <c r="JB9" s="54">
        <v>4785705</v>
      </c>
      <c r="JC9" s="54">
        <v>1048621</v>
      </c>
      <c r="JD9" s="54">
        <v>930812</v>
      </c>
      <c r="JE9" s="54">
        <v>3908454</v>
      </c>
      <c r="JF9" s="54">
        <v>2700915</v>
      </c>
      <c r="JG9" s="54">
        <v>13374507</v>
      </c>
      <c r="JH9" s="54">
        <v>0</v>
      </c>
      <c r="JI9" s="54">
        <v>0</v>
      </c>
      <c r="JJ9" s="54">
        <v>0</v>
      </c>
      <c r="JK9" s="54">
        <v>0</v>
      </c>
      <c r="JL9" s="54">
        <v>0</v>
      </c>
      <c r="JM9" s="54">
        <v>0</v>
      </c>
      <c r="JN9" s="54">
        <v>4785705</v>
      </c>
      <c r="JO9" s="54">
        <v>1048621</v>
      </c>
      <c r="JP9" s="54">
        <v>930812</v>
      </c>
      <c r="JQ9" s="54">
        <v>3908454</v>
      </c>
      <c r="JR9" s="54">
        <v>2700915</v>
      </c>
      <c r="JS9" s="54">
        <v>13374507</v>
      </c>
      <c r="JU9" s="5">
        <f t="shared" si="0"/>
        <v>837468</v>
      </c>
      <c r="JV9" s="26">
        <f t="shared" si="1"/>
        <v>0</v>
      </c>
      <c r="JW9" s="5">
        <f t="shared" si="2"/>
        <v>2899907</v>
      </c>
      <c r="JX9" s="26">
        <f t="shared" si="3"/>
        <v>0</v>
      </c>
      <c r="JY9" s="5">
        <f t="shared" si="4"/>
        <v>2792250</v>
      </c>
      <c r="JZ9" s="26">
        <f t="shared" si="5"/>
        <v>0</v>
      </c>
      <c r="KA9" s="5">
        <f t="shared" si="6"/>
        <v>64506</v>
      </c>
      <c r="KB9" s="26">
        <f t="shared" si="7"/>
        <v>0</v>
      </c>
      <c r="KC9" s="5">
        <f t="shared" si="8"/>
        <v>477227</v>
      </c>
      <c r="KD9" s="26">
        <f t="shared" si="9"/>
        <v>0</v>
      </c>
      <c r="KE9" s="5">
        <f t="shared" si="10"/>
        <v>0</v>
      </c>
      <c r="KF9" s="26">
        <f t="shared" si="11"/>
        <v>0</v>
      </c>
      <c r="KG9" s="5">
        <f t="shared" si="12"/>
        <v>4870461</v>
      </c>
      <c r="KH9" s="26">
        <f t="shared" si="13"/>
        <v>0</v>
      </c>
      <c r="KI9" s="5">
        <f t="shared" si="14"/>
        <v>0</v>
      </c>
      <c r="KJ9" s="26">
        <f t="shared" si="15"/>
        <v>0</v>
      </c>
      <c r="KK9" s="5">
        <f t="shared" si="16"/>
        <v>674596</v>
      </c>
      <c r="KL9" s="26">
        <f t="shared" si="17"/>
        <v>0</v>
      </c>
      <c r="KM9" s="5">
        <f t="shared" si="18"/>
        <v>0</v>
      </c>
      <c r="KN9" s="26">
        <f t="shared" si="19"/>
        <v>0</v>
      </c>
      <c r="KO9" s="5">
        <f t="shared" si="20"/>
        <v>81315</v>
      </c>
      <c r="KP9" s="26">
        <f t="shared" si="21"/>
        <v>0</v>
      </c>
      <c r="KQ9" s="5">
        <f t="shared" si="22"/>
        <v>203881</v>
      </c>
      <c r="KR9" s="26">
        <f t="shared" si="23"/>
        <v>0</v>
      </c>
      <c r="KS9" s="5">
        <f t="shared" si="24"/>
        <v>0</v>
      </c>
      <c r="KT9" s="26">
        <f t="shared" si="25"/>
        <v>0</v>
      </c>
      <c r="KU9" s="5">
        <f t="shared" si="26"/>
        <v>212893</v>
      </c>
      <c r="KV9" s="26">
        <f t="shared" si="27"/>
        <v>0</v>
      </c>
      <c r="KW9" s="5">
        <f t="shared" si="28"/>
        <v>260003</v>
      </c>
      <c r="KX9" s="26">
        <f t="shared" si="29"/>
        <v>0</v>
      </c>
      <c r="KY9" s="5">
        <f t="shared" si="30"/>
        <v>13374507</v>
      </c>
      <c r="KZ9" s="26">
        <f t="shared" si="31"/>
        <v>0</v>
      </c>
      <c r="LA9" s="5">
        <f t="shared" si="32"/>
        <v>4558885</v>
      </c>
      <c r="LB9" s="26">
        <f t="shared" si="33"/>
        <v>0</v>
      </c>
      <c r="LC9" s="5">
        <f t="shared" si="34"/>
        <v>449998</v>
      </c>
      <c r="LD9" s="26">
        <f t="shared" si="35"/>
        <v>0</v>
      </c>
      <c r="LE9" s="5">
        <f t="shared" si="36"/>
        <v>2316434</v>
      </c>
      <c r="LF9" s="26">
        <f t="shared" si="37"/>
        <v>0</v>
      </c>
      <c r="LG9" s="5">
        <f t="shared" si="38"/>
        <v>450657</v>
      </c>
      <c r="LH9" s="26">
        <f t="shared" si="39"/>
        <v>0</v>
      </c>
      <c r="LI9" s="5">
        <f t="shared" si="40"/>
        <v>1553171</v>
      </c>
      <c r="LJ9" s="26">
        <f t="shared" si="41"/>
        <v>0</v>
      </c>
      <c r="LK9" s="5">
        <f t="shared" si="42"/>
        <v>26570</v>
      </c>
      <c r="LL9" s="26">
        <f t="shared" si="43"/>
        <v>0</v>
      </c>
      <c r="LM9" s="5">
        <f t="shared" si="44"/>
        <v>0</v>
      </c>
      <c r="LN9" s="26">
        <f t="shared" si="45"/>
        <v>0</v>
      </c>
      <c r="LO9" s="5">
        <f t="shared" si="46"/>
        <v>312371</v>
      </c>
      <c r="LP9" s="26">
        <f t="shared" si="47"/>
        <v>0</v>
      </c>
      <c r="LQ9" s="5">
        <f t="shared" si="48"/>
        <v>1434984</v>
      </c>
      <c r="LR9" s="26">
        <f t="shared" si="49"/>
        <v>0</v>
      </c>
      <c r="LS9" s="5">
        <f t="shared" si="50"/>
        <v>579840</v>
      </c>
      <c r="LT9" s="26">
        <f t="shared" si="51"/>
        <v>0</v>
      </c>
      <c r="LU9" s="5">
        <f t="shared" si="52"/>
        <v>445147</v>
      </c>
      <c r="LV9" s="26">
        <f t="shared" si="53"/>
        <v>0</v>
      </c>
      <c r="LW9" s="5">
        <f t="shared" si="54"/>
        <v>56148</v>
      </c>
      <c r="LX9" s="26">
        <f t="shared" si="55"/>
        <v>0</v>
      </c>
      <c r="LY9" s="5">
        <f t="shared" si="56"/>
        <v>0</v>
      </c>
      <c r="LZ9" s="26">
        <f t="shared" si="57"/>
        <v>0</v>
      </c>
      <c r="MA9" s="5">
        <f t="shared" si="58"/>
        <v>367125</v>
      </c>
      <c r="MB9" s="26">
        <f t="shared" si="59"/>
        <v>0</v>
      </c>
      <c r="MC9" s="5">
        <f t="shared" si="60"/>
        <v>0</v>
      </c>
      <c r="MD9" s="26">
        <f t="shared" si="61"/>
        <v>0</v>
      </c>
      <c r="ME9" s="5">
        <f t="shared" si="62"/>
        <v>0</v>
      </c>
      <c r="MF9" s="26">
        <f t="shared" si="63"/>
        <v>0</v>
      </c>
      <c r="MG9" s="5">
        <f t="shared" si="64"/>
        <v>117146</v>
      </c>
      <c r="MH9" s="26">
        <f t="shared" si="65"/>
        <v>0</v>
      </c>
      <c r="MI9" s="5">
        <f t="shared" si="66"/>
        <v>137155</v>
      </c>
      <c r="MJ9" s="26">
        <f t="shared" si="67"/>
        <v>0</v>
      </c>
      <c r="MK9" s="5">
        <f t="shared" si="68"/>
        <v>568876</v>
      </c>
      <c r="ML9" s="26">
        <f t="shared" si="69"/>
        <v>0</v>
      </c>
      <c r="MM9" s="5">
        <f t="shared" si="70"/>
        <v>13374507</v>
      </c>
      <c r="MN9" s="26">
        <f t="shared" si="71"/>
        <v>0</v>
      </c>
      <c r="MO9" s="5">
        <f t="shared" si="72"/>
        <v>0</v>
      </c>
      <c r="MP9" s="26">
        <f t="shared" si="73"/>
        <v>0</v>
      </c>
      <c r="MQ9" s="5">
        <f t="shared" si="74"/>
        <v>13374507</v>
      </c>
      <c r="MR9" s="26">
        <f t="shared" si="75"/>
        <v>0</v>
      </c>
      <c r="MT9" s="5">
        <f t="shared" si="76"/>
        <v>0</v>
      </c>
      <c r="MV9" s="4">
        <f t="shared" si="77"/>
        <v>0</v>
      </c>
    </row>
    <row r="10" spans="1:360" x14ac:dyDescent="0.15">
      <c r="A10" s="157" t="s">
        <v>289</v>
      </c>
      <c r="B10" s="25" t="s">
        <v>464</v>
      </c>
      <c r="C10" s="109">
        <v>100858</v>
      </c>
      <c r="D10" s="105">
        <v>2011</v>
      </c>
      <c r="E10" s="106">
        <v>1</v>
      </c>
      <c r="F10" s="106">
        <v>5</v>
      </c>
      <c r="G10" s="107">
        <v>10397</v>
      </c>
      <c r="H10" s="107">
        <v>9824</v>
      </c>
      <c r="I10" s="108">
        <v>861623709</v>
      </c>
      <c r="J10" s="108"/>
      <c r="K10" s="108">
        <v>10086000</v>
      </c>
      <c r="L10" s="108"/>
      <c r="M10" s="108">
        <v>44682134</v>
      </c>
      <c r="N10" s="108"/>
      <c r="O10" s="108">
        <v>106073955</v>
      </c>
      <c r="P10" s="108"/>
      <c r="Q10" s="108">
        <v>752429162</v>
      </c>
      <c r="R10" s="108"/>
      <c r="S10" s="112">
        <v>749288693</v>
      </c>
      <c r="T10" s="112"/>
      <c r="U10" s="112">
        <v>17930</v>
      </c>
      <c r="V10" s="112"/>
      <c r="W10" s="112">
        <v>31946</v>
      </c>
      <c r="X10" s="112"/>
      <c r="Y10" s="112">
        <v>23486</v>
      </c>
      <c r="Z10" s="112"/>
      <c r="AA10" s="112">
        <v>37502</v>
      </c>
      <c r="AB10" s="108"/>
      <c r="AC10" s="129">
        <v>9</v>
      </c>
      <c r="AD10" s="129">
        <v>12</v>
      </c>
      <c r="AE10" s="129">
        <v>0</v>
      </c>
      <c r="AF10" s="26">
        <v>5692699</v>
      </c>
      <c r="AG10" s="26">
        <v>3927013</v>
      </c>
      <c r="AH10" s="26">
        <v>1530917</v>
      </c>
      <c r="AI10" s="26">
        <v>586278</v>
      </c>
      <c r="AJ10" s="26">
        <v>1281198.04</v>
      </c>
      <c r="AK10" s="36">
        <v>6.11</v>
      </c>
      <c r="AL10" s="26">
        <v>1118302.8600000001</v>
      </c>
      <c r="AM10" s="36">
        <v>7</v>
      </c>
      <c r="AN10" s="26">
        <v>230195.45</v>
      </c>
      <c r="AO10" s="36">
        <v>8.7899999999999991</v>
      </c>
      <c r="AP10" s="26">
        <v>202341.8</v>
      </c>
      <c r="AQ10" s="36">
        <v>10</v>
      </c>
      <c r="AR10" s="26">
        <v>377624.73</v>
      </c>
      <c r="AS10" s="36">
        <v>21.55</v>
      </c>
      <c r="AT10" s="26">
        <v>312992.81</v>
      </c>
      <c r="AU10" s="36">
        <v>26</v>
      </c>
      <c r="AV10" s="26">
        <v>92884.68</v>
      </c>
      <c r="AW10" s="36">
        <v>19.45</v>
      </c>
      <c r="AX10" s="26">
        <v>72264.28</v>
      </c>
      <c r="AY10" s="36">
        <v>25</v>
      </c>
      <c r="AZ10" s="54">
        <v>27598702</v>
      </c>
      <c r="BA10" s="54">
        <v>960100</v>
      </c>
      <c r="BB10" s="54">
        <v>81128</v>
      </c>
      <c r="BC10" s="54">
        <v>336800</v>
      </c>
      <c r="BD10" s="54">
        <v>0</v>
      </c>
      <c r="BE10" s="54">
        <v>28976730</v>
      </c>
      <c r="BF10" s="54">
        <v>0</v>
      </c>
      <c r="BG10" s="54">
        <v>0</v>
      </c>
      <c r="BH10" s="54">
        <v>0</v>
      </c>
      <c r="BI10" s="54">
        <v>0</v>
      </c>
      <c r="BJ10" s="54">
        <v>4307040</v>
      </c>
      <c r="BK10" s="54">
        <v>4307040</v>
      </c>
      <c r="BL10" s="54">
        <v>0</v>
      </c>
      <c r="BM10" s="54">
        <v>0</v>
      </c>
      <c r="BN10" s="54">
        <v>0</v>
      </c>
      <c r="BO10" s="54">
        <v>34900</v>
      </c>
      <c r="BP10" s="54">
        <v>0</v>
      </c>
      <c r="BQ10" s="54">
        <v>34900</v>
      </c>
      <c r="BR10" s="54">
        <v>27126569</v>
      </c>
      <c r="BS10" s="54">
        <v>2110721</v>
      </c>
      <c r="BT10" s="54">
        <v>490155</v>
      </c>
      <c r="BU10" s="54">
        <v>180857</v>
      </c>
      <c r="BV10" s="54">
        <v>2941175</v>
      </c>
      <c r="BW10" s="54">
        <v>32849477</v>
      </c>
      <c r="BX10" s="54">
        <v>0</v>
      </c>
      <c r="BY10" s="54">
        <v>0</v>
      </c>
      <c r="BZ10" s="54">
        <v>0</v>
      </c>
      <c r="CA10" s="54">
        <v>0</v>
      </c>
      <c r="CB10" s="54">
        <v>0</v>
      </c>
      <c r="CC10" s="54">
        <v>0</v>
      </c>
      <c r="CD10" s="54">
        <v>0</v>
      </c>
      <c r="CE10" s="54">
        <v>0</v>
      </c>
      <c r="CF10" s="54">
        <v>0</v>
      </c>
      <c r="CG10" s="54">
        <v>0</v>
      </c>
      <c r="CH10" s="54">
        <v>0</v>
      </c>
      <c r="CI10" s="54">
        <v>0</v>
      </c>
      <c r="CJ10" s="54">
        <v>0</v>
      </c>
      <c r="CK10" s="54">
        <v>0</v>
      </c>
      <c r="CL10" s="54">
        <v>0</v>
      </c>
      <c r="CM10" s="54">
        <v>0</v>
      </c>
      <c r="CN10" s="54">
        <v>0</v>
      </c>
      <c r="CO10" s="54">
        <v>0</v>
      </c>
      <c r="CP10" s="54">
        <v>0</v>
      </c>
      <c r="CQ10" s="54">
        <v>0</v>
      </c>
      <c r="CR10" s="54">
        <v>0</v>
      </c>
      <c r="CS10" s="54">
        <v>0</v>
      </c>
      <c r="CT10" s="54">
        <v>0</v>
      </c>
      <c r="CU10" s="54">
        <v>0</v>
      </c>
      <c r="CV10" s="54">
        <v>15619023</v>
      </c>
      <c r="CW10" s="54">
        <v>5011289</v>
      </c>
      <c r="CX10" s="54">
        <v>0</v>
      </c>
      <c r="CY10" s="54">
        <v>18034</v>
      </c>
      <c r="CZ10" s="54">
        <v>1111947</v>
      </c>
      <c r="DA10" s="54">
        <v>21760293</v>
      </c>
      <c r="DB10" s="54">
        <v>4140000</v>
      </c>
      <c r="DC10" s="54">
        <v>1380000</v>
      </c>
      <c r="DD10" s="54">
        <v>0</v>
      </c>
      <c r="DE10" s="54">
        <v>0</v>
      </c>
      <c r="DF10" s="54">
        <v>0</v>
      </c>
      <c r="DG10" s="54">
        <v>5520000</v>
      </c>
      <c r="DH10" s="54">
        <v>1389895</v>
      </c>
      <c r="DI10" s="54">
        <v>19367</v>
      </c>
      <c r="DJ10" s="54">
        <v>10480</v>
      </c>
      <c r="DK10" s="54">
        <v>31118</v>
      </c>
      <c r="DL10" s="54">
        <v>716684</v>
      </c>
      <c r="DM10" s="54">
        <v>2167544</v>
      </c>
      <c r="DN10" s="54">
        <v>0</v>
      </c>
      <c r="DO10" s="54">
        <v>0</v>
      </c>
      <c r="DP10" s="54">
        <v>0</v>
      </c>
      <c r="DQ10" s="54">
        <v>0</v>
      </c>
      <c r="DR10" s="54">
        <v>5154986</v>
      </c>
      <c r="DS10" s="54">
        <v>5154986</v>
      </c>
      <c r="DT10" s="54">
        <v>0</v>
      </c>
      <c r="DU10" s="54">
        <v>0</v>
      </c>
      <c r="DV10" s="54">
        <v>0</v>
      </c>
      <c r="DW10" s="54">
        <v>0</v>
      </c>
      <c r="DX10" s="54">
        <v>0</v>
      </c>
      <c r="DY10" s="54">
        <v>0</v>
      </c>
      <c r="DZ10" s="54">
        <v>15580</v>
      </c>
      <c r="EA10" s="54">
        <v>4110</v>
      </c>
      <c r="EB10" s="54">
        <v>41</v>
      </c>
      <c r="EC10" s="54">
        <v>37108</v>
      </c>
      <c r="ED10" s="54">
        <v>1806116</v>
      </c>
      <c r="EE10" s="62">
        <v>1862955</v>
      </c>
      <c r="EF10" s="54">
        <v>338035</v>
      </c>
      <c r="EG10" s="54">
        <v>21570</v>
      </c>
      <c r="EH10" s="54">
        <v>18964</v>
      </c>
      <c r="EI10" s="54">
        <v>170409</v>
      </c>
      <c r="EJ10" s="54">
        <v>799538</v>
      </c>
      <c r="EK10" s="54">
        <v>1348516</v>
      </c>
      <c r="EL10" s="54">
        <v>76227804</v>
      </c>
      <c r="EM10" s="54">
        <v>9507157</v>
      </c>
      <c r="EN10" s="54">
        <v>600768</v>
      </c>
      <c r="EO10" s="54">
        <v>809226</v>
      </c>
      <c r="EP10" s="54">
        <v>16837486</v>
      </c>
      <c r="EQ10" s="54">
        <v>103982441</v>
      </c>
      <c r="ER10" s="54">
        <v>3379051</v>
      </c>
      <c r="ES10" s="54">
        <v>482135</v>
      </c>
      <c r="ET10" s="54">
        <v>467162</v>
      </c>
      <c r="EU10" s="54">
        <v>5291364</v>
      </c>
      <c r="EV10" s="54">
        <v>113899</v>
      </c>
      <c r="EW10" s="54">
        <v>9733611</v>
      </c>
      <c r="EX10" s="54">
        <v>3425000</v>
      </c>
      <c r="EY10" s="54">
        <v>794950</v>
      </c>
      <c r="EZ10" s="54">
        <v>28000</v>
      </c>
      <c r="FA10" s="54">
        <v>71361</v>
      </c>
      <c r="FB10" s="54">
        <v>0</v>
      </c>
      <c r="FC10" s="54">
        <v>4319311</v>
      </c>
      <c r="FD10" s="54">
        <v>11362515</v>
      </c>
      <c r="FE10" s="54">
        <v>2538419</v>
      </c>
      <c r="FF10" s="54">
        <v>1194744</v>
      </c>
      <c r="FG10" s="54">
        <v>4700280</v>
      </c>
      <c r="FH10" s="54">
        <v>0</v>
      </c>
      <c r="FI10" s="54">
        <v>19795958</v>
      </c>
      <c r="FJ10" s="54">
        <v>0</v>
      </c>
      <c r="FK10" s="54">
        <v>0</v>
      </c>
      <c r="FL10" s="54">
        <v>0</v>
      </c>
      <c r="FM10" s="54">
        <v>0</v>
      </c>
      <c r="FN10" s="54">
        <v>0</v>
      </c>
      <c r="FO10" s="54">
        <v>0</v>
      </c>
      <c r="FP10" s="54">
        <v>2034290</v>
      </c>
      <c r="FQ10" s="54">
        <v>468664</v>
      </c>
      <c r="FR10" s="54">
        <v>335000</v>
      </c>
      <c r="FS10" s="54">
        <v>382298</v>
      </c>
      <c r="FT10" s="54">
        <v>11316710</v>
      </c>
      <c r="FU10" s="54">
        <v>14536962</v>
      </c>
      <c r="FV10" s="54">
        <v>0</v>
      </c>
      <c r="FW10" s="54">
        <v>0</v>
      </c>
      <c r="FX10" s="54">
        <v>0</v>
      </c>
      <c r="FY10" s="54">
        <v>0</v>
      </c>
      <c r="FZ10" s="54">
        <v>0</v>
      </c>
      <c r="GA10" s="54">
        <v>0</v>
      </c>
      <c r="GB10" s="54">
        <v>0</v>
      </c>
      <c r="GC10" s="54">
        <v>0</v>
      </c>
      <c r="GD10" s="54">
        <v>0</v>
      </c>
      <c r="GE10" s="54">
        <v>0</v>
      </c>
      <c r="GF10" s="54">
        <v>0</v>
      </c>
      <c r="GG10" s="54">
        <v>0</v>
      </c>
      <c r="GH10" s="54">
        <v>950378</v>
      </c>
      <c r="GI10" s="54">
        <v>296931</v>
      </c>
      <c r="GJ10" s="54">
        <v>153161</v>
      </c>
      <c r="GK10" s="54">
        <v>717175</v>
      </c>
      <c r="GL10" s="54">
        <v>15247</v>
      </c>
      <c r="GM10" s="54">
        <v>2132892</v>
      </c>
      <c r="GN10" s="54">
        <v>2343883</v>
      </c>
      <c r="GO10" s="54">
        <v>287876</v>
      </c>
      <c r="GP10" s="54">
        <v>447137</v>
      </c>
      <c r="GQ10" s="54">
        <v>1807456</v>
      </c>
      <c r="GR10" s="54">
        <v>156651</v>
      </c>
      <c r="GS10" s="54">
        <v>5043003</v>
      </c>
      <c r="GT10" s="54">
        <v>1196399</v>
      </c>
      <c r="GU10" s="54">
        <v>105313</v>
      </c>
      <c r="GV10" s="54">
        <v>84338</v>
      </c>
      <c r="GW10" s="54">
        <v>868311</v>
      </c>
      <c r="GX10" s="54">
        <v>240097</v>
      </c>
      <c r="GY10" s="54">
        <v>2494458</v>
      </c>
      <c r="GZ10" s="54">
        <v>2328806</v>
      </c>
      <c r="HA10" s="54">
        <v>510357</v>
      </c>
      <c r="HB10" s="54">
        <v>240178</v>
      </c>
      <c r="HC10" s="54">
        <v>586470</v>
      </c>
      <c r="HD10" s="54">
        <v>150399</v>
      </c>
      <c r="HE10" s="54">
        <v>3816210</v>
      </c>
      <c r="HF10" s="54">
        <v>4094785</v>
      </c>
      <c r="HG10" s="54">
        <v>801555</v>
      </c>
      <c r="HH10" s="54">
        <v>192752</v>
      </c>
      <c r="HI10" s="54">
        <v>81980</v>
      </c>
      <c r="HJ10" s="54">
        <v>1032073</v>
      </c>
      <c r="HK10" s="54">
        <v>6203145</v>
      </c>
      <c r="HL10" s="54">
        <v>0</v>
      </c>
      <c r="HM10" s="54">
        <v>0</v>
      </c>
      <c r="HN10" s="54">
        <v>0</v>
      </c>
      <c r="HO10" s="54">
        <v>0</v>
      </c>
      <c r="HP10" s="54">
        <v>0</v>
      </c>
      <c r="HQ10" s="54">
        <v>0</v>
      </c>
      <c r="HR10" s="54">
        <v>3903972</v>
      </c>
      <c r="HS10" s="54">
        <v>981713</v>
      </c>
      <c r="HT10" s="54">
        <v>930755</v>
      </c>
      <c r="HU10" s="54">
        <v>3688906</v>
      </c>
      <c r="HV10" s="54">
        <v>14685047</v>
      </c>
      <c r="HW10" s="54">
        <v>24190393</v>
      </c>
      <c r="HX10" s="54">
        <v>413676</v>
      </c>
      <c r="HY10" s="54">
        <v>89463</v>
      </c>
      <c r="HZ10" s="54">
        <v>89463</v>
      </c>
      <c r="IA10" s="54">
        <v>0</v>
      </c>
      <c r="IB10" s="54">
        <v>0</v>
      </c>
      <c r="IC10" s="54">
        <v>592602</v>
      </c>
      <c r="ID10" s="54">
        <v>0</v>
      </c>
      <c r="IE10" s="54">
        <v>0</v>
      </c>
      <c r="IF10" s="54">
        <v>0</v>
      </c>
      <c r="IG10" s="54">
        <v>0</v>
      </c>
      <c r="IH10" s="54">
        <v>0</v>
      </c>
      <c r="II10" s="54">
        <v>0</v>
      </c>
      <c r="IJ10" s="54">
        <v>215460</v>
      </c>
      <c r="IK10" s="54">
        <v>21328</v>
      </c>
      <c r="IL10" s="54">
        <v>12006</v>
      </c>
      <c r="IM10" s="54">
        <v>214169</v>
      </c>
      <c r="IN10" s="54">
        <v>389514</v>
      </c>
      <c r="IO10" s="54">
        <v>852477</v>
      </c>
      <c r="IP10" s="54">
        <v>36116</v>
      </c>
      <c r="IQ10" s="54">
        <v>20117</v>
      </c>
      <c r="IR10" s="54">
        <v>4821</v>
      </c>
      <c r="IS10" s="54">
        <v>18526</v>
      </c>
      <c r="IT10" s="54">
        <v>33829</v>
      </c>
      <c r="IU10" s="54">
        <v>113409</v>
      </c>
      <c r="IV10" s="54">
        <v>3385344</v>
      </c>
      <c r="IW10" s="54">
        <v>218190</v>
      </c>
      <c r="IX10" s="54">
        <v>99641</v>
      </c>
      <c r="IY10" s="54">
        <v>472925</v>
      </c>
      <c r="IZ10" s="54">
        <v>2497253</v>
      </c>
      <c r="JA10" s="54">
        <v>6673353</v>
      </c>
      <c r="JB10" s="54">
        <v>39069675</v>
      </c>
      <c r="JC10" s="54">
        <v>7617011</v>
      </c>
      <c r="JD10" s="54">
        <v>4279158</v>
      </c>
      <c r="JE10" s="54">
        <v>18901221</v>
      </c>
      <c r="JF10" s="54">
        <v>30630719</v>
      </c>
      <c r="JG10" s="54">
        <v>100497784</v>
      </c>
      <c r="JH10" s="54">
        <v>0</v>
      </c>
      <c r="JI10" s="54">
        <v>0</v>
      </c>
      <c r="JJ10" s="54">
        <v>0</v>
      </c>
      <c r="JK10" s="54">
        <v>0</v>
      </c>
      <c r="JL10" s="54">
        <v>0</v>
      </c>
      <c r="JM10" s="54">
        <v>0</v>
      </c>
      <c r="JN10" s="54">
        <v>39069675</v>
      </c>
      <c r="JO10" s="54">
        <v>7617011</v>
      </c>
      <c r="JP10" s="54">
        <v>4279158</v>
      </c>
      <c r="JQ10" s="54">
        <v>18901221</v>
      </c>
      <c r="JR10" s="54">
        <v>30630719</v>
      </c>
      <c r="JS10" s="54">
        <v>100497784</v>
      </c>
      <c r="JU10" s="5">
        <f t="shared" si="0"/>
        <v>28976730</v>
      </c>
      <c r="JV10" s="26">
        <f t="shared" si="1"/>
        <v>0</v>
      </c>
      <c r="JW10" s="5">
        <f t="shared" si="2"/>
        <v>4307040</v>
      </c>
      <c r="JX10" s="26">
        <f t="shared" si="3"/>
        <v>0</v>
      </c>
      <c r="JY10" s="5">
        <f t="shared" si="4"/>
        <v>34900</v>
      </c>
      <c r="JZ10" s="26">
        <f t="shared" si="5"/>
        <v>0</v>
      </c>
      <c r="KA10" s="5">
        <f t="shared" si="6"/>
        <v>32849477</v>
      </c>
      <c r="KB10" s="26">
        <f t="shared" si="7"/>
        <v>0</v>
      </c>
      <c r="KC10" s="5">
        <f t="shared" si="8"/>
        <v>0</v>
      </c>
      <c r="KD10" s="26">
        <f t="shared" si="9"/>
        <v>0</v>
      </c>
      <c r="KE10" s="5">
        <f t="shared" si="10"/>
        <v>0</v>
      </c>
      <c r="KF10" s="26">
        <f t="shared" si="11"/>
        <v>0</v>
      </c>
      <c r="KG10" s="5">
        <f t="shared" si="12"/>
        <v>0</v>
      </c>
      <c r="KH10" s="26">
        <f t="shared" si="13"/>
        <v>0</v>
      </c>
      <c r="KI10" s="5">
        <f t="shared" si="14"/>
        <v>0</v>
      </c>
      <c r="KJ10" s="26">
        <f t="shared" si="15"/>
        <v>0</v>
      </c>
      <c r="KK10" s="5">
        <f t="shared" si="16"/>
        <v>21760293</v>
      </c>
      <c r="KL10" s="26">
        <f t="shared" si="17"/>
        <v>0</v>
      </c>
      <c r="KM10" s="5">
        <f t="shared" si="18"/>
        <v>5520000</v>
      </c>
      <c r="KN10" s="26">
        <f t="shared" si="19"/>
        <v>0</v>
      </c>
      <c r="KO10" s="5">
        <f t="shared" si="20"/>
        <v>2167544</v>
      </c>
      <c r="KP10" s="26">
        <f t="shared" si="21"/>
        <v>0</v>
      </c>
      <c r="KQ10" s="5">
        <f t="shared" si="22"/>
        <v>5154986</v>
      </c>
      <c r="KR10" s="26">
        <f t="shared" si="23"/>
        <v>0</v>
      </c>
      <c r="KS10" s="5">
        <f t="shared" si="24"/>
        <v>0</v>
      </c>
      <c r="KT10" s="26">
        <f t="shared" si="25"/>
        <v>0</v>
      </c>
      <c r="KU10" s="5">
        <f t="shared" si="26"/>
        <v>1862955</v>
      </c>
      <c r="KV10" s="26">
        <f t="shared" si="27"/>
        <v>0</v>
      </c>
      <c r="KW10" s="5">
        <f t="shared" si="28"/>
        <v>1348516</v>
      </c>
      <c r="KX10" s="26">
        <f t="shared" si="29"/>
        <v>0</v>
      </c>
      <c r="KY10" s="5">
        <f t="shared" si="30"/>
        <v>103982441</v>
      </c>
      <c r="KZ10" s="26">
        <f t="shared" si="31"/>
        <v>0</v>
      </c>
      <c r="LA10" s="5">
        <f t="shared" si="32"/>
        <v>9733611</v>
      </c>
      <c r="LB10" s="26">
        <f t="shared" si="33"/>
        <v>0</v>
      </c>
      <c r="LC10" s="5">
        <f t="shared" si="34"/>
        <v>4319311</v>
      </c>
      <c r="LD10" s="26">
        <f t="shared" si="35"/>
        <v>0</v>
      </c>
      <c r="LE10" s="5">
        <f t="shared" si="36"/>
        <v>19795958</v>
      </c>
      <c r="LF10" s="26">
        <f t="shared" si="37"/>
        <v>0</v>
      </c>
      <c r="LG10" s="5">
        <f t="shared" si="38"/>
        <v>0</v>
      </c>
      <c r="LH10" s="26">
        <f t="shared" si="39"/>
        <v>0</v>
      </c>
      <c r="LI10" s="5">
        <f t="shared" si="40"/>
        <v>14536962</v>
      </c>
      <c r="LJ10" s="26">
        <f t="shared" si="41"/>
        <v>0</v>
      </c>
      <c r="LK10" s="5">
        <f t="shared" si="42"/>
        <v>0</v>
      </c>
      <c r="LL10" s="26">
        <f t="shared" si="43"/>
        <v>0</v>
      </c>
      <c r="LM10" s="5">
        <f t="shared" si="44"/>
        <v>0</v>
      </c>
      <c r="LN10" s="26">
        <f t="shared" si="45"/>
        <v>0</v>
      </c>
      <c r="LO10" s="5">
        <f t="shared" si="46"/>
        <v>2132892</v>
      </c>
      <c r="LP10" s="26">
        <f t="shared" si="47"/>
        <v>0</v>
      </c>
      <c r="LQ10" s="5">
        <f t="shared" si="48"/>
        <v>5043003</v>
      </c>
      <c r="LR10" s="26">
        <f t="shared" si="49"/>
        <v>0</v>
      </c>
      <c r="LS10" s="5">
        <f t="shared" si="50"/>
        <v>2494458</v>
      </c>
      <c r="LT10" s="26">
        <f t="shared" si="51"/>
        <v>0</v>
      </c>
      <c r="LU10" s="5">
        <f t="shared" si="52"/>
        <v>3816210</v>
      </c>
      <c r="LV10" s="26">
        <f t="shared" si="53"/>
        <v>0</v>
      </c>
      <c r="LW10" s="5">
        <f t="shared" si="54"/>
        <v>6203145</v>
      </c>
      <c r="LX10" s="26">
        <f t="shared" si="55"/>
        <v>0</v>
      </c>
      <c r="LY10" s="5">
        <f t="shared" si="56"/>
        <v>0</v>
      </c>
      <c r="LZ10" s="26">
        <f t="shared" si="57"/>
        <v>0</v>
      </c>
      <c r="MA10" s="5">
        <f t="shared" si="58"/>
        <v>24190393</v>
      </c>
      <c r="MB10" s="26">
        <f t="shared" si="59"/>
        <v>0</v>
      </c>
      <c r="MC10" s="5">
        <f t="shared" si="60"/>
        <v>592602</v>
      </c>
      <c r="MD10" s="26">
        <f t="shared" si="61"/>
        <v>0</v>
      </c>
      <c r="ME10" s="5">
        <f t="shared" si="62"/>
        <v>0</v>
      </c>
      <c r="MF10" s="26">
        <f t="shared" si="63"/>
        <v>0</v>
      </c>
      <c r="MG10" s="5">
        <f t="shared" si="64"/>
        <v>852477</v>
      </c>
      <c r="MH10" s="26">
        <f t="shared" si="65"/>
        <v>0</v>
      </c>
      <c r="MI10" s="5">
        <f t="shared" si="66"/>
        <v>113409</v>
      </c>
      <c r="MJ10" s="26">
        <f t="shared" si="67"/>
        <v>0</v>
      </c>
      <c r="MK10" s="5">
        <f t="shared" si="68"/>
        <v>6673353</v>
      </c>
      <c r="ML10" s="26">
        <f t="shared" si="69"/>
        <v>0</v>
      </c>
      <c r="MM10" s="5">
        <f t="shared" si="70"/>
        <v>100497784</v>
      </c>
      <c r="MN10" s="26">
        <f t="shared" si="71"/>
        <v>0</v>
      </c>
      <c r="MO10" s="5">
        <f t="shared" si="72"/>
        <v>0</v>
      </c>
      <c r="MP10" s="26">
        <f t="shared" si="73"/>
        <v>0</v>
      </c>
      <c r="MQ10" s="5">
        <f t="shared" si="74"/>
        <v>100497784</v>
      </c>
      <c r="MR10" s="26">
        <f t="shared" si="75"/>
        <v>0</v>
      </c>
      <c r="MT10" s="5">
        <f t="shared" si="76"/>
        <v>0</v>
      </c>
      <c r="MV10" s="4">
        <f t="shared" si="77"/>
        <v>0</v>
      </c>
    </row>
    <row r="11" spans="1:360" x14ac:dyDescent="0.15">
      <c r="A11" s="157" t="s">
        <v>290</v>
      </c>
      <c r="B11" s="25" t="s">
        <v>406</v>
      </c>
      <c r="C11" s="105">
        <v>150136</v>
      </c>
      <c r="D11" s="105">
        <v>2011</v>
      </c>
      <c r="E11" s="106">
        <v>1</v>
      </c>
      <c r="F11" s="106">
        <v>9</v>
      </c>
      <c r="G11" s="107">
        <v>7234</v>
      </c>
      <c r="H11" s="107">
        <v>8982</v>
      </c>
      <c r="I11" s="108">
        <v>418772950</v>
      </c>
      <c r="J11" s="108"/>
      <c r="K11" s="108">
        <v>0</v>
      </c>
      <c r="L11" s="108"/>
      <c r="M11" s="108">
        <v>11275000</v>
      </c>
      <c r="N11" s="108"/>
      <c r="O11" s="108">
        <v>0</v>
      </c>
      <c r="P11" s="108"/>
      <c r="Q11" s="108">
        <v>191465000</v>
      </c>
      <c r="R11" s="108"/>
      <c r="S11" s="108">
        <v>390305304</v>
      </c>
      <c r="T11" s="108"/>
      <c r="U11" s="108">
        <v>17172</v>
      </c>
      <c r="V11" s="108"/>
      <c r="W11" s="108">
        <v>30624</v>
      </c>
      <c r="X11" s="108"/>
      <c r="Y11" s="108">
        <v>20440</v>
      </c>
      <c r="Z11" s="108"/>
      <c r="AA11" s="108">
        <v>34310</v>
      </c>
      <c r="AB11" s="108"/>
      <c r="AC11" s="130">
        <v>7</v>
      </c>
      <c r="AD11" s="130">
        <v>12</v>
      </c>
      <c r="AE11" s="130">
        <v>0</v>
      </c>
      <c r="AF11" s="26">
        <v>3095467</v>
      </c>
      <c r="AG11" s="26">
        <v>2914364</v>
      </c>
      <c r="AH11" s="26">
        <v>131472</v>
      </c>
      <c r="AI11" s="26">
        <v>88413</v>
      </c>
      <c r="AJ11" s="26">
        <v>134491.71</v>
      </c>
      <c r="AK11" s="36">
        <v>7</v>
      </c>
      <c r="AL11" s="26">
        <v>134491.71</v>
      </c>
      <c r="AM11" s="36">
        <v>7</v>
      </c>
      <c r="AN11" s="26">
        <v>93348.800000000003</v>
      </c>
      <c r="AO11" s="36">
        <v>10</v>
      </c>
      <c r="AP11" s="26">
        <v>93348.800000000003</v>
      </c>
      <c r="AQ11" s="36">
        <v>10</v>
      </c>
      <c r="AR11" s="26">
        <v>84819.62</v>
      </c>
      <c r="AS11" s="36">
        <v>18</v>
      </c>
      <c r="AT11" s="26">
        <v>68224.479999999996</v>
      </c>
      <c r="AU11" s="36">
        <v>23</v>
      </c>
      <c r="AV11" s="26">
        <v>53774.64</v>
      </c>
      <c r="AW11" s="36">
        <v>11.75</v>
      </c>
      <c r="AX11" s="26">
        <v>37167.760000000002</v>
      </c>
      <c r="AY11" s="36">
        <v>17</v>
      </c>
      <c r="AZ11" s="54">
        <v>374003</v>
      </c>
      <c r="BA11" s="54">
        <v>221728</v>
      </c>
      <c r="BB11" s="54">
        <v>17437</v>
      </c>
      <c r="BC11" s="54">
        <v>15551</v>
      </c>
      <c r="BD11" s="54">
        <v>0</v>
      </c>
      <c r="BE11" s="54">
        <v>628719</v>
      </c>
      <c r="BF11" s="54">
        <v>0</v>
      </c>
      <c r="BG11" s="54">
        <v>0</v>
      </c>
      <c r="BH11" s="54">
        <v>0</v>
      </c>
      <c r="BI11" s="54">
        <v>0</v>
      </c>
      <c r="BJ11" s="54">
        <v>9157741</v>
      </c>
      <c r="BK11" s="54">
        <v>9157741</v>
      </c>
      <c r="BL11" s="54">
        <v>1125000</v>
      </c>
      <c r="BM11" s="54">
        <v>150000</v>
      </c>
      <c r="BN11" s="54">
        <v>4000</v>
      </c>
      <c r="BO11" s="54">
        <v>16500</v>
      </c>
      <c r="BP11" s="54">
        <v>0</v>
      </c>
      <c r="BQ11" s="54">
        <v>1295500</v>
      </c>
      <c r="BR11" s="54">
        <v>52598</v>
      </c>
      <c r="BS11" s="54">
        <v>61419</v>
      </c>
      <c r="BT11" s="54">
        <v>9281</v>
      </c>
      <c r="BU11" s="54">
        <v>283265</v>
      </c>
      <c r="BV11" s="54">
        <v>1037860</v>
      </c>
      <c r="BW11" s="54">
        <v>1444423</v>
      </c>
      <c r="BX11" s="54">
        <v>0</v>
      </c>
      <c r="BY11" s="54">
        <v>0</v>
      </c>
      <c r="BZ11" s="54">
        <v>0</v>
      </c>
      <c r="CA11" s="54">
        <v>0</v>
      </c>
      <c r="CB11" s="54">
        <v>0</v>
      </c>
      <c r="CC11" s="54">
        <v>0</v>
      </c>
      <c r="CD11" s="54">
        <v>0</v>
      </c>
      <c r="CE11" s="54">
        <v>0</v>
      </c>
      <c r="CF11" s="54">
        <v>0</v>
      </c>
      <c r="CG11" s="54">
        <v>0</v>
      </c>
      <c r="CH11" s="54">
        <v>0</v>
      </c>
      <c r="CI11" s="54">
        <v>0</v>
      </c>
      <c r="CJ11" s="54">
        <v>0</v>
      </c>
      <c r="CK11" s="54">
        <v>0</v>
      </c>
      <c r="CL11" s="54">
        <v>0</v>
      </c>
      <c r="CM11" s="54">
        <v>0</v>
      </c>
      <c r="CN11" s="54">
        <v>4301522</v>
      </c>
      <c r="CO11" s="54">
        <v>4301522</v>
      </c>
      <c r="CP11" s="54">
        <v>0</v>
      </c>
      <c r="CQ11" s="54">
        <v>0</v>
      </c>
      <c r="CR11" s="54">
        <v>0</v>
      </c>
      <c r="CS11" s="54">
        <v>0</v>
      </c>
      <c r="CT11" s="54">
        <v>1402852</v>
      </c>
      <c r="CU11" s="54">
        <v>1402852</v>
      </c>
      <c r="CV11" s="54">
        <v>0</v>
      </c>
      <c r="CW11" s="54">
        <v>0</v>
      </c>
      <c r="CX11" s="54">
        <v>0</v>
      </c>
      <c r="CY11" s="54">
        <v>0</v>
      </c>
      <c r="CZ11" s="54">
        <v>1039049</v>
      </c>
      <c r="DA11" s="54">
        <v>1039049</v>
      </c>
      <c r="DB11" s="54">
        <v>0</v>
      </c>
      <c r="DC11" s="54">
        <v>0</v>
      </c>
      <c r="DD11" s="54">
        <v>0</v>
      </c>
      <c r="DE11" s="54">
        <v>0</v>
      </c>
      <c r="DF11" s="54">
        <v>5608</v>
      </c>
      <c r="DG11" s="54">
        <v>5608</v>
      </c>
      <c r="DH11" s="54">
        <v>54071</v>
      </c>
      <c r="DI11" s="54">
        <v>25829</v>
      </c>
      <c r="DJ11" s="54">
        <v>3540</v>
      </c>
      <c r="DK11" s="54">
        <v>12769</v>
      </c>
      <c r="DL11" s="54">
        <v>11495</v>
      </c>
      <c r="DM11" s="54">
        <v>107704</v>
      </c>
      <c r="DN11" s="54">
        <v>0</v>
      </c>
      <c r="DO11" s="54">
        <v>0</v>
      </c>
      <c r="DP11" s="54">
        <v>0</v>
      </c>
      <c r="DQ11" s="54">
        <v>5400</v>
      </c>
      <c r="DR11" s="54">
        <v>713688</v>
      </c>
      <c r="DS11" s="54">
        <v>719088</v>
      </c>
      <c r="DT11" s="54">
        <v>13266</v>
      </c>
      <c r="DU11" s="54">
        <v>22589</v>
      </c>
      <c r="DV11" s="54">
        <v>0</v>
      </c>
      <c r="DW11" s="54">
        <v>222092</v>
      </c>
      <c r="DX11" s="54">
        <v>0</v>
      </c>
      <c r="DY11" s="54">
        <v>257947</v>
      </c>
      <c r="DZ11" s="54">
        <v>0</v>
      </c>
      <c r="EA11" s="54">
        <v>0</v>
      </c>
      <c r="EB11" s="54">
        <v>0</v>
      </c>
      <c r="EC11" s="54">
        <v>0</v>
      </c>
      <c r="ED11" s="54">
        <v>62035</v>
      </c>
      <c r="EE11" s="54">
        <v>62035</v>
      </c>
      <c r="EF11" s="54">
        <v>0</v>
      </c>
      <c r="EG11" s="54">
        <v>0</v>
      </c>
      <c r="EH11" s="54">
        <v>0</v>
      </c>
      <c r="EI11" s="54">
        <v>43616</v>
      </c>
      <c r="EJ11" s="54">
        <v>17672</v>
      </c>
      <c r="EK11" s="54">
        <v>61288</v>
      </c>
      <c r="EL11" s="54">
        <v>1618938</v>
      </c>
      <c r="EM11" s="54">
        <v>481565</v>
      </c>
      <c r="EN11" s="54">
        <v>34258</v>
      </c>
      <c r="EO11" s="54">
        <v>599193</v>
      </c>
      <c r="EP11" s="54">
        <v>17749522</v>
      </c>
      <c r="EQ11" s="54">
        <v>20483476</v>
      </c>
      <c r="ER11" s="54">
        <v>2204451</v>
      </c>
      <c r="ES11" s="54">
        <v>331862</v>
      </c>
      <c r="ET11" s="54">
        <v>411878</v>
      </c>
      <c r="EU11" s="54">
        <v>3061640</v>
      </c>
      <c r="EV11" s="54">
        <v>26735</v>
      </c>
      <c r="EW11" s="54">
        <v>6036566</v>
      </c>
      <c r="EX11" s="54">
        <v>575000</v>
      </c>
      <c r="EY11" s="54">
        <v>73100</v>
      </c>
      <c r="EZ11" s="54">
        <v>600</v>
      </c>
      <c r="FA11" s="54">
        <v>4308</v>
      </c>
      <c r="FB11" s="54">
        <v>0</v>
      </c>
      <c r="FC11" s="54">
        <v>653008</v>
      </c>
      <c r="FD11" s="54">
        <v>1350061</v>
      </c>
      <c r="FE11" s="54">
        <v>554953</v>
      </c>
      <c r="FF11" s="54">
        <v>465358</v>
      </c>
      <c r="FG11" s="54">
        <v>1705573</v>
      </c>
      <c r="FH11" s="54">
        <v>0</v>
      </c>
      <c r="FI11" s="54">
        <v>4075945</v>
      </c>
      <c r="FJ11" s="54">
        <v>0</v>
      </c>
      <c r="FK11" s="54">
        <v>0</v>
      </c>
      <c r="FL11" s="54">
        <v>0</v>
      </c>
      <c r="FM11" s="54">
        <v>0</v>
      </c>
      <c r="FN11" s="54">
        <v>0</v>
      </c>
      <c r="FO11" s="54">
        <v>0</v>
      </c>
      <c r="FP11" s="54">
        <v>154014</v>
      </c>
      <c r="FQ11" s="54">
        <v>17303</v>
      </c>
      <c r="FR11" s="54">
        <v>17303</v>
      </c>
      <c r="FS11" s="54">
        <v>0</v>
      </c>
      <c r="FT11" s="54">
        <v>2841116</v>
      </c>
      <c r="FU11" s="54">
        <v>3029736</v>
      </c>
      <c r="FV11" s="54">
        <v>0</v>
      </c>
      <c r="FW11" s="54">
        <v>0</v>
      </c>
      <c r="FX11" s="54">
        <v>0</v>
      </c>
      <c r="FY11" s="54">
        <v>0</v>
      </c>
      <c r="FZ11" s="54">
        <v>0</v>
      </c>
      <c r="GA11" s="54">
        <v>0</v>
      </c>
      <c r="GB11" s="54">
        <v>350000</v>
      </c>
      <c r="GC11" s="54">
        <v>0</v>
      </c>
      <c r="GD11" s="54">
        <v>0</v>
      </c>
      <c r="GE11" s="54">
        <v>0</v>
      </c>
      <c r="GF11" s="54">
        <v>0</v>
      </c>
      <c r="GG11" s="54">
        <v>350000</v>
      </c>
      <c r="GH11" s="54">
        <v>84268</v>
      </c>
      <c r="GI11" s="54">
        <v>31571</v>
      </c>
      <c r="GJ11" s="54">
        <v>41104</v>
      </c>
      <c r="GK11" s="54">
        <v>62942</v>
      </c>
      <c r="GL11" s="54">
        <v>0</v>
      </c>
      <c r="GM11" s="54">
        <v>219885</v>
      </c>
      <c r="GN11" s="54">
        <v>299770</v>
      </c>
      <c r="GO11" s="54">
        <v>169387</v>
      </c>
      <c r="GP11" s="54">
        <v>122732</v>
      </c>
      <c r="GQ11" s="54">
        <v>666469</v>
      </c>
      <c r="GR11" s="54">
        <v>0</v>
      </c>
      <c r="GS11" s="54">
        <v>1258358</v>
      </c>
      <c r="GT11" s="54">
        <v>202694</v>
      </c>
      <c r="GU11" s="54">
        <v>24462</v>
      </c>
      <c r="GV11" s="54">
        <v>7040</v>
      </c>
      <c r="GW11" s="54">
        <v>194018</v>
      </c>
      <c r="GX11" s="54">
        <v>98622</v>
      </c>
      <c r="GY11" s="54">
        <v>526836</v>
      </c>
      <c r="GZ11" s="54">
        <v>69792</v>
      </c>
      <c r="HA11" s="54">
        <v>61024</v>
      </c>
      <c r="HB11" s="54">
        <v>47275</v>
      </c>
      <c r="HC11" s="54">
        <v>66730</v>
      </c>
      <c r="HD11" s="54">
        <v>80162</v>
      </c>
      <c r="HE11" s="54">
        <v>324983</v>
      </c>
      <c r="HF11" s="54">
        <v>19382</v>
      </c>
      <c r="HG11" s="54">
        <v>6695</v>
      </c>
      <c r="HH11" s="54">
        <v>32000</v>
      </c>
      <c r="HI11" s="54">
        <v>10660</v>
      </c>
      <c r="HJ11" s="54">
        <v>58398</v>
      </c>
      <c r="HK11" s="54">
        <v>127135</v>
      </c>
      <c r="HL11" s="54">
        <v>11384</v>
      </c>
      <c r="HM11" s="54">
        <v>1977</v>
      </c>
      <c r="HN11" s="54">
        <v>0</v>
      </c>
      <c r="HO11" s="54">
        <v>90743</v>
      </c>
      <c r="HP11" s="54">
        <v>0</v>
      </c>
      <c r="HQ11" s="54">
        <v>104104</v>
      </c>
      <c r="HR11" s="54">
        <v>47607</v>
      </c>
      <c r="HS11" s="54">
        <v>1449</v>
      </c>
      <c r="HT11" s="54">
        <v>3274</v>
      </c>
      <c r="HU11" s="54">
        <v>58087</v>
      </c>
      <c r="HV11" s="54">
        <v>34319</v>
      </c>
      <c r="HW11" s="54">
        <v>144736</v>
      </c>
      <c r="HX11" s="54">
        <v>0</v>
      </c>
      <c r="HY11" s="54">
        <v>0</v>
      </c>
      <c r="HZ11" s="54">
        <v>0</v>
      </c>
      <c r="IA11" s="54">
        <v>0</v>
      </c>
      <c r="IB11" s="54">
        <v>75154</v>
      </c>
      <c r="IC11" s="54">
        <v>75154</v>
      </c>
      <c r="ID11" s="54">
        <v>0</v>
      </c>
      <c r="IE11" s="54">
        <v>0</v>
      </c>
      <c r="IF11" s="54">
        <v>0</v>
      </c>
      <c r="IG11" s="54">
        <v>0</v>
      </c>
      <c r="IH11" s="54">
        <v>1402852</v>
      </c>
      <c r="II11" s="54">
        <v>1402852</v>
      </c>
      <c r="IJ11" s="54">
        <v>27817</v>
      </c>
      <c r="IK11" s="54">
        <v>12827</v>
      </c>
      <c r="IL11" s="54">
        <v>6169</v>
      </c>
      <c r="IM11" s="54">
        <v>130339</v>
      </c>
      <c r="IN11" s="54">
        <v>0</v>
      </c>
      <c r="IO11" s="54">
        <v>177152</v>
      </c>
      <c r="IP11" s="54">
        <v>900</v>
      </c>
      <c r="IQ11" s="54">
        <v>850</v>
      </c>
      <c r="IR11" s="54">
        <v>510</v>
      </c>
      <c r="IS11" s="54">
        <v>5282</v>
      </c>
      <c r="IT11" s="54">
        <v>115338</v>
      </c>
      <c r="IU11" s="54">
        <v>122880</v>
      </c>
      <c r="IV11" s="54">
        <v>92230</v>
      </c>
      <c r="IW11" s="54">
        <v>9650</v>
      </c>
      <c r="IX11" s="54">
        <v>18950</v>
      </c>
      <c r="IY11" s="54">
        <v>60244</v>
      </c>
      <c r="IZ11" s="54">
        <v>724514</v>
      </c>
      <c r="JA11" s="54">
        <v>905588</v>
      </c>
      <c r="JB11" s="54">
        <v>5489370</v>
      </c>
      <c r="JC11" s="54">
        <v>1297110</v>
      </c>
      <c r="JD11" s="54">
        <v>1145393</v>
      </c>
      <c r="JE11" s="54">
        <v>6117035</v>
      </c>
      <c r="JF11" s="54">
        <v>5457210</v>
      </c>
      <c r="JG11" s="54">
        <v>19506118</v>
      </c>
      <c r="JH11" s="54">
        <v>0</v>
      </c>
      <c r="JI11" s="54">
        <v>0</v>
      </c>
      <c r="JJ11" s="54">
        <v>0</v>
      </c>
      <c r="JK11" s="54">
        <v>0</v>
      </c>
      <c r="JL11" s="54">
        <v>0</v>
      </c>
      <c r="JM11" s="54">
        <v>0</v>
      </c>
      <c r="JN11" s="64">
        <v>5489370</v>
      </c>
      <c r="JO11" s="64">
        <v>1297110</v>
      </c>
      <c r="JP11" s="64">
        <v>1145393</v>
      </c>
      <c r="JQ11" s="64">
        <v>6117035</v>
      </c>
      <c r="JR11" s="64">
        <v>5457210</v>
      </c>
      <c r="JS11" s="64">
        <v>19506118</v>
      </c>
      <c r="JU11" s="5">
        <f t="shared" si="0"/>
        <v>628719</v>
      </c>
      <c r="JV11" s="26">
        <f t="shared" si="1"/>
        <v>0</v>
      </c>
      <c r="JW11" s="5">
        <f t="shared" si="2"/>
        <v>9157741</v>
      </c>
      <c r="JX11" s="26">
        <f t="shared" si="3"/>
        <v>0</v>
      </c>
      <c r="JY11" s="5">
        <f t="shared" si="4"/>
        <v>1295500</v>
      </c>
      <c r="JZ11" s="26">
        <f t="shared" si="5"/>
        <v>0</v>
      </c>
      <c r="KA11" s="5">
        <f t="shared" si="6"/>
        <v>1444423</v>
      </c>
      <c r="KB11" s="26">
        <f t="shared" si="7"/>
        <v>0</v>
      </c>
      <c r="KC11" s="5">
        <f t="shared" si="8"/>
        <v>0</v>
      </c>
      <c r="KD11" s="26">
        <f t="shared" si="9"/>
        <v>0</v>
      </c>
      <c r="KE11" s="5">
        <f t="shared" si="10"/>
        <v>0</v>
      </c>
      <c r="KF11" s="26">
        <f t="shared" si="11"/>
        <v>0</v>
      </c>
      <c r="KG11" s="5">
        <f t="shared" si="12"/>
        <v>4301522</v>
      </c>
      <c r="KH11" s="26">
        <f t="shared" si="13"/>
        <v>0</v>
      </c>
      <c r="KI11" s="5">
        <f t="shared" si="14"/>
        <v>1402852</v>
      </c>
      <c r="KJ11" s="26">
        <f t="shared" si="15"/>
        <v>0</v>
      </c>
      <c r="KK11" s="5">
        <f t="shared" si="16"/>
        <v>1039049</v>
      </c>
      <c r="KL11" s="26">
        <f t="shared" si="17"/>
        <v>0</v>
      </c>
      <c r="KM11" s="5">
        <f t="shared" si="18"/>
        <v>5608</v>
      </c>
      <c r="KN11" s="26">
        <f t="shared" si="19"/>
        <v>0</v>
      </c>
      <c r="KO11" s="5">
        <f t="shared" si="20"/>
        <v>107704</v>
      </c>
      <c r="KP11" s="26">
        <f t="shared" si="21"/>
        <v>0</v>
      </c>
      <c r="KQ11" s="5">
        <f t="shared" si="22"/>
        <v>719088</v>
      </c>
      <c r="KR11" s="26">
        <f t="shared" si="23"/>
        <v>0</v>
      </c>
      <c r="KS11" s="5">
        <f t="shared" si="24"/>
        <v>257947</v>
      </c>
      <c r="KT11" s="26">
        <f t="shared" si="25"/>
        <v>0</v>
      </c>
      <c r="KU11" s="5">
        <f t="shared" si="26"/>
        <v>62035</v>
      </c>
      <c r="KV11" s="26">
        <f t="shared" si="27"/>
        <v>0</v>
      </c>
      <c r="KW11" s="5">
        <f t="shared" si="28"/>
        <v>61288</v>
      </c>
      <c r="KX11" s="26">
        <f t="shared" si="29"/>
        <v>0</v>
      </c>
      <c r="KY11" s="5">
        <f t="shared" si="30"/>
        <v>20483476</v>
      </c>
      <c r="KZ11" s="26">
        <f t="shared" si="31"/>
        <v>0</v>
      </c>
      <c r="LA11" s="5">
        <f t="shared" si="32"/>
        <v>6036566</v>
      </c>
      <c r="LB11" s="26">
        <f t="shared" si="33"/>
        <v>0</v>
      </c>
      <c r="LC11" s="5">
        <f t="shared" si="34"/>
        <v>653008</v>
      </c>
      <c r="LD11" s="26">
        <f t="shared" si="35"/>
        <v>0</v>
      </c>
      <c r="LE11" s="5">
        <f t="shared" si="36"/>
        <v>4075945</v>
      </c>
      <c r="LF11" s="26">
        <f t="shared" si="37"/>
        <v>0</v>
      </c>
      <c r="LG11" s="5">
        <f t="shared" si="38"/>
        <v>0</v>
      </c>
      <c r="LH11" s="26">
        <f t="shared" si="39"/>
        <v>0</v>
      </c>
      <c r="LI11" s="5">
        <f t="shared" si="40"/>
        <v>3029736</v>
      </c>
      <c r="LJ11" s="26">
        <f t="shared" si="41"/>
        <v>0</v>
      </c>
      <c r="LK11" s="5">
        <f t="shared" si="42"/>
        <v>0</v>
      </c>
      <c r="LL11" s="26">
        <f t="shared" si="43"/>
        <v>0</v>
      </c>
      <c r="LM11" s="5">
        <f t="shared" si="44"/>
        <v>350000</v>
      </c>
      <c r="LN11" s="26">
        <f t="shared" si="45"/>
        <v>0</v>
      </c>
      <c r="LO11" s="5">
        <f t="shared" si="46"/>
        <v>219885</v>
      </c>
      <c r="LP11" s="26">
        <f t="shared" si="47"/>
        <v>0</v>
      </c>
      <c r="LQ11" s="5">
        <f t="shared" si="48"/>
        <v>1258358</v>
      </c>
      <c r="LR11" s="26">
        <f t="shared" si="49"/>
        <v>0</v>
      </c>
      <c r="LS11" s="5">
        <f t="shared" si="50"/>
        <v>526836</v>
      </c>
      <c r="LT11" s="26">
        <f t="shared" si="51"/>
        <v>0</v>
      </c>
      <c r="LU11" s="5">
        <f t="shared" si="52"/>
        <v>324983</v>
      </c>
      <c r="LV11" s="26">
        <f t="shared" si="53"/>
        <v>0</v>
      </c>
      <c r="LW11" s="5">
        <f t="shared" si="54"/>
        <v>127135</v>
      </c>
      <c r="LX11" s="26">
        <f t="shared" si="55"/>
        <v>0</v>
      </c>
      <c r="LY11" s="5">
        <f t="shared" si="56"/>
        <v>104104</v>
      </c>
      <c r="LZ11" s="26">
        <f t="shared" si="57"/>
        <v>0</v>
      </c>
      <c r="MA11" s="5">
        <f t="shared" si="58"/>
        <v>144736</v>
      </c>
      <c r="MB11" s="26">
        <f t="shared" si="59"/>
        <v>0</v>
      </c>
      <c r="MC11" s="5">
        <f t="shared" si="60"/>
        <v>75154</v>
      </c>
      <c r="MD11" s="26">
        <f t="shared" si="61"/>
        <v>0</v>
      </c>
      <c r="ME11" s="5">
        <f t="shared" si="62"/>
        <v>1402852</v>
      </c>
      <c r="MF11" s="26">
        <f t="shared" si="63"/>
        <v>0</v>
      </c>
      <c r="MG11" s="5">
        <f t="shared" si="64"/>
        <v>177152</v>
      </c>
      <c r="MH11" s="26">
        <f t="shared" si="65"/>
        <v>0</v>
      </c>
      <c r="MI11" s="5">
        <f t="shared" si="66"/>
        <v>122880</v>
      </c>
      <c r="MJ11" s="26">
        <f t="shared" si="67"/>
        <v>0</v>
      </c>
      <c r="MK11" s="5">
        <f t="shared" si="68"/>
        <v>905588</v>
      </c>
      <c r="ML11" s="26">
        <f t="shared" si="69"/>
        <v>0</v>
      </c>
      <c r="MM11" s="5">
        <f t="shared" si="70"/>
        <v>19506118</v>
      </c>
      <c r="MN11" s="26">
        <f t="shared" si="71"/>
        <v>0</v>
      </c>
      <c r="MO11" s="5">
        <f t="shared" si="72"/>
        <v>0</v>
      </c>
      <c r="MP11" s="26">
        <f t="shared" si="73"/>
        <v>0</v>
      </c>
      <c r="MQ11" s="5">
        <f t="shared" si="74"/>
        <v>19506118</v>
      </c>
      <c r="MR11" s="26">
        <f t="shared" si="75"/>
        <v>0</v>
      </c>
      <c r="MT11" s="5">
        <f t="shared" si="76"/>
        <v>0</v>
      </c>
      <c r="MV11" s="4">
        <f t="shared" si="77"/>
        <v>0</v>
      </c>
    </row>
    <row r="12" spans="1:360" x14ac:dyDescent="0.15">
      <c r="A12" s="155" t="s">
        <v>291</v>
      </c>
      <c r="B12" s="25" t="s">
        <v>481</v>
      </c>
      <c r="C12" s="109">
        <v>142115</v>
      </c>
      <c r="D12" s="105">
        <v>2011</v>
      </c>
      <c r="E12" s="106">
        <v>1</v>
      </c>
      <c r="F12" s="107">
        <v>10</v>
      </c>
      <c r="G12" s="107">
        <v>5910</v>
      </c>
      <c r="H12" s="107">
        <v>6764</v>
      </c>
      <c r="I12" s="108">
        <v>281846315</v>
      </c>
      <c r="J12" s="108"/>
      <c r="K12" s="108">
        <v>3201990</v>
      </c>
      <c r="L12" s="108"/>
      <c r="M12" s="108">
        <v>16764424</v>
      </c>
      <c r="N12" s="108"/>
      <c r="O12" s="108">
        <v>38603004</v>
      </c>
      <c r="P12" s="108"/>
      <c r="Q12" s="108">
        <v>230846701</v>
      </c>
      <c r="R12" s="108"/>
      <c r="S12" s="108">
        <v>222877000</v>
      </c>
      <c r="T12" s="108"/>
      <c r="U12" s="108">
        <v>14274</v>
      </c>
      <c r="V12" s="108"/>
      <c r="W12" s="108">
        <v>23730</v>
      </c>
      <c r="X12" s="108"/>
      <c r="Y12" s="108">
        <v>17635</v>
      </c>
      <c r="Z12" s="108"/>
      <c r="AA12" s="108">
        <v>27387</v>
      </c>
      <c r="AB12" s="108"/>
      <c r="AC12" s="130">
        <v>8</v>
      </c>
      <c r="AD12" s="130">
        <v>11</v>
      </c>
      <c r="AE12" s="130">
        <v>0</v>
      </c>
      <c r="AF12" s="26">
        <v>3025068</v>
      </c>
      <c r="AG12" s="26">
        <v>2423170</v>
      </c>
      <c r="AH12" s="26">
        <v>223629</v>
      </c>
      <c r="AI12" s="26">
        <v>159698</v>
      </c>
      <c r="AJ12" s="26">
        <v>444129.07692307694</v>
      </c>
      <c r="AK12" s="36">
        <v>6.5</v>
      </c>
      <c r="AL12" s="26">
        <v>481139.83333333331</v>
      </c>
      <c r="AM12" s="36">
        <v>6</v>
      </c>
      <c r="AN12" s="26">
        <v>93031.68421052632</v>
      </c>
      <c r="AO12" s="36">
        <v>9.5</v>
      </c>
      <c r="AP12" s="26">
        <v>88380.1</v>
      </c>
      <c r="AQ12" s="36">
        <v>10</v>
      </c>
      <c r="AR12" s="26">
        <v>195015.35294117648</v>
      </c>
      <c r="AS12" s="36">
        <v>17</v>
      </c>
      <c r="AT12" s="26">
        <v>174487.42105263157</v>
      </c>
      <c r="AU12" s="36">
        <v>19</v>
      </c>
      <c r="AV12" s="26">
        <v>68057.266666666663</v>
      </c>
      <c r="AW12" s="36">
        <v>15</v>
      </c>
      <c r="AX12" s="26">
        <v>60050.529411764706</v>
      </c>
      <c r="AY12" s="36">
        <v>17</v>
      </c>
      <c r="AZ12" s="54">
        <v>7009545</v>
      </c>
      <c r="BA12" s="54">
        <v>526157</v>
      </c>
      <c r="BB12" s="54">
        <v>20366</v>
      </c>
      <c r="BC12" s="54">
        <v>59628</v>
      </c>
      <c r="BD12" s="54">
        <v>0</v>
      </c>
      <c r="BE12" s="54">
        <v>7615696</v>
      </c>
      <c r="BF12" s="54">
        <v>0</v>
      </c>
      <c r="BG12" s="54">
        <v>0</v>
      </c>
      <c r="BH12" s="54">
        <v>0</v>
      </c>
      <c r="BI12" s="54">
        <v>0</v>
      </c>
      <c r="BJ12" s="54">
        <v>3151147</v>
      </c>
      <c r="BK12" s="54">
        <v>3151147</v>
      </c>
      <c r="BL12" s="54">
        <v>1450000</v>
      </c>
      <c r="BM12" s="54">
        <v>50000</v>
      </c>
      <c r="BN12" s="54">
        <v>0</v>
      </c>
      <c r="BO12" s="54">
        <v>0</v>
      </c>
      <c r="BP12" s="54">
        <v>0</v>
      </c>
      <c r="BQ12" s="54">
        <v>1500000</v>
      </c>
      <c r="BR12" s="54">
        <v>47575</v>
      </c>
      <c r="BS12" s="54">
        <v>369</v>
      </c>
      <c r="BT12" s="54">
        <v>25262</v>
      </c>
      <c r="BU12" s="54">
        <v>207713</v>
      </c>
      <c r="BV12" s="54">
        <v>9313263</v>
      </c>
      <c r="BW12" s="54">
        <v>9594182</v>
      </c>
      <c r="BX12" s="54">
        <v>0</v>
      </c>
      <c r="BY12" s="54">
        <v>0</v>
      </c>
      <c r="BZ12" s="54">
        <v>0</v>
      </c>
      <c r="CA12" s="54">
        <v>0</v>
      </c>
      <c r="CB12" s="54">
        <v>0</v>
      </c>
      <c r="CC12" s="54">
        <v>0</v>
      </c>
      <c r="CD12" s="54">
        <v>47393</v>
      </c>
      <c r="CE12" s="54">
        <v>41446</v>
      </c>
      <c r="CF12" s="54">
        <v>265871</v>
      </c>
      <c r="CG12" s="54">
        <v>1132174</v>
      </c>
      <c r="CH12" s="54">
        <v>724193</v>
      </c>
      <c r="CI12" s="54">
        <v>2211077</v>
      </c>
      <c r="CJ12" s="54">
        <v>0</v>
      </c>
      <c r="CK12" s="54">
        <v>0</v>
      </c>
      <c r="CL12" s="54">
        <v>0</v>
      </c>
      <c r="CM12" s="54">
        <v>0</v>
      </c>
      <c r="CN12" s="54">
        <v>3340637</v>
      </c>
      <c r="CO12" s="54">
        <v>3340637</v>
      </c>
      <c r="CP12" s="54">
        <v>0</v>
      </c>
      <c r="CQ12" s="54">
        <v>0</v>
      </c>
      <c r="CR12" s="54">
        <v>0</v>
      </c>
      <c r="CS12" s="54">
        <v>0</v>
      </c>
      <c r="CT12" s="54">
        <v>1822713</v>
      </c>
      <c r="CU12" s="54">
        <v>1822713</v>
      </c>
      <c r="CV12" s="54">
        <v>1096161</v>
      </c>
      <c r="CW12" s="54">
        <v>220815</v>
      </c>
      <c r="CX12" s="54">
        <v>38967</v>
      </c>
      <c r="CY12" s="54">
        <v>467608</v>
      </c>
      <c r="CZ12" s="54">
        <v>0</v>
      </c>
      <c r="DA12" s="54">
        <v>1823551</v>
      </c>
      <c r="DB12" s="54">
        <v>65642</v>
      </c>
      <c r="DC12" s="54">
        <v>16411</v>
      </c>
      <c r="DD12" s="54">
        <v>0</v>
      </c>
      <c r="DE12" s="54">
        <v>0</v>
      </c>
      <c r="DF12" s="54">
        <v>58545</v>
      </c>
      <c r="DG12" s="54">
        <v>140598</v>
      </c>
      <c r="DH12" s="54">
        <v>870188</v>
      </c>
      <c r="DI12" s="54">
        <v>65319</v>
      </c>
      <c r="DJ12" s="54">
        <v>1219</v>
      </c>
      <c r="DK12" s="54">
        <v>8712</v>
      </c>
      <c r="DL12" s="54">
        <v>0</v>
      </c>
      <c r="DM12" s="54">
        <v>945438</v>
      </c>
      <c r="DN12" s="54">
        <v>3324954</v>
      </c>
      <c r="DO12" s="54">
        <v>249581</v>
      </c>
      <c r="DP12" s="54">
        <v>4659</v>
      </c>
      <c r="DQ12" s="54">
        <v>33286</v>
      </c>
      <c r="DR12" s="54">
        <v>0</v>
      </c>
      <c r="DS12" s="54">
        <v>3612480</v>
      </c>
      <c r="DT12" s="54">
        <v>410969</v>
      </c>
      <c r="DU12" s="54">
        <v>33700</v>
      </c>
      <c r="DV12" s="54">
        <v>15875</v>
      </c>
      <c r="DW12" s="54">
        <v>426180</v>
      </c>
      <c r="DX12" s="54">
        <v>0</v>
      </c>
      <c r="DY12" s="54">
        <v>886724</v>
      </c>
      <c r="DZ12" s="54">
        <v>0</v>
      </c>
      <c r="EA12" s="54">
        <v>0</v>
      </c>
      <c r="EB12" s="54">
        <v>0</v>
      </c>
      <c r="EC12" s="54">
        <v>0</v>
      </c>
      <c r="ED12" s="54">
        <v>0</v>
      </c>
      <c r="EE12" s="54">
        <v>0</v>
      </c>
      <c r="EF12" s="54">
        <v>3960</v>
      </c>
      <c r="EG12" s="54">
        <v>0</v>
      </c>
      <c r="EH12" s="54">
        <v>0</v>
      </c>
      <c r="EI12" s="54">
        <v>2500</v>
      </c>
      <c r="EJ12" s="54">
        <v>874019</v>
      </c>
      <c r="EK12" s="54">
        <v>880479</v>
      </c>
      <c r="EL12" s="54">
        <v>14326387</v>
      </c>
      <c r="EM12" s="54">
        <v>1203798</v>
      </c>
      <c r="EN12" s="54">
        <v>372217</v>
      </c>
      <c r="EO12" s="54">
        <v>2337803</v>
      </c>
      <c r="EP12" s="54">
        <v>19284517</v>
      </c>
      <c r="EQ12" s="54">
        <v>37524722</v>
      </c>
      <c r="ER12" s="54">
        <v>1996666</v>
      </c>
      <c r="ES12" s="54">
        <v>301249</v>
      </c>
      <c r="ET12" s="54">
        <v>326838</v>
      </c>
      <c r="EU12" s="54">
        <v>2823485</v>
      </c>
      <c r="EV12" s="54">
        <v>400766</v>
      </c>
      <c r="EW12" s="54">
        <v>5849004</v>
      </c>
      <c r="EX12" s="54">
        <v>400000</v>
      </c>
      <c r="EY12" s="54">
        <v>170000</v>
      </c>
      <c r="EZ12" s="54">
        <v>27500</v>
      </c>
      <c r="FA12" s="54">
        <v>0</v>
      </c>
      <c r="FB12" s="54">
        <v>0</v>
      </c>
      <c r="FC12" s="54">
        <v>597500</v>
      </c>
      <c r="FD12" s="54">
        <v>3939019</v>
      </c>
      <c r="FE12" s="54">
        <v>1164944</v>
      </c>
      <c r="FF12" s="54">
        <v>457500</v>
      </c>
      <c r="FG12" s="54">
        <v>1825592</v>
      </c>
      <c r="FH12" s="54">
        <v>719705</v>
      </c>
      <c r="FI12" s="54">
        <v>8106760</v>
      </c>
      <c r="FJ12" s="54">
        <v>0</v>
      </c>
      <c r="FK12" s="54">
        <v>0</v>
      </c>
      <c r="FL12" s="54">
        <v>0</v>
      </c>
      <c r="FM12" s="54">
        <v>0</v>
      </c>
      <c r="FN12" s="54">
        <v>0</v>
      </c>
      <c r="FO12" s="54">
        <v>0</v>
      </c>
      <c r="FP12" s="54">
        <v>0</v>
      </c>
      <c r="FQ12" s="54">
        <v>0</v>
      </c>
      <c r="FR12" s="54">
        <v>0</v>
      </c>
      <c r="FS12" s="54">
        <v>0</v>
      </c>
      <c r="FT12" s="54">
        <v>4786700</v>
      </c>
      <c r="FU12" s="54">
        <v>4786700</v>
      </c>
      <c r="FV12" s="54">
        <v>0</v>
      </c>
      <c r="FW12" s="54">
        <v>0</v>
      </c>
      <c r="FX12" s="54">
        <v>0</v>
      </c>
      <c r="FY12" s="54">
        <v>0</v>
      </c>
      <c r="FZ12" s="54">
        <v>0</v>
      </c>
      <c r="GA12" s="54">
        <v>0</v>
      </c>
      <c r="GB12" s="54">
        <v>0</v>
      </c>
      <c r="GC12" s="54">
        <v>0</v>
      </c>
      <c r="GD12" s="54">
        <v>0</v>
      </c>
      <c r="GE12" s="54">
        <v>0</v>
      </c>
      <c r="GF12" s="54">
        <v>0</v>
      </c>
      <c r="GG12" s="54">
        <v>0</v>
      </c>
      <c r="GH12" s="54">
        <v>129837</v>
      </c>
      <c r="GI12" s="54">
        <v>79361</v>
      </c>
      <c r="GJ12" s="54">
        <v>62937</v>
      </c>
      <c r="GK12" s="54">
        <v>111192</v>
      </c>
      <c r="GL12" s="54">
        <v>0</v>
      </c>
      <c r="GM12" s="54">
        <v>383327</v>
      </c>
      <c r="GN12" s="54">
        <v>589773</v>
      </c>
      <c r="GO12" s="54">
        <v>220302</v>
      </c>
      <c r="GP12" s="54">
        <v>149579</v>
      </c>
      <c r="GQ12" s="54">
        <v>1101786</v>
      </c>
      <c r="GR12" s="54">
        <v>0</v>
      </c>
      <c r="GS12" s="54">
        <v>2061440</v>
      </c>
      <c r="GT12" s="54">
        <v>365832</v>
      </c>
      <c r="GU12" s="54">
        <v>48018</v>
      </c>
      <c r="GV12" s="54">
        <v>46928</v>
      </c>
      <c r="GW12" s="54">
        <v>360628</v>
      </c>
      <c r="GX12" s="54">
        <v>367361</v>
      </c>
      <c r="GY12" s="54">
        <v>1188767</v>
      </c>
      <c r="GZ12" s="54">
        <v>0</v>
      </c>
      <c r="HA12" s="54">
        <v>0</v>
      </c>
      <c r="HB12" s="54">
        <v>0</v>
      </c>
      <c r="HC12" s="54">
        <v>0</v>
      </c>
      <c r="HD12" s="54">
        <v>1977157</v>
      </c>
      <c r="HE12" s="54">
        <v>1977157</v>
      </c>
      <c r="HF12" s="54">
        <v>0</v>
      </c>
      <c r="HG12" s="54">
        <v>0</v>
      </c>
      <c r="HH12" s="54">
        <v>0</v>
      </c>
      <c r="HI12" s="54">
        <v>0</v>
      </c>
      <c r="HJ12" s="54">
        <v>389355</v>
      </c>
      <c r="HK12" s="54">
        <v>389355</v>
      </c>
      <c r="HL12" s="54">
        <v>180456</v>
      </c>
      <c r="HM12" s="54">
        <v>20258</v>
      </c>
      <c r="HN12" s="54">
        <v>2965</v>
      </c>
      <c r="HO12" s="54">
        <v>313820</v>
      </c>
      <c r="HP12" s="54">
        <v>0</v>
      </c>
      <c r="HQ12" s="54">
        <v>517499</v>
      </c>
      <c r="HR12" s="54">
        <v>7170886</v>
      </c>
      <c r="HS12" s="54">
        <v>538268</v>
      </c>
      <c r="HT12" s="54">
        <v>10048</v>
      </c>
      <c r="HU12" s="54">
        <v>71787</v>
      </c>
      <c r="HV12" s="54">
        <v>0</v>
      </c>
      <c r="HW12" s="54">
        <v>7790989</v>
      </c>
      <c r="HX12" s="54">
        <v>0</v>
      </c>
      <c r="HY12" s="54">
        <v>0</v>
      </c>
      <c r="HZ12" s="54">
        <v>0</v>
      </c>
      <c r="IA12" s="54">
        <v>0</v>
      </c>
      <c r="IB12" s="54">
        <v>118297</v>
      </c>
      <c r="IC12" s="54">
        <v>118297</v>
      </c>
      <c r="ID12" s="54">
        <v>0</v>
      </c>
      <c r="IE12" s="54">
        <v>0</v>
      </c>
      <c r="IF12" s="54">
        <v>0</v>
      </c>
      <c r="IG12" s="54">
        <v>0</v>
      </c>
      <c r="IH12" s="54">
        <v>1822713</v>
      </c>
      <c r="II12" s="54">
        <v>1822713</v>
      </c>
      <c r="IJ12" s="54">
        <v>0</v>
      </c>
      <c r="IK12" s="54">
        <v>0</v>
      </c>
      <c r="IL12" s="54">
        <v>0</v>
      </c>
      <c r="IM12" s="54">
        <v>0</v>
      </c>
      <c r="IN12" s="54">
        <v>125596</v>
      </c>
      <c r="IO12" s="54">
        <v>125596</v>
      </c>
      <c r="IP12" s="54">
        <v>449</v>
      </c>
      <c r="IQ12" s="54">
        <v>720</v>
      </c>
      <c r="IR12" s="54">
        <v>145</v>
      </c>
      <c r="IS12" s="54">
        <v>4714</v>
      </c>
      <c r="IT12" s="54">
        <v>473772</v>
      </c>
      <c r="IU12" s="54">
        <v>479800</v>
      </c>
      <c r="IV12" s="54">
        <v>54755</v>
      </c>
      <c r="IW12" s="54">
        <v>96826</v>
      </c>
      <c r="IX12" s="54">
        <v>4531</v>
      </c>
      <c r="IY12" s="54">
        <v>10496</v>
      </c>
      <c r="IZ12" s="54">
        <v>931769</v>
      </c>
      <c r="JA12" s="54">
        <v>1098377</v>
      </c>
      <c r="JB12" s="54">
        <v>14827673</v>
      </c>
      <c r="JC12" s="54">
        <v>2639946</v>
      </c>
      <c r="JD12" s="54">
        <v>1088971</v>
      </c>
      <c r="JE12" s="54">
        <v>6623500</v>
      </c>
      <c r="JF12" s="54">
        <v>12113191</v>
      </c>
      <c r="JG12" s="54">
        <v>37293281</v>
      </c>
      <c r="JH12" s="54">
        <v>0</v>
      </c>
      <c r="JI12" s="54">
        <v>0</v>
      </c>
      <c r="JJ12" s="54">
        <v>0</v>
      </c>
      <c r="JK12" s="54">
        <v>0</v>
      </c>
      <c r="JL12" s="54">
        <v>0</v>
      </c>
      <c r="JM12" s="54">
        <v>0</v>
      </c>
      <c r="JN12" s="54">
        <v>14827673</v>
      </c>
      <c r="JO12" s="54">
        <v>2639946</v>
      </c>
      <c r="JP12" s="54">
        <v>1088971</v>
      </c>
      <c r="JQ12" s="54">
        <v>6623500</v>
      </c>
      <c r="JR12" s="54">
        <v>12113191</v>
      </c>
      <c r="JS12" s="54">
        <v>37293281</v>
      </c>
      <c r="JU12" s="5">
        <f t="shared" si="0"/>
        <v>7615696</v>
      </c>
      <c r="JV12" s="26">
        <f t="shared" si="1"/>
        <v>0</v>
      </c>
      <c r="JW12" s="5">
        <f t="shared" si="2"/>
        <v>3151147</v>
      </c>
      <c r="JX12" s="26">
        <f t="shared" si="3"/>
        <v>0</v>
      </c>
      <c r="JY12" s="5">
        <f t="shared" si="4"/>
        <v>1500000</v>
      </c>
      <c r="JZ12" s="26">
        <f t="shared" si="5"/>
        <v>0</v>
      </c>
      <c r="KA12" s="5">
        <f t="shared" si="6"/>
        <v>9594182</v>
      </c>
      <c r="KB12" s="26">
        <f t="shared" si="7"/>
        <v>0</v>
      </c>
      <c r="KC12" s="5">
        <f t="shared" si="8"/>
        <v>0</v>
      </c>
      <c r="KD12" s="26">
        <f t="shared" si="9"/>
        <v>0</v>
      </c>
      <c r="KE12" s="5">
        <f t="shared" si="10"/>
        <v>2211077</v>
      </c>
      <c r="KF12" s="26">
        <f t="shared" si="11"/>
        <v>0</v>
      </c>
      <c r="KG12" s="5">
        <f t="shared" si="12"/>
        <v>3340637</v>
      </c>
      <c r="KH12" s="26">
        <f t="shared" si="13"/>
        <v>0</v>
      </c>
      <c r="KI12" s="5">
        <f t="shared" si="14"/>
        <v>1822713</v>
      </c>
      <c r="KJ12" s="26">
        <f t="shared" si="15"/>
        <v>0</v>
      </c>
      <c r="KK12" s="5">
        <f t="shared" si="16"/>
        <v>1823551</v>
      </c>
      <c r="KL12" s="26">
        <f t="shared" si="17"/>
        <v>0</v>
      </c>
      <c r="KM12" s="5">
        <f t="shared" si="18"/>
        <v>140598</v>
      </c>
      <c r="KN12" s="26">
        <f t="shared" si="19"/>
        <v>0</v>
      </c>
      <c r="KO12" s="5">
        <f t="shared" si="20"/>
        <v>945438</v>
      </c>
      <c r="KP12" s="26">
        <f t="shared" si="21"/>
        <v>0</v>
      </c>
      <c r="KQ12" s="5">
        <f t="shared" si="22"/>
        <v>3612480</v>
      </c>
      <c r="KR12" s="26">
        <f t="shared" si="23"/>
        <v>0</v>
      </c>
      <c r="KS12" s="5">
        <f t="shared" si="24"/>
        <v>886724</v>
      </c>
      <c r="KT12" s="26">
        <f t="shared" si="25"/>
        <v>0</v>
      </c>
      <c r="KU12" s="5">
        <f t="shared" si="26"/>
        <v>0</v>
      </c>
      <c r="KV12" s="26">
        <f t="shared" si="27"/>
        <v>0</v>
      </c>
      <c r="KW12" s="5">
        <f t="shared" si="28"/>
        <v>880479</v>
      </c>
      <c r="KX12" s="26">
        <f t="shared" si="29"/>
        <v>0</v>
      </c>
      <c r="KY12" s="5">
        <f t="shared" si="30"/>
        <v>37524722</v>
      </c>
      <c r="KZ12" s="26">
        <f t="shared" si="31"/>
        <v>0</v>
      </c>
      <c r="LA12" s="5">
        <f t="shared" si="32"/>
        <v>5849004</v>
      </c>
      <c r="LB12" s="26">
        <f t="shared" si="33"/>
        <v>0</v>
      </c>
      <c r="LC12" s="5">
        <f t="shared" si="34"/>
        <v>597500</v>
      </c>
      <c r="LD12" s="26">
        <f t="shared" si="35"/>
        <v>0</v>
      </c>
      <c r="LE12" s="5">
        <f t="shared" si="36"/>
        <v>8106760</v>
      </c>
      <c r="LF12" s="26">
        <f t="shared" si="37"/>
        <v>0</v>
      </c>
      <c r="LG12" s="5">
        <f t="shared" si="38"/>
        <v>0</v>
      </c>
      <c r="LH12" s="26">
        <f t="shared" si="39"/>
        <v>0</v>
      </c>
      <c r="LI12" s="5">
        <f t="shared" si="40"/>
        <v>4786700</v>
      </c>
      <c r="LJ12" s="26">
        <f t="shared" si="41"/>
        <v>0</v>
      </c>
      <c r="LK12" s="5">
        <f t="shared" si="42"/>
        <v>0</v>
      </c>
      <c r="LL12" s="26">
        <f t="shared" si="43"/>
        <v>0</v>
      </c>
      <c r="LM12" s="5">
        <f t="shared" si="44"/>
        <v>0</v>
      </c>
      <c r="LN12" s="26">
        <f t="shared" si="45"/>
        <v>0</v>
      </c>
      <c r="LO12" s="5">
        <f t="shared" si="46"/>
        <v>383327</v>
      </c>
      <c r="LP12" s="26">
        <f t="shared" si="47"/>
        <v>0</v>
      </c>
      <c r="LQ12" s="5">
        <f t="shared" si="48"/>
        <v>2061440</v>
      </c>
      <c r="LR12" s="26">
        <f t="shared" si="49"/>
        <v>0</v>
      </c>
      <c r="LS12" s="5">
        <f t="shared" si="50"/>
        <v>1188767</v>
      </c>
      <c r="LT12" s="26">
        <f t="shared" si="51"/>
        <v>0</v>
      </c>
      <c r="LU12" s="5">
        <f t="shared" si="52"/>
        <v>1977157</v>
      </c>
      <c r="LV12" s="26">
        <f t="shared" si="53"/>
        <v>0</v>
      </c>
      <c r="LW12" s="5">
        <f t="shared" si="54"/>
        <v>389355</v>
      </c>
      <c r="LX12" s="26">
        <f t="shared" si="55"/>
        <v>0</v>
      </c>
      <c r="LY12" s="5">
        <f t="shared" si="56"/>
        <v>517499</v>
      </c>
      <c r="LZ12" s="26">
        <f t="shared" si="57"/>
        <v>0</v>
      </c>
      <c r="MA12" s="5">
        <f t="shared" si="58"/>
        <v>7790989</v>
      </c>
      <c r="MB12" s="26">
        <f t="shared" si="59"/>
        <v>0</v>
      </c>
      <c r="MC12" s="5">
        <f t="shared" si="60"/>
        <v>118297</v>
      </c>
      <c r="MD12" s="26">
        <f t="shared" si="61"/>
        <v>0</v>
      </c>
      <c r="ME12" s="5">
        <f t="shared" si="62"/>
        <v>1822713</v>
      </c>
      <c r="MF12" s="26">
        <f t="shared" si="63"/>
        <v>0</v>
      </c>
      <c r="MG12" s="5">
        <f t="shared" si="64"/>
        <v>125596</v>
      </c>
      <c r="MH12" s="26">
        <f t="shared" si="65"/>
        <v>0</v>
      </c>
      <c r="MI12" s="5">
        <f t="shared" si="66"/>
        <v>479800</v>
      </c>
      <c r="MJ12" s="26">
        <f t="shared" si="67"/>
        <v>0</v>
      </c>
      <c r="MK12" s="5">
        <f t="shared" si="68"/>
        <v>1098377</v>
      </c>
      <c r="ML12" s="26">
        <f t="shared" si="69"/>
        <v>0</v>
      </c>
      <c r="MM12" s="5">
        <f t="shared" si="70"/>
        <v>37293281</v>
      </c>
      <c r="MN12" s="26">
        <f t="shared" si="71"/>
        <v>0</v>
      </c>
      <c r="MO12" s="5">
        <f t="shared" si="72"/>
        <v>0</v>
      </c>
      <c r="MP12" s="26">
        <f t="shared" si="73"/>
        <v>0</v>
      </c>
      <c r="MQ12" s="5">
        <f t="shared" si="74"/>
        <v>37293281</v>
      </c>
      <c r="MR12" s="26">
        <f t="shared" si="75"/>
        <v>0</v>
      </c>
      <c r="MT12" s="5">
        <f t="shared" si="76"/>
        <v>0</v>
      </c>
      <c r="MV12" s="4">
        <f t="shared" si="77"/>
        <v>0</v>
      </c>
    </row>
    <row r="13" spans="1:360" x14ac:dyDescent="0.15">
      <c r="A13" s="157" t="s">
        <v>292</v>
      </c>
      <c r="B13" s="25" t="s">
        <v>467</v>
      </c>
      <c r="C13" s="109">
        <v>220978</v>
      </c>
      <c r="D13" s="105">
        <v>2011</v>
      </c>
      <c r="E13" s="106">
        <v>1</v>
      </c>
      <c r="F13" s="106">
        <v>9</v>
      </c>
      <c r="G13" s="107">
        <v>6838</v>
      </c>
      <c r="H13" s="107">
        <v>7969</v>
      </c>
      <c r="I13" s="108">
        <v>344558281</v>
      </c>
      <c r="J13" s="108"/>
      <c r="K13" s="108">
        <v>140700</v>
      </c>
      <c r="L13" s="108"/>
      <c r="M13" s="108">
        <v>8760000</v>
      </c>
      <c r="N13" s="108"/>
      <c r="O13" s="108">
        <v>1389150</v>
      </c>
      <c r="P13" s="108"/>
      <c r="Q13" s="108">
        <v>132505000</v>
      </c>
      <c r="R13" s="108"/>
      <c r="S13" s="112">
        <v>227632353</v>
      </c>
      <c r="T13" s="112"/>
      <c r="U13" s="112">
        <v>20532</v>
      </c>
      <c r="V13" s="112"/>
      <c r="W13" s="112">
        <v>27820</v>
      </c>
      <c r="X13" s="112"/>
      <c r="Y13" s="112">
        <v>24070</v>
      </c>
      <c r="Z13" s="112" t="s">
        <v>479</v>
      </c>
      <c r="AA13" s="112">
        <v>31378</v>
      </c>
      <c r="AB13" s="108"/>
      <c r="AC13" s="129">
        <v>7</v>
      </c>
      <c r="AD13" s="129">
        <v>9</v>
      </c>
      <c r="AE13" s="129">
        <v>0</v>
      </c>
      <c r="AF13" s="26">
        <v>3415160</v>
      </c>
      <c r="AG13" s="26">
        <v>2251347</v>
      </c>
      <c r="AH13" s="26">
        <v>274988</v>
      </c>
      <c r="AI13" s="26">
        <v>133793</v>
      </c>
      <c r="AJ13" s="26">
        <v>173942.17</v>
      </c>
      <c r="AK13" s="36">
        <v>6</v>
      </c>
      <c r="AL13" s="26">
        <v>173942.17</v>
      </c>
      <c r="AM13" s="36">
        <v>6</v>
      </c>
      <c r="AN13" s="26">
        <v>84111.63</v>
      </c>
      <c r="AO13" s="36">
        <v>8</v>
      </c>
      <c r="AP13" s="26">
        <v>84117.74</v>
      </c>
      <c r="AQ13" s="36">
        <v>17.25</v>
      </c>
      <c r="AR13" s="26">
        <v>80612.83</v>
      </c>
      <c r="AS13" s="36">
        <v>18</v>
      </c>
      <c r="AT13" s="26">
        <v>21376.959999999999</v>
      </c>
      <c r="AU13" s="36">
        <v>29.25</v>
      </c>
      <c r="AV13" s="26">
        <v>52106.33</v>
      </c>
      <c r="AW13" s="36">
        <v>12</v>
      </c>
      <c r="AX13" s="26">
        <v>61351.43</v>
      </c>
      <c r="AY13" s="36">
        <v>23</v>
      </c>
      <c r="AZ13" s="54">
        <v>903644</v>
      </c>
      <c r="BA13" s="65">
        <v>67465</v>
      </c>
      <c r="BB13" s="65">
        <v>66886</v>
      </c>
      <c r="BC13" s="65">
        <f>1106196+86474 -AZ13-BA13-BB13</f>
        <v>154675</v>
      </c>
      <c r="BD13" s="65">
        <v>0</v>
      </c>
      <c r="BE13" s="65">
        <v>1192670</v>
      </c>
      <c r="BF13" s="65">
        <v>0</v>
      </c>
      <c r="BG13" s="54">
        <v>0</v>
      </c>
      <c r="BH13" s="54">
        <v>0</v>
      </c>
      <c r="BI13" s="54">
        <v>0</v>
      </c>
      <c r="BJ13" s="54">
        <v>10676975</v>
      </c>
      <c r="BK13" s="54">
        <v>10676975</v>
      </c>
      <c r="BL13" s="54">
        <v>1150000</v>
      </c>
      <c r="BM13" s="65">
        <v>100000</v>
      </c>
      <c r="BN13" s="65">
        <v>0</v>
      </c>
      <c r="BO13" s="65">
        <v>0</v>
      </c>
      <c r="BP13" s="65">
        <v>0</v>
      </c>
      <c r="BQ13" s="65">
        <v>1250000</v>
      </c>
      <c r="BR13" s="65">
        <v>137850</v>
      </c>
      <c r="BS13" s="65">
        <v>54193</v>
      </c>
      <c r="BT13" s="65">
        <v>100080</v>
      </c>
      <c r="BU13" s="65">
        <f>357744+172982-BR13-BS13-BT13</f>
        <v>238603</v>
      </c>
      <c r="BV13" s="65">
        <v>1627101</v>
      </c>
      <c r="BW13" s="65">
        <v>2157827</v>
      </c>
      <c r="BX13" s="65">
        <v>0</v>
      </c>
      <c r="BY13" s="65">
        <v>0</v>
      </c>
      <c r="BZ13" s="65">
        <v>0</v>
      </c>
      <c r="CA13" s="65">
        <v>0</v>
      </c>
      <c r="CB13" s="65">
        <v>0</v>
      </c>
      <c r="CC13" s="65">
        <v>0</v>
      </c>
      <c r="CD13" s="65">
        <v>0</v>
      </c>
      <c r="CE13" s="54">
        <v>0</v>
      </c>
      <c r="CF13" s="54">
        <v>0</v>
      </c>
      <c r="CG13" s="54">
        <v>0</v>
      </c>
      <c r="CH13" s="54">
        <v>0</v>
      </c>
      <c r="CI13" s="54">
        <v>0</v>
      </c>
      <c r="CJ13" s="54">
        <v>0</v>
      </c>
      <c r="CK13" s="65">
        <v>0</v>
      </c>
      <c r="CL13" s="65">
        <v>0</v>
      </c>
      <c r="CM13" s="65">
        <v>0</v>
      </c>
      <c r="CN13" s="65">
        <v>410337</v>
      </c>
      <c r="CO13" s="65">
        <v>410337</v>
      </c>
      <c r="CP13" s="65">
        <v>0</v>
      </c>
      <c r="CQ13" s="54">
        <v>0</v>
      </c>
      <c r="CR13" s="54">
        <v>0</v>
      </c>
      <c r="CS13" s="54">
        <v>0</v>
      </c>
      <c r="CT13" s="54">
        <v>1764603</v>
      </c>
      <c r="CU13" s="54">
        <v>1764603</v>
      </c>
      <c r="CV13" s="54">
        <v>0</v>
      </c>
      <c r="CW13" s="65">
        <v>123900</v>
      </c>
      <c r="CX13" s="65">
        <v>38275</v>
      </c>
      <c r="CY13" s="65">
        <v>0</v>
      </c>
      <c r="CZ13" s="65">
        <v>1081997</v>
      </c>
      <c r="DA13" s="65">
        <v>1244172</v>
      </c>
      <c r="DB13" s="65">
        <v>0</v>
      </c>
      <c r="DC13" s="65">
        <v>0</v>
      </c>
      <c r="DD13" s="65">
        <v>0</v>
      </c>
      <c r="DE13" s="65">
        <v>0</v>
      </c>
      <c r="DF13" s="65">
        <v>0</v>
      </c>
      <c r="DG13" s="65">
        <v>0</v>
      </c>
      <c r="DH13" s="65">
        <v>193733</v>
      </c>
      <c r="DI13" s="65">
        <v>72553</v>
      </c>
      <c r="DJ13" s="65">
        <v>31572</v>
      </c>
      <c r="DK13" s="65">
        <f>318432+37407-DH13-DI13-DJ13</f>
        <v>57981</v>
      </c>
      <c r="DL13" s="65">
        <v>47811</v>
      </c>
      <c r="DM13" s="65">
        <v>403650</v>
      </c>
      <c r="DN13" s="65">
        <v>0</v>
      </c>
      <c r="DO13" s="65">
        <v>0</v>
      </c>
      <c r="DP13" s="65">
        <v>0</v>
      </c>
      <c r="DQ13" s="65">
        <v>0</v>
      </c>
      <c r="DR13" s="65">
        <v>395461</v>
      </c>
      <c r="DS13" s="65">
        <v>395461</v>
      </c>
      <c r="DT13" s="65">
        <v>21440</v>
      </c>
      <c r="DU13" s="65">
        <v>9875</v>
      </c>
      <c r="DV13" s="65">
        <v>22866</v>
      </c>
      <c r="DW13" s="65">
        <f>78403+156414-DT13-DU13-DV13</f>
        <v>180636</v>
      </c>
      <c r="DX13" s="65">
        <v>72796</v>
      </c>
      <c r="DY13" s="65">
        <v>307613</v>
      </c>
      <c r="DZ13" s="65">
        <v>0</v>
      </c>
      <c r="EA13" s="65">
        <v>0</v>
      </c>
      <c r="EB13" s="65">
        <v>0</v>
      </c>
      <c r="EC13" s="65">
        <v>0</v>
      </c>
      <c r="ED13" s="65">
        <v>106900</v>
      </c>
      <c r="EE13" s="65">
        <v>106900</v>
      </c>
      <c r="EF13" s="65">
        <v>0</v>
      </c>
      <c r="EG13" s="65">
        <v>0</v>
      </c>
      <c r="EH13" s="65">
        <v>0</v>
      </c>
      <c r="EI13" s="65">
        <v>0</v>
      </c>
      <c r="EJ13" s="65">
        <v>247153</v>
      </c>
      <c r="EK13" s="65">
        <v>247153</v>
      </c>
      <c r="EL13" s="65">
        <f t="shared" ref="EL13:EQ13" si="78">AZ13+BF13+BL13+BR13+BX13+CD13+CJ13+CP13+CV13+DB13+DN13+DT13+DZ13+EF13</f>
        <v>2212934</v>
      </c>
      <c r="EM13" s="65">
        <f t="shared" si="78"/>
        <v>355433</v>
      </c>
      <c r="EN13" s="65">
        <f t="shared" si="78"/>
        <v>228107</v>
      </c>
      <c r="EO13" s="65">
        <f t="shared" si="78"/>
        <v>573914</v>
      </c>
      <c r="EP13" s="65">
        <f t="shared" si="78"/>
        <v>16383323</v>
      </c>
      <c r="EQ13" s="65">
        <f t="shared" si="78"/>
        <v>19753711</v>
      </c>
      <c r="ER13" s="65">
        <v>2045045</v>
      </c>
      <c r="ES13" s="65">
        <v>367879</v>
      </c>
      <c r="ET13" s="65">
        <v>316895</v>
      </c>
      <c r="EU13" s="65">
        <f>3415160+2251347-ER13-ES13-ET13</f>
        <v>2936688</v>
      </c>
      <c r="EV13" s="65">
        <v>0</v>
      </c>
      <c r="EW13" s="65">
        <v>5666507</v>
      </c>
      <c r="EX13" s="65">
        <v>200000</v>
      </c>
      <c r="EY13" s="65">
        <v>55000</v>
      </c>
      <c r="EZ13" s="65">
        <v>35000</v>
      </c>
      <c r="FA13" s="65">
        <v>0</v>
      </c>
      <c r="FB13" s="65">
        <v>0</v>
      </c>
      <c r="FC13" s="65">
        <v>290000</v>
      </c>
      <c r="FD13" s="65">
        <f>382667+903589</f>
        <v>1286256</v>
      </c>
      <c r="FE13" s="65">
        <f>246460+238383</f>
        <v>484843</v>
      </c>
      <c r="FF13" s="65">
        <f>203323+232380</f>
        <v>435703</v>
      </c>
      <c r="FG13" s="65">
        <f>1043653+1451031+672893+625276-FD13-FE13-FF13</f>
        <v>1586051</v>
      </c>
      <c r="FH13" s="65">
        <v>0</v>
      </c>
      <c r="FI13" s="65">
        <v>3792853</v>
      </c>
      <c r="FJ13" s="65">
        <v>0</v>
      </c>
      <c r="FK13" s="65">
        <v>0</v>
      </c>
      <c r="FL13" s="65">
        <v>0</v>
      </c>
      <c r="FM13" s="65">
        <v>0</v>
      </c>
      <c r="FN13" s="65">
        <v>0</v>
      </c>
      <c r="FO13" s="65">
        <v>0</v>
      </c>
      <c r="FP13" s="65">
        <v>13537</v>
      </c>
      <c r="FQ13" s="65">
        <v>13537</v>
      </c>
      <c r="FR13" s="65">
        <v>23367</v>
      </c>
      <c r="FS13" s="65">
        <f>150026+23367-FP13-FQ13-FR13</f>
        <v>122952</v>
      </c>
      <c r="FT13" s="65">
        <v>1727415</v>
      </c>
      <c r="FU13" s="65">
        <v>1900808</v>
      </c>
      <c r="FV13" s="65">
        <v>0</v>
      </c>
      <c r="FW13" s="65">
        <v>0</v>
      </c>
      <c r="FX13" s="65">
        <v>0</v>
      </c>
      <c r="FY13" s="65">
        <v>0</v>
      </c>
      <c r="FZ13" s="65">
        <v>0</v>
      </c>
      <c r="GA13" s="65">
        <v>0</v>
      </c>
      <c r="GB13" s="65">
        <v>0</v>
      </c>
      <c r="GC13" s="65">
        <v>0</v>
      </c>
      <c r="GD13" s="65">
        <v>0</v>
      </c>
      <c r="GE13" s="65">
        <v>0</v>
      </c>
      <c r="GF13" s="65">
        <v>0</v>
      </c>
      <c r="GG13" s="65">
        <v>0</v>
      </c>
      <c r="GH13" s="65">
        <v>48009</v>
      </c>
      <c r="GI13" s="65">
        <v>250282</v>
      </c>
      <c r="GJ13" s="65">
        <v>79740</v>
      </c>
      <c r="GK13" s="65">
        <f>274988+133793-GH13-GI13-GJ13</f>
        <v>30750</v>
      </c>
      <c r="GL13" s="65">
        <v>0</v>
      </c>
      <c r="GM13" s="65">
        <v>408781</v>
      </c>
      <c r="GN13" s="65">
        <v>420300</v>
      </c>
      <c r="GO13" s="65">
        <v>131097</v>
      </c>
      <c r="GP13" s="65">
        <v>131097</v>
      </c>
      <c r="GQ13" s="65">
        <f>724905+402520-GN13-GO13-GP13</f>
        <v>444931</v>
      </c>
      <c r="GR13" s="65">
        <v>0</v>
      </c>
      <c r="GS13" s="65">
        <v>1127425</v>
      </c>
      <c r="GT13" s="65">
        <v>386657</v>
      </c>
      <c r="GU13" s="65">
        <v>42746</v>
      </c>
      <c r="GV13" s="65">
        <v>26883</v>
      </c>
      <c r="GW13" s="65">
        <f>633275+126746-GT13-GU13-GV13</f>
        <v>303735</v>
      </c>
      <c r="GX13" s="65">
        <v>168758</v>
      </c>
      <c r="GY13" s="65">
        <v>928779</v>
      </c>
      <c r="GZ13" s="65">
        <v>55917</v>
      </c>
      <c r="HA13" s="65">
        <v>66150</v>
      </c>
      <c r="HB13" s="65">
        <v>42650</v>
      </c>
      <c r="HC13" s="65">
        <f>180877+55420-GZ13-HA13-HB13</f>
        <v>71580</v>
      </c>
      <c r="HD13" s="65">
        <v>169181</v>
      </c>
      <c r="HE13" s="65">
        <v>405478</v>
      </c>
      <c r="HF13" s="65">
        <v>0</v>
      </c>
      <c r="HG13" s="65">
        <v>0</v>
      </c>
      <c r="HH13" s="65">
        <v>0</v>
      </c>
      <c r="HI13" s="65">
        <v>0</v>
      </c>
      <c r="HJ13" s="65">
        <v>120878</v>
      </c>
      <c r="HK13" s="65">
        <v>120878</v>
      </c>
      <c r="HL13" s="65">
        <v>50041</v>
      </c>
      <c r="HM13" s="65">
        <v>10468</v>
      </c>
      <c r="HN13" s="65">
        <v>24547</v>
      </c>
      <c r="HO13" s="65">
        <f>111348+120928-HL13-HM13-HN13</f>
        <v>147220</v>
      </c>
      <c r="HP13" s="65">
        <v>55643</v>
      </c>
      <c r="HQ13" s="65">
        <v>287919</v>
      </c>
      <c r="HR13" s="65">
        <v>149000</v>
      </c>
      <c r="HS13" s="65">
        <v>0</v>
      </c>
      <c r="HT13" s="65">
        <v>0</v>
      </c>
      <c r="HU13" s="65">
        <f>219000+0-HR13-HS13-HT13</f>
        <v>70000</v>
      </c>
      <c r="HV13" s="65">
        <v>291629</v>
      </c>
      <c r="HW13" s="65">
        <v>510629</v>
      </c>
      <c r="HX13" s="65">
        <v>0</v>
      </c>
      <c r="HY13" s="65">
        <v>0</v>
      </c>
      <c r="HZ13" s="65">
        <v>0</v>
      </c>
      <c r="IA13" s="65">
        <v>0</v>
      </c>
      <c r="IB13" s="65">
        <v>0</v>
      </c>
      <c r="IC13" s="65">
        <v>0</v>
      </c>
      <c r="ID13" s="65">
        <v>0</v>
      </c>
      <c r="IE13" s="65">
        <v>0</v>
      </c>
      <c r="IF13" s="65">
        <v>0</v>
      </c>
      <c r="IG13" s="65">
        <v>0</v>
      </c>
      <c r="IH13" s="65">
        <v>1764603</v>
      </c>
      <c r="II13" s="65">
        <v>1764603</v>
      </c>
      <c r="IJ13" s="65">
        <v>0</v>
      </c>
      <c r="IK13" s="65">
        <v>0</v>
      </c>
      <c r="IL13" s="65">
        <v>0</v>
      </c>
      <c r="IM13" s="65">
        <v>0</v>
      </c>
      <c r="IN13" s="65">
        <v>196434</v>
      </c>
      <c r="IO13" s="65">
        <v>196434</v>
      </c>
      <c r="IP13" s="65">
        <v>0</v>
      </c>
      <c r="IQ13" s="65">
        <v>0</v>
      </c>
      <c r="IR13" s="65">
        <v>0</v>
      </c>
      <c r="IS13" s="65">
        <v>0</v>
      </c>
      <c r="IT13" s="65">
        <v>335650</v>
      </c>
      <c r="IU13" s="65">
        <v>335650</v>
      </c>
      <c r="IV13" s="65">
        <v>40515</v>
      </c>
      <c r="IW13" s="65">
        <v>4272</v>
      </c>
      <c r="IX13" s="65">
        <v>4387</v>
      </c>
      <c r="IY13" s="65">
        <f>60954+18118-IV13-IW13-IX13</f>
        <v>29898</v>
      </c>
      <c r="IZ13" s="65">
        <v>215272</v>
      </c>
      <c r="JA13" s="65">
        <v>294344</v>
      </c>
      <c r="JB13" s="65">
        <f t="shared" ref="JB13:JG13" si="79">ER13+EX13+FJ13+FP13+FV13+GB13+GH13+GN13+GT13+GZ13+HF13+HL13+HR13+HX13+ID13+IJ13+IP13+IV13</f>
        <v>3409021</v>
      </c>
      <c r="JC13" s="65">
        <f t="shared" si="79"/>
        <v>941431</v>
      </c>
      <c r="JD13" s="65">
        <f t="shared" si="79"/>
        <v>684566</v>
      </c>
      <c r="JE13" s="65">
        <f t="shared" si="79"/>
        <v>4157754</v>
      </c>
      <c r="JF13" s="65">
        <f t="shared" si="79"/>
        <v>5045463</v>
      </c>
      <c r="JG13" s="65">
        <f t="shared" si="79"/>
        <v>14238235</v>
      </c>
      <c r="JH13" s="65">
        <v>0</v>
      </c>
      <c r="JI13" s="65">
        <v>0</v>
      </c>
      <c r="JJ13" s="65">
        <v>0</v>
      </c>
      <c r="JK13" s="65">
        <v>0</v>
      </c>
      <c r="JL13" s="65">
        <v>0</v>
      </c>
      <c r="JM13" s="65">
        <v>0</v>
      </c>
      <c r="JN13" s="65">
        <v>3409021</v>
      </c>
      <c r="JO13" s="65">
        <v>917931</v>
      </c>
      <c r="JP13" s="65">
        <v>894184</v>
      </c>
      <c r="JQ13" s="65">
        <v>3971636</v>
      </c>
      <c r="JR13" s="65">
        <v>5045463</v>
      </c>
      <c r="JS13" s="65">
        <v>14238235</v>
      </c>
      <c r="JU13" s="5">
        <f>SUM(AZ13:BD13)</f>
        <v>1192670</v>
      </c>
      <c r="JV13" s="26">
        <f>BE13-JU13</f>
        <v>0</v>
      </c>
      <c r="JW13" s="5">
        <f>SUM(BF13:BJ13)</f>
        <v>10676975</v>
      </c>
      <c r="JX13" s="26">
        <f>BK13-JW13</f>
        <v>0</v>
      </c>
      <c r="JY13" s="5">
        <f>SUM(BL13:BP13)</f>
        <v>1250000</v>
      </c>
      <c r="JZ13" s="26">
        <f>BQ13-JY13</f>
        <v>0</v>
      </c>
      <c r="KA13" s="5">
        <f>SUM(BR13:BV13)</f>
        <v>2157827</v>
      </c>
      <c r="KB13" s="26">
        <f>BW13-KA13</f>
        <v>0</v>
      </c>
      <c r="KC13" s="5">
        <f>SUM(BX13:CB13)</f>
        <v>0</v>
      </c>
      <c r="KD13" s="26">
        <f>CC13-KC13</f>
        <v>0</v>
      </c>
      <c r="KE13" s="5">
        <f>SUM(CD13:CH13)</f>
        <v>0</v>
      </c>
      <c r="KF13" s="26">
        <f>CI13-KE13</f>
        <v>0</v>
      </c>
      <c r="KG13" s="5">
        <f>SUM(CJ13:CN13)</f>
        <v>410337</v>
      </c>
      <c r="KH13" s="26">
        <f>CO13-KG13</f>
        <v>0</v>
      </c>
      <c r="KI13" s="5">
        <f>SUM(CP13:CT13)</f>
        <v>1764603</v>
      </c>
      <c r="KJ13" s="26">
        <f>CU13-KI13</f>
        <v>0</v>
      </c>
      <c r="KK13" s="5">
        <f>SUM(CV13:CZ13)</f>
        <v>1244172</v>
      </c>
      <c r="KL13" s="26">
        <f>DA13-KK13</f>
        <v>0</v>
      </c>
      <c r="KM13" s="5">
        <f>SUM(DB13:DF13)</f>
        <v>0</v>
      </c>
      <c r="KN13" s="26">
        <f>DG13-KM13</f>
        <v>0</v>
      </c>
      <c r="KO13" s="5">
        <f>SUM(DH13:DL13)</f>
        <v>403650</v>
      </c>
      <c r="KP13" s="26">
        <f>DM13-KO13</f>
        <v>0</v>
      </c>
      <c r="KQ13" s="5">
        <f>SUM(DN13:DR13)</f>
        <v>395461</v>
      </c>
      <c r="KR13" s="26">
        <f>DS13-KQ13</f>
        <v>0</v>
      </c>
      <c r="KS13" s="5">
        <f>SUM(DT13:DX13)</f>
        <v>307613</v>
      </c>
      <c r="KT13" s="26">
        <f>DY13-KS13</f>
        <v>0</v>
      </c>
      <c r="KU13" s="5">
        <f>SUM(DZ13:ED13)</f>
        <v>106900</v>
      </c>
      <c r="KV13" s="26">
        <f>EE13-KU13</f>
        <v>0</v>
      </c>
      <c r="KW13" s="5">
        <f>SUM(EF13:EJ13)</f>
        <v>247153</v>
      </c>
      <c r="KX13" s="26">
        <f>EK13-KW13</f>
        <v>0</v>
      </c>
      <c r="KY13" s="5">
        <f>SUM(EL13:EP13)</f>
        <v>19753711</v>
      </c>
      <c r="KZ13" s="26">
        <f>EQ13-KY13</f>
        <v>0</v>
      </c>
      <c r="LA13" s="5">
        <f>SUM(ER13:EV13)</f>
        <v>5666507</v>
      </c>
      <c r="LB13" s="26">
        <f>EW13-LA13</f>
        <v>0</v>
      </c>
      <c r="LC13" s="5">
        <f>SUM(EX13:FB13)</f>
        <v>290000</v>
      </c>
      <c r="LD13" s="26">
        <f>FC13-LC13</f>
        <v>0</v>
      </c>
      <c r="LE13" s="5">
        <f>SUM(FD13:FH13)</f>
        <v>3792853</v>
      </c>
      <c r="LF13" s="26">
        <f>FI13-LE13</f>
        <v>0</v>
      </c>
      <c r="LG13" s="5">
        <f>SUM(FJ13:FN13)</f>
        <v>0</v>
      </c>
      <c r="LH13" s="26">
        <f>FO13-LG13</f>
        <v>0</v>
      </c>
      <c r="LI13" s="5">
        <f>SUM(FP13:FT13)</f>
        <v>1900808</v>
      </c>
      <c r="LJ13" s="26">
        <f>FU13-LI13</f>
        <v>0</v>
      </c>
      <c r="LK13" s="5">
        <f>SUM(FV13:FZ13)</f>
        <v>0</v>
      </c>
      <c r="LL13" s="26">
        <f>GA13-LK13</f>
        <v>0</v>
      </c>
      <c r="LM13" s="5">
        <f>SUM(GB13:GF13)</f>
        <v>0</v>
      </c>
      <c r="LN13" s="26">
        <f>GG13-LM13</f>
        <v>0</v>
      </c>
      <c r="LO13" s="5">
        <f>SUM(GH13:GL13)</f>
        <v>408781</v>
      </c>
      <c r="LP13" s="26">
        <f>GM13-LO13</f>
        <v>0</v>
      </c>
      <c r="LQ13" s="5">
        <f>SUM(GN13:GR13)</f>
        <v>1127425</v>
      </c>
      <c r="LR13" s="26">
        <f>GS13-LQ13</f>
        <v>0</v>
      </c>
      <c r="LS13" s="5">
        <f>SUM(GT13:GX13)</f>
        <v>928779</v>
      </c>
      <c r="LT13" s="26">
        <f>GY13-LS13</f>
        <v>0</v>
      </c>
      <c r="LU13" s="5">
        <f>SUM(GZ13:HD13)</f>
        <v>405478</v>
      </c>
      <c r="LV13" s="26">
        <f>HE13-LU13</f>
        <v>0</v>
      </c>
      <c r="LW13" s="5">
        <f>SUM(HF13:HJ13)</f>
        <v>120878</v>
      </c>
      <c r="LX13" s="26">
        <f>HK13-LW13</f>
        <v>0</v>
      </c>
      <c r="LY13" s="5">
        <f>SUM(HL13:HP13)</f>
        <v>287919</v>
      </c>
      <c r="LZ13" s="26">
        <f>HQ13-LY13</f>
        <v>0</v>
      </c>
      <c r="MA13" s="5">
        <f>SUM(HR13:HV13)</f>
        <v>510629</v>
      </c>
      <c r="MB13" s="26">
        <f>HW13-MA13</f>
        <v>0</v>
      </c>
      <c r="MC13" s="5">
        <f>SUM(HX13:IB13)</f>
        <v>0</v>
      </c>
      <c r="MD13" s="26">
        <f>IC13-MC13</f>
        <v>0</v>
      </c>
      <c r="ME13" s="5">
        <f>SUM(ID13:IH13)</f>
        <v>1764603</v>
      </c>
      <c r="MF13" s="26">
        <f>II13-ME13</f>
        <v>0</v>
      </c>
      <c r="MG13" s="5">
        <f>SUM(IJ13:IN13)</f>
        <v>196434</v>
      </c>
      <c r="MH13" s="26">
        <f>IO13-MG13</f>
        <v>0</v>
      </c>
      <c r="MI13" s="5">
        <f>SUM(IP13:IT13)</f>
        <v>335650</v>
      </c>
      <c r="MJ13" s="26">
        <f>IU13-MI13</f>
        <v>0</v>
      </c>
      <c r="MK13" s="5">
        <f>SUM(IV13:IZ13)</f>
        <v>294344</v>
      </c>
      <c r="ML13" s="26">
        <f>JA13-MK13</f>
        <v>0</v>
      </c>
      <c r="MM13" s="5">
        <f>SUM(JB13:JF13)</f>
        <v>14238235</v>
      </c>
      <c r="MN13" s="26">
        <f>JG13-MM13</f>
        <v>0</v>
      </c>
      <c r="MO13" s="5">
        <f>SUM(JH13:JL13)</f>
        <v>0</v>
      </c>
      <c r="MP13" s="26">
        <f>JM13-MO13</f>
        <v>0</v>
      </c>
      <c r="MQ13" s="5">
        <f>SUM(JN13:JR13)</f>
        <v>14238235</v>
      </c>
      <c r="MR13" s="26">
        <f>JS13-MQ13</f>
        <v>0</v>
      </c>
      <c r="MT13" s="5">
        <f t="shared" si="76"/>
        <v>0</v>
      </c>
      <c r="MV13" s="4">
        <f t="shared" si="77"/>
        <v>0</v>
      </c>
    </row>
    <row r="14" spans="1:360" x14ac:dyDescent="0.15">
      <c r="A14" s="158" t="s">
        <v>293</v>
      </c>
      <c r="B14" s="25" t="s">
        <v>461</v>
      </c>
      <c r="C14" s="109">
        <v>196088</v>
      </c>
      <c r="D14" s="105">
        <v>2011</v>
      </c>
      <c r="E14" s="106">
        <v>1</v>
      </c>
      <c r="F14" s="106">
        <v>9</v>
      </c>
      <c r="G14" s="107">
        <v>9801</v>
      </c>
      <c r="H14" s="107">
        <v>8112</v>
      </c>
      <c r="I14" s="108">
        <v>845018312</v>
      </c>
      <c r="J14" s="108"/>
      <c r="K14" s="108"/>
      <c r="L14" s="108"/>
      <c r="M14" s="108"/>
      <c r="N14" s="108"/>
      <c r="O14" s="108"/>
      <c r="P14" s="108"/>
      <c r="Q14" s="108"/>
      <c r="R14" s="108"/>
      <c r="S14" s="108">
        <v>845018312</v>
      </c>
      <c r="T14" s="112"/>
      <c r="U14" s="112">
        <v>17614</v>
      </c>
      <c r="V14" s="112"/>
      <c r="W14" s="124">
        <v>25514</v>
      </c>
      <c r="X14" s="112"/>
      <c r="Y14" s="124">
        <v>20912</v>
      </c>
      <c r="Z14" s="112"/>
      <c r="AA14" s="124">
        <v>28812</v>
      </c>
      <c r="AB14" s="108"/>
      <c r="AC14" s="130">
        <v>8</v>
      </c>
      <c r="AD14" s="130">
        <v>7</v>
      </c>
      <c r="AE14" s="130">
        <v>0</v>
      </c>
      <c r="AF14" s="26"/>
      <c r="AG14" s="26"/>
      <c r="AH14" s="26"/>
      <c r="AI14" s="26"/>
      <c r="AJ14" s="26"/>
      <c r="AK14" s="36"/>
      <c r="AL14" s="26"/>
      <c r="AM14" s="36"/>
      <c r="AN14" s="26"/>
      <c r="AO14" s="36"/>
      <c r="AP14" s="26"/>
      <c r="AQ14" s="36"/>
      <c r="AR14" s="26"/>
      <c r="AS14" s="36"/>
      <c r="AT14" s="26"/>
      <c r="AU14" s="36"/>
      <c r="AV14" s="26"/>
      <c r="AW14" s="36"/>
      <c r="AX14" s="26"/>
      <c r="AY14" s="36"/>
      <c r="AZ14" s="54">
        <v>751264</v>
      </c>
      <c r="BA14" s="54">
        <v>117850</v>
      </c>
      <c r="BB14" s="54">
        <v>117960</v>
      </c>
      <c r="BC14" s="54">
        <f>873655+120561-AZ14-BA14-BB14</f>
        <v>7142</v>
      </c>
      <c r="BD14" s="54">
        <v>0</v>
      </c>
      <c r="BE14" s="54">
        <v>994216</v>
      </c>
      <c r="BF14" s="54">
        <v>1156998</v>
      </c>
      <c r="BG14" s="54">
        <v>190521</v>
      </c>
      <c r="BH14" s="54">
        <v>598878</v>
      </c>
      <c r="BI14" s="54">
        <f>1919800+3633630-BF14-BG14-BH14</f>
        <v>3607033</v>
      </c>
      <c r="BJ14" s="54">
        <v>2320644</v>
      </c>
      <c r="BK14" s="54">
        <v>7874074</v>
      </c>
      <c r="BL14" s="54">
        <v>300000</v>
      </c>
      <c r="BM14" s="54">
        <v>79347</v>
      </c>
      <c r="BN14" s="54">
        <v>7000</v>
      </c>
      <c r="BO14" s="54">
        <f>393347+13500-BL14-BM14-BN14</f>
        <v>20500</v>
      </c>
      <c r="BP14" s="54">
        <v>0</v>
      </c>
      <c r="BQ14" s="54">
        <v>406847</v>
      </c>
      <c r="BR14" s="54">
        <v>65565</v>
      </c>
      <c r="BS14" s="54">
        <v>24314</v>
      </c>
      <c r="BT14" s="54">
        <v>5845</v>
      </c>
      <c r="BU14" s="54">
        <f>124542+31810-BR14-BS14-BT14</f>
        <v>60628</v>
      </c>
      <c r="BV14" s="54">
        <v>228085</v>
      </c>
      <c r="BW14" s="54">
        <v>384437</v>
      </c>
      <c r="BX14" s="54">
        <v>0</v>
      </c>
      <c r="BY14" s="54">
        <v>32261</v>
      </c>
      <c r="BZ14" s="54">
        <v>2449</v>
      </c>
      <c r="CA14" s="54">
        <f>103105+57832-BX14-BY14-BZ14</f>
        <v>126227</v>
      </c>
      <c r="CB14" s="54">
        <v>0</v>
      </c>
      <c r="CC14" s="54">
        <v>160937</v>
      </c>
      <c r="CD14" s="54">
        <v>0</v>
      </c>
      <c r="CE14" s="54">
        <v>0</v>
      </c>
      <c r="CF14" s="54">
        <v>0</v>
      </c>
      <c r="CG14" s="54">
        <v>0</v>
      </c>
      <c r="CH14" s="54">
        <v>0</v>
      </c>
      <c r="CI14" s="54">
        <v>0</v>
      </c>
      <c r="CJ14" s="54">
        <v>2349228</v>
      </c>
      <c r="CK14" s="54">
        <v>546849</v>
      </c>
      <c r="CL14" s="54">
        <v>453768</v>
      </c>
      <c r="CM14" s="54">
        <f>4025335+2245306-CJ14-CK14-CL14</f>
        <v>2920796</v>
      </c>
      <c r="CN14" s="54">
        <v>4306704</v>
      </c>
      <c r="CO14" s="54">
        <v>10577344</v>
      </c>
      <c r="CP14" s="54">
        <v>0</v>
      </c>
      <c r="CQ14" s="54">
        <v>0</v>
      </c>
      <c r="CR14" s="54">
        <v>0</v>
      </c>
      <c r="CS14" s="54">
        <v>0</v>
      </c>
      <c r="CT14" s="54">
        <v>2372061</v>
      </c>
      <c r="CU14" s="54">
        <v>2372061</v>
      </c>
      <c r="CV14" s="54">
        <v>0</v>
      </c>
      <c r="CW14" s="54">
        <v>0</v>
      </c>
      <c r="CX14" s="54">
        <v>0</v>
      </c>
      <c r="CY14" s="54">
        <v>0</v>
      </c>
      <c r="CZ14" s="54">
        <v>1497870</v>
      </c>
      <c r="DA14" s="54">
        <v>1497870</v>
      </c>
      <c r="DB14" s="54">
        <v>0</v>
      </c>
      <c r="DC14" s="54">
        <v>0</v>
      </c>
      <c r="DD14" s="54">
        <v>0</v>
      </c>
      <c r="DE14" s="54">
        <v>0</v>
      </c>
      <c r="DF14" s="54">
        <v>5631</v>
      </c>
      <c r="DG14" s="54">
        <v>5631</v>
      </c>
      <c r="DH14" s="54">
        <v>55532</v>
      </c>
      <c r="DI14" s="54">
        <v>11273</v>
      </c>
      <c r="DJ14" s="54">
        <v>3506</v>
      </c>
      <c r="DK14" s="54">
        <f>68902+4888-DH14-DI14-DJ14</f>
        <v>3479</v>
      </c>
      <c r="DL14" s="54">
        <v>61965</v>
      </c>
      <c r="DM14" s="54">
        <v>135755</v>
      </c>
      <c r="DN14" s="54">
        <v>236417</v>
      </c>
      <c r="DO14" s="54">
        <v>123044</v>
      </c>
      <c r="DP14" s="54">
        <v>123429</v>
      </c>
      <c r="DQ14" s="54">
        <f>362676+128601-DN14-DO14-DP14</f>
        <v>8387</v>
      </c>
      <c r="DR14" s="54">
        <v>451435</v>
      </c>
      <c r="DS14" s="54">
        <v>942712</v>
      </c>
      <c r="DT14" s="54">
        <v>10472</v>
      </c>
      <c r="DU14" s="54">
        <v>37423</v>
      </c>
      <c r="DV14" s="54">
        <v>7787</v>
      </c>
      <c r="DW14" s="54">
        <f>180947+73634-DT14-DU14-DV14</f>
        <v>198899</v>
      </c>
      <c r="DX14" s="54">
        <v>23611</v>
      </c>
      <c r="DY14" s="54">
        <v>278192</v>
      </c>
      <c r="DZ14" s="54">
        <v>0</v>
      </c>
      <c r="EA14" s="54">
        <v>0</v>
      </c>
      <c r="EB14" s="54">
        <v>0</v>
      </c>
      <c r="EC14" s="54">
        <v>0</v>
      </c>
      <c r="ED14" s="54">
        <v>146674</v>
      </c>
      <c r="EE14" s="54">
        <v>146674</v>
      </c>
      <c r="EF14" s="54">
        <v>10573</v>
      </c>
      <c r="EG14" s="54">
        <v>7186</v>
      </c>
      <c r="EH14" s="54">
        <v>7173</v>
      </c>
      <c r="EI14" s="54">
        <f>53484+22122-EF14-EG14-EH14</f>
        <v>50674</v>
      </c>
      <c r="EJ14" s="54">
        <v>375674</v>
      </c>
      <c r="EK14" s="54">
        <v>451280</v>
      </c>
      <c r="EL14" s="54">
        <v>2936048</v>
      </c>
      <c r="EM14" s="54">
        <v>1170068</v>
      </c>
      <c r="EN14" s="54">
        <v>1327795</v>
      </c>
      <c r="EO14" s="54">
        <f>8105793+6331884-EL14-EM14-EN14</f>
        <v>9003766</v>
      </c>
      <c r="EP14" s="54">
        <v>11790353</v>
      </c>
      <c r="EQ14" s="54">
        <v>26228030</v>
      </c>
      <c r="ER14" s="54"/>
      <c r="ES14" s="54"/>
      <c r="ET14" s="54"/>
      <c r="EU14" s="54"/>
      <c r="EV14" s="54"/>
      <c r="EW14" s="54">
        <v>6371627</v>
      </c>
      <c r="EX14" s="54"/>
      <c r="EY14" s="54"/>
      <c r="EZ14" s="54"/>
      <c r="FA14" s="54"/>
      <c r="FB14" s="54"/>
      <c r="FC14" s="54">
        <v>433195</v>
      </c>
      <c r="FD14" s="54">
        <f>346990+956461</f>
        <v>1303451</v>
      </c>
      <c r="FE14" s="54">
        <f>274428+234897.71</f>
        <v>509325.70999999996</v>
      </c>
      <c r="FF14" s="54"/>
      <c r="FG14" s="54"/>
      <c r="FH14" s="54"/>
      <c r="FI14" s="54">
        <v>3717379</v>
      </c>
      <c r="FJ14" s="54">
        <f>0</f>
        <v>0</v>
      </c>
      <c r="FK14" s="54">
        <f>12970.58+19290.88</f>
        <v>32261.46</v>
      </c>
      <c r="FL14" s="54"/>
      <c r="FM14" s="54"/>
      <c r="FN14" s="54"/>
      <c r="FO14" s="54">
        <v>160937</v>
      </c>
      <c r="FP14" s="54"/>
      <c r="FQ14" s="54"/>
      <c r="FR14" s="54"/>
      <c r="FS14" s="54"/>
      <c r="FT14" s="54"/>
      <c r="FU14" s="54">
        <v>4530622</v>
      </c>
      <c r="FV14" s="54">
        <v>0</v>
      </c>
      <c r="FW14" s="54">
        <v>0</v>
      </c>
      <c r="FX14" s="54">
        <v>0</v>
      </c>
      <c r="FY14" s="54">
        <v>0</v>
      </c>
      <c r="FZ14" s="54">
        <v>0</v>
      </c>
      <c r="GA14" s="54">
        <v>0</v>
      </c>
      <c r="GB14" s="54"/>
      <c r="GC14" s="54"/>
      <c r="GD14" s="54"/>
      <c r="GE14" s="54"/>
      <c r="GF14" s="54"/>
      <c r="GG14" s="54">
        <v>131605</v>
      </c>
      <c r="GH14" s="54"/>
      <c r="GI14" s="54"/>
      <c r="GJ14" s="54"/>
      <c r="GK14" s="54"/>
      <c r="GL14" s="54"/>
      <c r="GM14" s="54">
        <v>414566</v>
      </c>
      <c r="GN14" s="54"/>
      <c r="GO14" s="54"/>
      <c r="GP14" s="54"/>
      <c r="GQ14" s="54"/>
      <c r="GR14" s="54"/>
      <c r="GS14" s="54">
        <v>2241222</v>
      </c>
      <c r="GT14" s="54"/>
      <c r="GU14" s="54"/>
      <c r="GV14" s="54"/>
      <c r="GW14" s="54"/>
      <c r="GX14" s="54"/>
      <c r="GY14" s="54">
        <v>2118942</v>
      </c>
      <c r="GZ14" s="54"/>
      <c r="HA14" s="54"/>
      <c r="HB14" s="54"/>
      <c r="HC14" s="54"/>
      <c r="HD14" s="54"/>
      <c r="HE14" s="54">
        <v>460728</v>
      </c>
      <c r="HF14" s="54"/>
      <c r="HG14" s="54"/>
      <c r="HH14" s="54"/>
      <c r="HI14" s="54"/>
      <c r="HJ14" s="54"/>
      <c r="HK14" s="54">
        <v>106743</v>
      </c>
      <c r="HL14" s="54"/>
      <c r="HM14" s="54"/>
      <c r="HN14" s="54"/>
      <c r="HO14" s="54"/>
      <c r="HP14" s="54"/>
      <c r="HQ14" s="54">
        <v>278192</v>
      </c>
      <c r="HR14" s="54"/>
      <c r="HS14" s="54"/>
      <c r="HT14" s="54"/>
      <c r="HU14" s="54"/>
      <c r="HV14" s="54"/>
      <c r="HW14" s="54">
        <v>51840</v>
      </c>
      <c r="HX14" s="54"/>
      <c r="HY14" s="54"/>
      <c r="HZ14" s="54"/>
      <c r="IA14" s="54"/>
      <c r="IB14" s="54"/>
      <c r="IC14" s="54">
        <v>13970</v>
      </c>
      <c r="ID14" s="54"/>
      <c r="IE14" s="54"/>
      <c r="IF14" s="54"/>
      <c r="IG14" s="54"/>
      <c r="IH14" s="54"/>
      <c r="II14" s="54">
        <v>2372061</v>
      </c>
      <c r="IJ14" s="54"/>
      <c r="IK14" s="54"/>
      <c r="IL14" s="54"/>
      <c r="IM14" s="54"/>
      <c r="IN14" s="54"/>
      <c r="IO14" s="54">
        <v>249606</v>
      </c>
      <c r="IP14" s="54"/>
      <c r="IQ14" s="54"/>
      <c r="IR14" s="54"/>
      <c r="IS14" s="54"/>
      <c r="IT14" s="54"/>
      <c r="IU14" s="54">
        <v>298269</v>
      </c>
      <c r="IV14" s="54"/>
      <c r="IW14" s="54"/>
      <c r="IX14" s="54"/>
      <c r="IY14" s="54"/>
      <c r="IZ14" s="54"/>
      <c r="JA14" s="54">
        <v>2270187</v>
      </c>
      <c r="JB14" s="54"/>
      <c r="JC14" s="54"/>
      <c r="JD14" s="54"/>
      <c r="JE14" s="54"/>
      <c r="JF14" s="54"/>
      <c r="JG14" s="54">
        <v>26221692</v>
      </c>
      <c r="JH14" s="65">
        <v>0</v>
      </c>
      <c r="JI14" s="54">
        <v>0</v>
      </c>
      <c r="JJ14" s="54">
        <v>0</v>
      </c>
      <c r="JK14" s="54">
        <v>0</v>
      </c>
      <c r="JL14" s="54">
        <v>0</v>
      </c>
      <c r="JM14" s="54">
        <v>0</v>
      </c>
      <c r="JN14" s="54"/>
      <c r="JO14" s="54"/>
      <c r="JP14" s="54"/>
      <c r="JQ14" s="54"/>
      <c r="JR14" s="54"/>
      <c r="JS14" s="54">
        <v>26221692</v>
      </c>
      <c r="JU14" s="5">
        <f t="shared" ref="JU14:JU74" si="80">SUM(AZ14:BD14)</f>
        <v>994216</v>
      </c>
      <c r="JV14" s="26">
        <f t="shared" ref="JV14:JV74" si="81">BE14-JU14</f>
        <v>0</v>
      </c>
      <c r="JW14" s="5">
        <f t="shared" ref="JW14:JW74" si="82">SUM(BF14:BJ14)</f>
        <v>7874074</v>
      </c>
      <c r="JX14" s="26">
        <f t="shared" ref="JX14:JX74" si="83">BK14-JW14</f>
        <v>0</v>
      </c>
      <c r="JY14" s="5">
        <f t="shared" ref="JY14:JY74" si="84">SUM(BL14:BP14)</f>
        <v>406847</v>
      </c>
      <c r="JZ14" s="26">
        <f t="shared" ref="JZ14:JZ74" si="85">BQ14-JY14</f>
        <v>0</v>
      </c>
      <c r="KA14" s="5">
        <f t="shared" ref="KA14:KA74" si="86">SUM(BR14:BV14)</f>
        <v>384437</v>
      </c>
      <c r="KB14" s="26">
        <f t="shared" ref="KB14:KB74" si="87">BW14-KA14</f>
        <v>0</v>
      </c>
      <c r="KC14" s="5">
        <f t="shared" ref="KC14:KC74" si="88">SUM(BX14:CB14)</f>
        <v>160937</v>
      </c>
      <c r="KD14" s="26">
        <f t="shared" ref="KD14:KD74" si="89">CC14-KC14</f>
        <v>0</v>
      </c>
      <c r="KE14" s="5">
        <f t="shared" ref="KE14:KE74" si="90">SUM(CD14:CH14)</f>
        <v>0</v>
      </c>
      <c r="KF14" s="26">
        <f t="shared" ref="KF14:KF74" si="91">CI14-KE14</f>
        <v>0</v>
      </c>
      <c r="KG14" s="5">
        <f t="shared" ref="KG14:KG74" si="92">SUM(CJ14:CN14)</f>
        <v>10577345</v>
      </c>
      <c r="KH14" s="26">
        <f t="shared" ref="KH14:KH74" si="93">CO14-KG14</f>
        <v>-1</v>
      </c>
      <c r="KI14" s="5">
        <f t="shared" ref="KI14:KI74" si="94">SUM(CP14:CT14)</f>
        <v>2372061</v>
      </c>
      <c r="KJ14" s="26">
        <f t="shared" ref="KJ14:KJ74" si="95">CU14-KI14</f>
        <v>0</v>
      </c>
      <c r="KK14" s="5">
        <f t="shared" ref="KK14:KK74" si="96">SUM(CV14:CZ14)</f>
        <v>1497870</v>
      </c>
      <c r="KL14" s="26">
        <f t="shared" ref="KL14:KL74" si="97">DA14-KK14</f>
        <v>0</v>
      </c>
      <c r="KM14" s="5">
        <f t="shared" ref="KM14:KM74" si="98">SUM(DB14:DF14)</f>
        <v>5631</v>
      </c>
      <c r="KN14" s="26">
        <f t="shared" ref="KN14:KN74" si="99">DG14-KM14</f>
        <v>0</v>
      </c>
      <c r="KO14" s="5">
        <f t="shared" ref="KO14:KO74" si="100">SUM(DH14:DL14)</f>
        <v>135755</v>
      </c>
      <c r="KP14" s="26">
        <f t="shared" ref="KP14:KP74" si="101">DM14-KO14</f>
        <v>0</v>
      </c>
      <c r="KQ14" s="5">
        <f t="shared" ref="KQ14:KQ74" si="102">SUM(DN14:DR14)</f>
        <v>942712</v>
      </c>
      <c r="KR14" s="26">
        <f t="shared" ref="KR14:KR74" si="103">DS14-KQ14</f>
        <v>0</v>
      </c>
      <c r="KS14" s="5">
        <f t="shared" ref="KS14:KS74" si="104">SUM(DT14:DX14)</f>
        <v>278192</v>
      </c>
      <c r="KT14" s="26">
        <f t="shared" ref="KT14:KT74" si="105">DY14-KS14</f>
        <v>0</v>
      </c>
      <c r="KU14" s="5">
        <f t="shared" ref="KU14:KU74" si="106">SUM(DZ14:ED14)</f>
        <v>146674</v>
      </c>
      <c r="KV14" s="26">
        <f t="shared" ref="KV14:KV74" si="107">EE14-KU14</f>
        <v>0</v>
      </c>
      <c r="KW14" s="5">
        <f t="shared" ref="KW14:KW74" si="108">SUM(EF14:EJ14)</f>
        <v>451280</v>
      </c>
      <c r="KX14" s="26">
        <f t="shared" ref="KX14:KX74" si="109">EK14-KW14</f>
        <v>0</v>
      </c>
      <c r="KY14" s="5">
        <f t="shared" ref="KY14:KY74" si="110">SUM(EL14:EP14)</f>
        <v>26228030</v>
      </c>
      <c r="KZ14" s="26">
        <f t="shared" ref="KZ14:KZ74" si="111">EQ14-KY14</f>
        <v>0</v>
      </c>
      <c r="LA14" s="5">
        <f t="shared" ref="LA14:LA74" si="112">SUM(ER14:EV14)</f>
        <v>0</v>
      </c>
      <c r="LB14" s="26">
        <f t="shared" ref="LB14:LB74" si="113">EW14-LA14</f>
        <v>6371627</v>
      </c>
      <c r="LC14" s="5">
        <f t="shared" ref="LC14:LC74" si="114">SUM(EX14:FB14)</f>
        <v>0</v>
      </c>
      <c r="LD14" s="26">
        <f t="shared" ref="LD14:LD74" si="115">FC14-LC14</f>
        <v>433195</v>
      </c>
      <c r="LE14" s="5">
        <f t="shared" ref="LE14:LE74" si="116">SUM(FD14:FH14)</f>
        <v>1812776.71</v>
      </c>
      <c r="LF14" s="26">
        <f t="shared" ref="LF14:LF74" si="117">FI14-LE14</f>
        <v>1904602.29</v>
      </c>
      <c r="LG14" s="5">
        <f t="shared" ref="LG14:LG74" si="118">SUM(FJ14:FN14)</f>
        <v>32261.46</v>
      </c>
      <c r="LH14" s="26">
        <f t="shared" ref="LH14:LH74" si="119">FO14-LG14</f>
        <v>128675.54000000001</v>
      </c>
      <c r="LI14" s="5">
        <f t="shared" ref="LI14:LI74" si="120">SUM(FP14:FT14)</f>
        <v>0</v>
      </c>
      <c r="LJ14" s="26">
        <f t="shared" ref="LJ14:LJ74" si="121">FU14-LI14</f>
        <v>4530622</v>
      </c>
      <c r="LK14" s="5">
        <f t="shared" ref="LK14:LK74" si="122">SUM(FV14:FZ14)</f>
        <v>0</v>
      </c>
      <c r="LL14" s="26">
        <f t="shared" ref="LL14:LL74" si="123">GA14-LK14</f>
        <v>0</v>
      </c>
      <c r="LM14" s="5">
        <f t="shared" ref="LM14:LM74" si="124">SUM(GB14:GF14)</f>
        <v>0</v>
      </c>
      <c r="LN14" s="26">
        <f t="shared" ref="LN14:LN74" si="125">GG14-LM14</f>
        <v>131605</v>
      </c>
      <c r="LO14" s="5">
        <f t="shared" ref="LO14:LO74" si="126">SUM(GH14:GL14)</f>
        <v>0</v>
      </c>
      <c r="LP14" s="26">
        <f t="shared" ref="LP14:LP74" si="127">GM14-LO14</f>
        <v>414566</v>
      </c>
      <c r="LQ14" s="5">
        <f t="shared" ref="LQ14:LQ74" si="128">SUM(GN14:GR14)</f>
        <v>0</v>
      </c>
      <c r="LR14" s="26">
        <f t="shared" ref="LR14:LR74" si="129">GS14-LQ14</f>
        <v>2241222</v>
      </c>
      <c r="LS14" s="5">
        <f t="shared" ref="LS14:LS74" si="130">SUM(GT14:GX14)</f>
        <v>0</v>
      </c>
      <c r="LT14" s="26">
        <f t="shared" ref="LT14:LT74" si="131">GY14-LS14</f>
        <v>2118942</v>
      </c>
      <c r="LU14" s="5">
        <f t="shared" ref="LU14:LU74" si="132">SUM(GZ14:HD14)</f>
        <v>0</v>
      </c>
      <c r="LV14" s="26">
        <f t="shared" ref="LV14:LV74" si="133">HE14-LU14</f>
        <v>460728</v>
      </c>
      <c r="LW14" s="5">
        <f t="shared" ref="LW14:LW74" si="134">SUM(HF14:HJ14)</f>
        <v>0</v>
      </c>
      <c r="LX14" s="26">
        <f t="shared" ref="LX14:LX74" si="135">HK14-LW14</f>
        <v>106743</v>
      </c>
      <c r="LY14" s="5">
        <f t="shared" ref="LY14:LY74" si="136">SUM(HL14:HP14)</f>
        <v>0</v>
      </c>
      <c r="LZ14" s="26">
        <f t="shared" ref="LZ14:LZ74" si="137">HQ14-LY14</f>
        <v>278192</v>
      </c>
      <c r="MA14" s="5">
        <f t="shared" ref="MA14:MA74" si="138">SUM(HR14:HV14)</f>
        <v>0</v>
      </c>
      <c r="MB14" s="26">
        <f t="shared" ref="MB14:MB74" si="139">HW14-MA14</f>
        <v>51840</v>
      </c>
      <c r="MC14" s="5">
        <f t="shared" ref="MC14:MC74" si="140">SUM(HX14:IB14)</f>
        <v>0</v>
      </c>
      <c r="MD14" s="26">
        <f t="shared" ref="MD14:MD74" si="141">IC14-MC14</f>
        <v>13970</v>
      </c>
      <c r="ME14" s="5">
        <f t="shared" ref="ME14:ME74" si="142">SUM(ID14:IH14)</f>
        <v>0</v>
      </c>
      <c r="MF14" s="26">
        <f t="shared" ref="MF14:MF74" si="143">II14-ME14</f>
        <v>2372061</v>
      </c>
      <c r="MG14" s="5">
        <f t="shared" ref="MG14:MG74" si="144">SUM(IJ14:IN14)</f>
        <v>0</v>
      </c>
      <c r="MH14" s="26">
        <f t="shared" ref="MH14:MH74" si="145">IO14-MG14</f>
        <v>249606</v>
      </c>
      <c r="MI14" s="5">
        <f t="shared" ref="MI14:MI74" si="146">SUM(IP14:IT14)</f>
        <v>0</v>
      </c>
      <c r="MJ14" s="26">
        <f t="shared" ref="MJ14:MJ74" si="147">IU14-MI14</f>
        <v>298269</v>
      </c>
      <c r="MK14" s="5">
        <f t="shared" ref="MK14:MK74" si="148">SUM(IV14:IZ14)</f>
        <v>0</v>
      </c>
      <c r="ML14" s="26">
        <f t="shared" ref="ML14:ML74" si="149">JA14-MK14</f>
        <v>2270187</v>
      </c>
      <c r="MM14" s="5">
        <f t="shared" ref="MM14:MM74" si="150">SUM(JB14:JF14)</f>
        <v>0</v>
      </c>
      <c r="MN14" s="26">
        <f t="shared" ref="MN14:MN74" si="151">JG14-MM14</f>
        <v>26221692</v>
      </c>
      <c r="MO14" s="5">
        <f t="shared" ref="MO14:MO74" si="152">SUM(JH14:JL14)</f>
        <v>0</v>
      </c>
      <c r="MP14" s="26">
        <f t="shared" ref="MP14:MP74" si="153">JM14-MO14</f>
        <v>0</v>
      </c>
      <c r="MQ14" s="5">
        <f t="shared" ref="MQ14:MQ74" si="154">SUM(JN14:JR14)</f>
        <v>0</v>
      </c>
      <c r="MR14" s="26">
        <f t="shared" ref="MR14:MR74" si="155">JS14-MQ14</f>
        <v>26221692</v>
      </c>
      <c r="MT14" s="5">
        <f t="shared" si="76"/>
        <v>76820035.829999998</v>
      </c>
      <c r="MV14" s="4">
        <f t="shared" si="77"/>
        <v>1</v>
      </c>
    </row>
    <row r="15" spans="1:360" x14ac:dyDescent="0.15">
      <c r="A15" s="157" t="s">
        <v>294</v>
      </c>
      <c r="B15" s="25" t="s">
        <v>405</v>
      </c>
      <c r="C15" s="105">
        <v>110635</v>
      </c>
      <c r="D15" s="105">
        <v>2011</v>
      </c>
      <c r="E15" s="106">
        <v>1</v>
      </c>
      <c r="F15" s="106">
        <v>4</v>
      </c>
      <c r="G15" s="107">
        <v>12027</v>
      </c>
      <c r="H15" s="107">
        <v>13513</v>
      </c>
      <c r="I15" s="108">
        <v>2108900000</v>
      </c>
      <c r="J15" s="108"/>
      <c r="K15" s="108">
        <v>9021</v>
      </c>
      <c r="L15" s="108"/>
      <c r="M15" s="108">
        <v>95189</v>
      </c>
      <c r="N15" s="108"/>
      <c r="O15" s="108">
        <v>328165</v>
      </c>
      <c r="P15" s="108"/>
      <c r="Q15" s="108">
        <v>1614221</v>
      </c>
      <c r="R15" s="108"/>
      <c r="S15" s="108">
        <v>1814347000</v>
      </c>
      <c r="T15" s="108"/>
      <c r="U15" s="108">
        <v>29026</v>
      </c>
      <c r="V15" s="108"/>
      <c r="W15" s="108">
        <v>51905</v>
      </c>
      <c r="X15" s="108"/>
      <c r="Y15" s="108">
        <v>31947</v>
      </c>
      <c r="Z15" s="108"/>
      <c r="AA15" s="108">
        <v>54826</v>
      </c>
      <c r="AB15" s="108"/>
      <c r="AC15" s="130">
        <v>13</v>
      </c>
      <c r="AD15" s="130">
        <v>15</v>
      </c>
      <c r="AE15" s="130">
        <v>0</v>
      </c>
      <c r="AF15" s="26">
        <v>5009302</v>
      </c>
      <c r="AG15" s="26">
        <v>3832545</v>
      </c>
      <c r="AH15" s="26">
        <v>629563</v>
      </c>
      <c r="AI15" s="26">
        <v>289846</v>
      </c>
      <c r="AJ15" s="26">
        <v>509006.96</v>
      </c>
      <c r="AK15" s="36">
        <v>11.5</v>
      </c>
      <c r="AL15" s="26">
        <v>487798.33</v>
      </c>
      <c r="AM15" s="36">
        <v>12</v>
      </c>
      <c r="AN15" s="26">
        <v>210090.23999999999</v>
      </c>
      <c r="AO15" s="36">
        <v>12.5</v>
      </c>
      <c r="AP15" s="26">
        <v>202009.85</v>
      </c>
      <c r="AQ15" s="36">
        <v>13</v>
      </c>
      <c r="AR15" s="26">
        <v>150339.18</v>
      </c>
      <c r="AS15" s="36">
        <v>26.8</v>
      </c>
      <c r="AT15" s="26">
        <v>134303</v>
      </c>
      <c r="AU15" s="36">
        <v>30</v>
      </c>
      <c r="AV15" s="26">
        <v>85042.23</v>
      </c>
      <c r="AW15" s="36">
        <v>23.3</v>
      </c>
      <c r="AX15" s="26">
        <v>73388.3</v>
      </c>
      <c r="AY15" s="36">
        <v>27</v>
      </c>
      <c r="AZ15" s="54">
        <v>12197934</v>
      </c>
      <c r="BA15" s="54">
        <v>2731442</v>
      </c>
      <c r="BB15" s="54">
        <v>136254</v>
      </c>
      <c r="BC15" s="54">
        <v>134515</v>
      </c>
      <c r="BD15" s="54">
        <v>753515</v>
      </c>
      <c r="BE15" s="54">
        <v>15953660</v>
      </c>
      <c r="BF15" s="54">
        <v>0</v>
      </c>
      <c r="BG15" s="54">
        <v>0</v>
      </c>
      <c r="BH15" s="54">
        <v>0</v>
      </c>
      <c r="BI15" s="54">
        <v>83842</v>
      </c>
      <c r="BJ15" s="54">
        <v>2174050</v>
      </c>
      <c r="BK15" s="54">
        <v>2257892</v>
      </c>
      <c r="BL15" s="54">
        <v>932824</v>
      </c>
      <c r="BM15" s="54">
        <v>86273</v>
      </c>
      <c r="BN15" s="54">
        <v>0</v>
      </c>
      <c r="BO15" s="54">
        <v>15580</v>
      </c>
      <c r="BP15" s="54">
        <v>0</v>
      </c>
      <c r="BQ15" s="54">
        <v>1034677</v>
      </c>
      <c r="BR15" s="54">
        <v>996255</v>
      </c>
      <c r="BS15" s="54">
        <v>278421</v>
      </c>
      <c r="BT15" s="54">
        <v>124765</v>
      </c>
      <c r="BU15" s="54">
        <v>3354511</v>
      </c>
      <c r="BV15" s="54">
        <v>3372913</v>
      </c>
      <c r="BW15" s="54">
        <v>8126865</v>
      </c>
      <c r="BX15" s="54">
        <v>0</v>
      </c>
      <c r="BY15" s="54">
        <v>0</v>
      </c>
      <c r="BZ15" s="54">
        <v>0</v>
      </c>
      <c r="CA15" s="54">
        <v>0</v>
      </c>
      <c r="CB15" s="54">
        <v>0</v>
      </c>
      <c r="CC15" s="54">
        <v>0</v>
      </c>
      <c r="CD15" s="54">
        <v>0</v>
      </c>
      <c r="CE15" s="54">
        <v>0</v>
      </c>
      <c r="CF15" s="54">
        <v>0</v>
      </c>
      <c r="CG15" s="54">
        <v>0</v>
      </c>
      <c r="CH15" s="54">
        <v>0</v>
      </c>
      <c r="CI15" s="54">
        <v>0</v>
      </c>
      <c r="CJ15" s="54">
        <v>782</v>
      </c>
      <c r="CK15" s="54">
        <v>0</v>
      </c>
      <c r="CL15" s="54">
        <v>0</v>
      </c>
      <c r="CM15" s="54">
        <v>0</v>
      </c>
      <c r="CN15" s="54">
        <v>8247176</v>
      </c>
      <c r="CO15" s="54">
        <v>8247958</v>
      </c>
      <c r="CP15" s="54">
        <v>0</v>
      </c>
      <c r="CQ15" s="54">
        <v>0</v>
      </c>
      <c r="CR15" s="54">
        <v>0</v>
      </c>
      <c r="CS15" s="54">
        <v>0</v>
      </c>
      <c r="CT15" s="54">
        <v>0</v>
      </c>
      <c r="CU15" s="54">
        <v>0</v>
      </c>
      <c r="CV15" s="54">
        <v>6237685</v>
      </c>
      <c r="CW15" s="54">
        <v>2571341</v>
      </c>
      <c r="CX15" s="54">
        <v>69429</v>
      </c>
      <c r="CY15" s="54">
        <v>489410</v>
      </c>
      <c r="CZ15" s="54">
        <v>813156</v>
      </c>
      <c r="DA15" s="54">
        <v>10181021</v>
      </c>
      <c r="DB15" s="54">
        <v>0</v>
      </c>
      <c r="DC15" s="54">
        <v>0</v>
      </c>
      <c r="DD15" s="54">
        <v>0</v>
      </c>
      <c r="DE15" s="54">
        <v>0</v>
      </c>
      <c r="DF15" s="54">
        <v>0</v>
      </c>
      <c r="DG15" s="54">
        <v>0</v>
      </c>
      <c r="DH15" s="54">
        <v>1343274</v>
      </c>
      <c r="DI15" s="54">
        <v>67735</v>
      </c>
      <c r="DJ15" s="54">
        <v>21044</v>
      </c>
      <c r="DK15" s="54">
        <v>41258</v>
      </c>
      <c r="DL15" s="54">
        <v>118174</v>
      </c>
      <c r="DM15" s="54">
        <v>1591485</v>
      </c>
      <c r="DN15" s="54">
        <v>1813811</v>
      </c>
      <c r="DO15" s="54">
        <v>485454</v>
      </c>
      <c r="DP15" s="54">
        <v>126500</v>
      </c>
      <c r="DQ15" s="54">
        <v>907002</v>
      </c>
      <c r="DR15" s="54">
        <v>5099704</v>
      </c>
      <c r="DS15" s="54">
        <v>8432471</v>
      </c>
      <c r="DT15" s="54">
        <v>265003</v>
      </c>
      <c r="DU15" s="54">
        <v>135995</v>
      </c>
      <c r="DV15" s="54">
        <v>18732</v>
      </c>
      <c r="DW15" s="54">
        <v>1085984</v>
      </c>
      <c r="DX15" s="54">
        <v>3835</v>
      </c>
      <c r="DY15" s="54">
        <v>1509549</v>
      </c>
      <c r="DZ15" s="54">
        <v>412343</v>
      </c>
      <c r="EA15" s="54">
        <v>60653</v>
      </c>
      <c r="EB15" s="54">
        <v>48167</v>
      </c>
      <c r="EC15" s="54">
        <v>1954223</v>
      </c>
      <c r="ED15" s="54">
        <v>4775119</v>
      </c>
      <c r="EE15" s="54">
        <v>7250505</v>
      </c>
      <c r="EF15" s="54">
        <v>129608</v>
      </c>
      <c r="EG15" s="54">
        <v>552</v>
      </c>
      <c r="EH15" s="54">
        <v>84960</v>
      </c>
      <c r="EI15" s="54">
        <v>190350</v>
      </c>
      <c r="EJ15" s="54">
        <v>251500</v>
      </c>
      <c r="EK15" s="54">
        <v>656970</v>
      </c>
      <c r="EL15" s="54">
        <v>24329519</v>
      </c>
      <c r="EM15" s="54">
        <v>6417866</v>
      </c>
      <c r="EN15" s="54">
        <v>629851</v>
      </c>
      <c r="EO15" s="54">
        <v>8256675</v>
      </c>
      <c r="EP15" s="54">
        <v>25609142</v>
      </c>
      <c r="EQ15" s="54">
        <v>65243053</v>
      </c>
      <c r="ER15" s="54">
        <v>2747756</v>
      </c>
      <c r="ES15" s="54">
        <v>402155</v>
      </c>
      <c r="ET15" s="54">
        <v>393797</v>
      </c>
      <c r="EU15" s="54">
        <v>5298139</v>
      </c>
      <c r="EV15" s="54">
        <v>56780</v>
      </c>
      <c r="EW15" s="54">
        <v>8898627</v>
      </c>
      <c r="EX15" s="54">
        <v>2416495</v>
      </c>
      <c r="EY15" s="54">
        <v>501115</v>
      </c>
      <c r="EZ15" s="54">
        <v>48020</v>
      </c>
      <c r="FA15" s="54">
        <v>75105</v>
      </c>
      <c r="FB15" s="54">
        <v>0</v>
      </c>
      <c r="FC15" s="54">
        <v>3040735</v>
      </c>
      <c r="FD15" s="54">
        <v>4726521</v>
      </c>
      <c r="FE15" s="54">
        <v>2068100</v>
      </c>
      <c r="FF15" s="54">
        <v>1037433</v>
      </c>
      <c r="FG15" s="54">
        <v>6658228</v>
      </c>
      <c r="FH15" s="54">
        <v>0</v>
      </c>
      <c r="FI15" s="54">
        <v>14490282</v>
      </c>
      <c r="FJ15" s="54">
        <v>0</v>
      </c>
      <c r="FK15" s="54">
        <v>0</v>
      </c>
      <c r="FL15" s="54">
        <v>0</v>
      </c>
      <c r="FM15" s="54">
        <v>0</v>
      </c>
      <c r="FN15" s="54">
        <v>0</v>
      </c>
      <c r="FO15" s="54">
        <v>0</v>
      </c>
      <c r="FP15" s="54">
        <v>862282</v>
      </c>
      <c r="FQ15" s="54">
        <v>204466</v>
      </c>
      <c r="FR15" s="54">
        <v>199585</v>
      </c>
      <c r="FS15" s="54">
        <v>265802</v>
      </c>
      <c r="FT15" s="54">
        <v>11654757</v>
      </c>
      <c r="FU15" s="54">
        <v>13186892</v>
      </c>
      <c r="FV15" s="54">
        <v>0</v>
      </c>
      <c r="FW15" s="54">
        <v>0</v>
      </c>
      <c r="FX15" s="54">
        <v>0</v>
      </c>
      <c r="FY15" s="54">
        <v>0</v>
      </c>
      <c r="FZ15" s="54">
        <v>0</v>
      </c>
      <c r="GA15" s="54">
        <v>0</v>
      </c>
      <c r="GB15" s="54">
        <v>0</v>
      </c>
      <c r="GC15" s="54">
        <v>0</v>
      </c>
      <c r="GD15" s="54">
        <v>9406</v>
      </c>
      <c r="GE15" s="54">
        <v>0</v>
      </c>
      <c r="GF15" s="54">
        <v>39333</v>
      </c>
      <c r="GG15" s="64">
        <v>48739</v>
      </c>
      <c r="GH15" s="54">
        <v>394298</v>
      </c>
      <c r="GI15" s="54">
        <v>103938</v>
      </c>
      <c r="GJ15" s="54">
        <v>89398</v>
      </c>
      <c r="GK15" s="54">
        <v>331775</v>
      </c>
      <c r="GL15" s="54">
        <v>25150</v>
      </c>
      <c r="GM15" s="54">
        <v>944559</v>
      </c>
      <c r="GN15" s="54">
        <v>1252086</v>
      </c>
      <c r="GO15" s="54">
        <v>479090</v>
      </c>
      <c r="GP15" s="54">
        <v>302395</v>
      </c>
      <c r="GQ15" s="54">
        <v>3057602</v>
      </c>
      <c r="GR15" s="54">
        <v>84363</v>
      </c>
      <c r="GS15" s="54">
        <v>5175536</v>
      </c>
      <c r="GT15" s="54">
        <v>500567</v>
      </c>
      <c r="GU15" s="54">
        <v>65153</v>
      </c>
      <c r="GV15" s="54">
        <v>50747</v>
      </c>
      <c r="GW15" s="54">
        <v>945611</v>
      </c>
      <c r="GX15" s="54">
        <v>196406</v>
      </c>
      <c r="GY15" s="54">
        <v>1758484</v>
      </c>
      <c r="GZ15" s="54">
        <v>1749315</v>
      </c>
      <c r="HA15" s="54">
        <v>363823</v>
      </c>
      <c r="HB15" s="54">
        <v>236126</v>
      </c>
      <c r="HC15" s="54">
        <v>410693</v>
      </c>
      <c r="HD15" s="54">
        <v>0</v>
      </c>
      <c r="HE15" s="54">
        <v>2759957</v>
      </c>
      <c r="HF15" s="54">
        <v>293418</v>
      </c>
      <c r="HG15" s="54">
        <v>156690</v>
      </c>
      <c r="HH15" s="54">
        <v>76010</v>
      </c>
      <c r="HI15" s="54">
        <v>279732</v>
      </c>
      <c r="HJ15" s="54">
        <v>2304659</v>
      </c>
      <c r="HK15" s="54">
        <v>3110509</v>
      </c>
      <c r="HL15" s="54">
        <v>171469</v>
      </c>
      <c r="HM15" s="54">
        <v>72387</v>
      </c>
      <c r="HN15" s="54">
        <v>0</v>
      </c>
      <c r="HO15" s="54">
        <v>487717</v>
      </c>
      <c r="HP15" s="54">
        <v>12978</v>
      </c>
      <c r="HQ15" s="54">
        <v>744551</v>
      </c>
      <c r="HR15" s="54">
        <v>5854</v>
      </c>
      <c r="HS15" s="54">
        <v>2436</v>
      </c>
      <c r="HT15" s="54">
        <v>25505</v>
      </c>
      <c r="HU15" s="54">
        <v>131726</v>
      </c>
      <c r="HV15" s="54">
        <v>1756120</v>
      </c>
      <c r="HW15" s="54">
        <v>1921641</v>
      </c>
      <c r="HX15" s="54">
        <v>20000</v>
      </c>
      <c r="HY15" s="54">
        <v>0</v>
      </c>
      <c r="HZ15" s="54">
        <v>0</v>
      </c>
      <c r="IA15" s="54">
        <v>0</v>
      </c>
      <c r="IB15" s="54">
        <v>61157</v>
      </c>
      <c r="IC15" s="54">
        <v>81157</v>
      </c>
      <c r="ID15" s="54">
        <v>0</v>
      </c>
      <c r="IE15" s="54">
        <v>0</v>
      </c>
      <c r="IF15" s="54">
        <v>0</v>
      </c>
      <c r="IG15" s="54">
        <v>0</v>
      </c>
      <c r="IH15" s="54">
        <v>0</v>
      </c>
      <c r="II15" s="54">
        <v>0</v>
      </c>
      <c r="IJ15" s="54">
        <v>28425</v>
      </c>
      <c r="IK15" s="54">
        <v>1290</v>
      </c>
      <c r="IL15" s="54">
        <v>621</v>
      </c>
      <c r="IM15" s="54">
        <v>59923</v>
      </c>
      <c r="IN15" s="54">
        <v>1079623</v>
      </c>
      <c r="IO15" s="54">
        <v>1169882</v>
      </c>
      <c r="IP15" s="54">
        <v>330</v>
      </c>
      <c r="IQ15" s="54">
        <v>400</v>
      </c>
      <c r="IR15" s="54">
        <v>925</v>
      </c>
      <c r="IS15" s="54">
        <v>28729</v>
      </c>
      <c r="IT15" s="54">
        <v>1404510</v>
      </c>
      <c r="IU15" s="54">
        <v>1434894</v>
      </c>
      <c r="IV15" s="54">
        <v>847403</v>
      </c>
      <c r="IW15" s="54">
        <v>74137</v>
      </c>
      <c r="IX15" s="54">
        <v>84508</v>
      </c>
      <c r="IY15" s="54">
        <v>256041</v>
      </c>
      <c r="IZ15" s="54">
        <v>2640877</v>
      </c>
      <c r="JA15" s="54">
        <v>3902966</v>
      </c>
      <c r="JB15" s="54">
        <v>16016219</v>
      </c>
      <c r="JC15" s="54">
        <v>4495180</v>
      </c>
      <c r="JD15" s="54">
        <v>2554476</v>
      </c>
      <c r="JE15" s="54">
        <v>18286823</v>
      </c>
      <c r="JF15" s="54">
        <v>21316713</v>
      </c>
      <c r="JG15" s="54">
        <v>62669411</v>
      </c>
      <c r="JH15" s="54">
        <v>1383165</v>
      </c>
      <c r="JI15" s="54">
        <v>397185</v>
      </c>
      <c r="JJ15" s="54">
        <v>24429</v>
      </c>
      <c r="JK15" s="54">
        <v>129472</v>
      </c>
      <c r="JL15" s="54">
        <v>458225</v>
      </c>
      <c r="JM15" s="54">
        <v>2392476</v>
      </c>
      <c r="JN15" s="54">
        <v>17399384</v>
      </c>
      <c r="JO15" s="54">
        <v>4892365</v>
      </c>
      <c r="JP15" s="54">
        <v>2578905</v>
      </c>
      <c r="JQ15" s="54">
        <v>18416295</v>
      </c>
      <c r="JR15" s="54">
        <v>21774938</v>
      </c>
      <c r="JS15" s="54">
        <v>65061887</v>
      </c>
      <c r="JU15" s="5">
        <f t="shared" si="80"/>
        <v>15953660</v>
      </c>
      <c r="JV15" s="26">
        <f t="shared" si="81"/>
        <v>0</v>
      </c>
      <c r="JW15" s="5">
        <f t="shared" si="82"/>
        <v>2257892</v>
      </c>
      <c r="JX15" s="26">
        <f t="shared" si="83"/>
        <v>0</v>
      </c>
      <c r="JY15" s="5">
        <f t="shared" si="84"/>
        <v>1034677</v>
      </c>
      <c r="JZ15" s="26">
        <f t="shared" si="85"/>
        <v>0</v>
      </c>
      <c r="KA15" s="5">
        <f t="shared" si="86"/>
        <v>8126865</v>
      </c>
      <c r="KB15" s="26">
        <f t="shared" si="87"/>
        <v>0</v>
      </c>
      <c r="KC15" s="5">
        <f t="shared" si="88"/>
        <v>0</v>
      </c>
      <c r="KD15" s="26">
        <f t="shared" si="89"/>
        <v>0</v>
      </c>
      <c r="KE15" s="5">
        <f t="shared" si="90"/>
        <v>0</v>
      </c>
      <c r="KF15" s="26">
        <f t="shared" si="91"/>
        <v>0</v>
      </c>
      <c r="KG15" s="5">
        <f t="shared" si="92"/>
        <v>8247958</v>
      </c>
      <c r="KH15" s="26">
        <f t="shared" si="93"/>
        <v>0</v>
      </c>
      <c r="KI15" s="5">
        <f t="shared" si="94"/>
        <v>0</v>
      </c>
      <c r="KJ15" s="26">
        <f t="shared" si="95"/>
        <v>0</v>
      </c>
      <c r="KK15" s="5">
        <f t="shared" si="96"/>
        <v>10181021</v>
      </c>
      <c r="KL15" s="26">
        <f t="shared" si="97"/>
        <v>0</v>
      </c>
      <c r="KM15" s="5">
        <f t="shared" si="98"/>
        <v>0</v>
      </c>
      <c r="KN15" s="26">
        <f t="shared" si="99"/>
        <v>0</v>
      </c>
      <c r="KO15" s="5">
        <f t="shared" si="100"/>
        <v>1591485</v>
      </c>
      <c r="KP15" s="26">
        <f t="shared" si="101"/>
        <v>0</v>
      </c>
      <c r="KQ15" s="5">
        <f t="shared" si="102"/>
        <v>8432471</v>
      </c>
      <c r="KR15" s="26">
        <f t="shared" si="103"/>
        <v>0</v>
      </c>
      <c r="KS15" s="5">
        <f t="shared" si="104"/>
        <v>1509549</v>
      </c>
      <c r="KT15" s="26">
        <f t="shared" si="105"/>
        <v>0</v>
      </c>
      <c r="KU15" s="5">
        <f t="shared" si="106"/>
        <v>7250505</v>
      </c>
      <c r="KV15" s="26">
        <f t="shared" si="107"/>
        <v>0</v>
      </c>
      <c r="KW15" s="5">
        <f t="shared" si="108"/>
        <v>656970</v>
      </c>
      <c r="KX15" s="26">
        <f t="shared" si="109"/>
        <v>0</v>
      </c>
      <c r="KY15" s="5">
        <f t="shared" si="110"/>
        <v>65243053</v>
      </c>
      <c r="KZ15" s="26">
        <f t="shared" si="111"/>
        <v>0</v>
      </c>
      <c r="LA15" s="5">
        <f t="shared" si="112"/>
        <v>8898627</v>
      </c>
      <c r="LB15" s="26">
        <f t="shared" si="113"/>
        <v>0</v>
      </c>
      <c r="LC15" s="5">
        <f t="shared" si="114"/>
        <v>3040735</v>
      </c>
      <c r="LD15" s="26">
        <f t="shared" si="115"/>
        <v>0</v>
      </c>
      <c r="LE15" s="5">
        <f t="shared" si="116"/>
        <v>14490282</v>
      </c>
      <c r="LF15" s="26">
        <f t="shared" si="117"/>
        <v>0</v>
      </c>
      <c r="LG15" s="5">
        <f t="shared" si="118"/>
        <v>0</v>
      </c>
      <c r="LH15" s="26">
        <f t="shared" si="119"/>
        <v>0</v>
      </c>
      <c r="LI15" s="5">
        <f t="shared" si="120"/>
        <v>13186892</v>
      </c>
      <c r="LJ15" s="26">
        <f t="shared" si="121"/>
        <v>0</v>
      </c>
      <c r="LK15" s="5">
        <f t="shared" si="122"/>
        <v>0</v>
      </c>
      <c r="LL15" s="26">
        <f t="shared" si="123"/>
        <v>0</v>
      </c>
      <c r="LM15" s="5">
        <f t="shared" si="124"/>
        <v>48739</v>
      </c>
      <c r="LN15" s="26">
        <f t="shared" si="125"/>
        <v>0</v>
      </c>
      <c r="LO15" s="5">
        <f t="shared" si="126"/>
        <v>944559</v>
      </c>
      <c r="LP15" s="26">
        <f t="shared" si="127"/>
        <v>0</v>
      </c>
      <c r="LQ15" s="5">
        <f t="shared" si="128"/>
        <v>5175536</v>
      </c>
      <c r="LR15" s="26">
        <f t="shared" si="129"/>
        <v>0</v>
      </c>
      <c r="LS15" s="5">
        <f t="shared" si="130"/>
        <v>1758484</v>
      </c>
      <c r="LT15" s="26">
        <f t="shared" si="131"/>
        <v>0</v>
      </c>
      <c r="LU15" s="5">
        <f t="shared" si="132"/>
        <v>2759957</v>
      </c>
      <c r="LV15" s="26">
        <f t="shared" si="133"/>
        <v>0</v>
      </c>
      <c r="LW15" s="5">
        <f t="shared" si="134"/>
        <v>3110509</v>
      </c>
      <c r="LX15" s="26">
        <f t="shared" si="135"/>
        <v>0</v>
      </c>
      <c r="LY15" s="5">
        <f t="shared" si="136"/>
        <v>744551</v>
      </c>
      <c r="LZ15" s="26">
        <f t="shared" si="137"/>
        <v>0</v>
      </c>
      <c r="MA15" s="5">
        <f t="shared" si="138"/>
        <v>1921641</v>
      </c>
      <c r="MB15" s="26">
        <f t="shared" si="139"/>
        <v>0</v>
      </c>
      <c r="MC15" s="5">
        <f t="shared" si="140"/>
        <v>81157</v>
      </c>
      <c r="MD15" s="26">
        <f t="shared" si="141"/>
        <v>0</v>
      </c>
      <c r="ME15" s="5">
        <f t="shared" si="142"/>
        <v>0</v>
      </c>
      <c r="MF15" s="26">
        <f t="shared" si="143"/>
        <v>0</v>
      </c>
      <c r="MG15" s="5">
        <f t="shared" si="144"/>
        <v>1169882</v>
      </c>
      <c r="MH15" s="26">
        <f t="shared" si="145"/>
        <v>0</v>
      </c>
      <c r="MI15" s="5">
        <f t="shared" si="146"/>
        <v>1434894</v>
      </c>
      <c r="MJ15" s="26">
        <f t="shared" si="147"/>
        <v>0</v>
      </c>
      <c r="MK15" s="5">
        <f t="shared" si="148"/>
        <v>3902966</v>
      </c>
      <c r="ML15" s="26">
        <f t="shared" si="149"/>
        <v>0</v>
      </c>
      <c r="MM15" s="5">
        <f t="shared" si="150"/>
        <v>62669411</v>
      </c>
      <c r="MN15" s="26">
        <f t="shared" si="151"/>
        <v>0</v>
      </c>
      <c r="MO15" s="5">
        <f t="shared" si="152"/>
        <v>2392476</v>
      </c>
      <c r="MP15" s="26">
        <f t="shared" si="153"/>
        <v>0</v>
      </c>
      <c r="MQ15" s="5">
        <f t="shared" si="154"/>
        <v>65061887</v>
      </c>
      <c r="MR15" s="26">
        <f t="shared" si="155"/>
        <v>0</v>
      </c>
      <c r="MT15" s="5">
        <f t="shared" si="76"/>
        <v>0</v>
      </c>
      <c r="MV15" s="4">
        <f t="shared" si="77"/>
        <v>0</v>
      </c>
    </row>
    <row r="16" spans="1:360" x14ac:dyDescent="0.15">
      <c r="A16" s="157" t="s">
        <v>277</v>
      </c>
      <c r="B16" s="25" t="s">
        <v>481</v>
      </c>
      <c r="C16" s="105">
        <v>169248</v>
      </c>
      <c r="D16" s="105">
        <v>2011</v>
      </c>
      <c r="E16" s="106">
        <v>1</v>
      </c>
      <c r="F16" s="106">
        <v>9</v>
      </c>
      <c r="G16" s="107">
        <v>8974</v>
      </c>
      <c r="H16" s="107">
        <v>10394</v>
      </c>
      <c r="I16" s="108">
        <v>400872575</v>
      </c>
      <c r="J16" s="108"/>
      <c r="K16" s="108">
        <v>1842205</v>
      </c>
      <c r="L16" s="108"/>
      <c r="M16" s="108">
        <v>13722408</v>
      </c>
      <c r="N16" s="108"/>
      <c r="O16" s="108">
        <v>22369270</v>
      </c>
      <c r="P16" s="108"/>
      <c r="Q16" s="108">
        <v>154459286</v>
      </c>
      <c r="R16" s="108"/>
      <c r="S16" s="108">
        <v>310915070</v>
      </c>
      <c r="T16" s="108"/>
      <c r="U16" s="108">
        <v>18872</v>
      </c>
      <c r="V16" s="108"/>
      <c r="W16" s="108">
        <v>32162</v>
      </c>
      <c r="X16" s="108"/>
      <c r="Y16" s="108">
        <v>20704</v>
      </c>
      <c r="Z16" s="108"/>
      <c r="AA16" s="108">
        <v>34554</v>
      </c>
      <c r="AB16" s="108"/>
      <c r="AC16" s="130">
        <v>7</v>
      </c>
      <c r="AD16" s="130">
        <v>9</v>
      </c>
      <c r="AE16" s="130">
        <v>0</v>
      </c>
      <c r="AF16" s="26">
        <v>2726716</v>
      </c>
      <c r="AG16" s="26">
        <v>1820364</v>
      </c>
      <c r="AH16" s="26">
        <v>336674</v>
      </c>
      <c r="AI16" s="26">
        <v>140232</v>
      </c>
      <c r="AJ16" s="26">
        <v>172898</v>
      </c>
      <c r="AK16" s="36">
        <v>5</v>
      </c>
      <c r="AL16" s="26">
        <v>172898</v>
      </c>
      <c r="AM16" s="36">
        <v>5</v>
      </c>
      <c r="AN16" s="26">
        <v>121356.14285714286</v>
      </c>
      <c r="AO16" s="36">
        <v>7</v>
      </c>
      <c r="AP16" s="26">
        <v>121356.14285714286</v>
      </c>
      <c r="AQ16" s="36">
        <v>7</v>
      </c>
      <c r="AR16" s="26">
        <v>86491.772727272721</v>
      </c>
      <c r="AS16" s="36">
        <v>22</v>
      </c>
      <c r="AT16" s="26">
        <v>86491.772727272721</v>
      </c>
      <c r="AU16" s="36">
        <v>22</v>
      </c>
      <c r="AV16" s="26">
        <v>45926.6875</v>
      </c>
      <c r="AW16" s="36">
        <v>16</v>
      </c>
      <c r="AX16" s="26">
        <v>45926.6875</v>
      </c>
      <c r="AY16" s="36">
        <v>16</v>
      </c>
      <c r="AZ16" s="54">
        <v>582851</v>
      </c>
      <c r="BA16" s="54">
        <v>93969</v>
      </c>
      <c r="BB16" s="54">
        <v>8384</v>
      </c>
      <c r="BC16" s="54">
        <v>71004</v>
      </c>
      <c r="BD16" s="54">
        <v>42530</v>
      </c>
      <c r="BE16" s="54">
        <v>798738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1175000</v>
      </c>
      <c r="BM16" s="54">
        <v>245000</v>
      </c>
      <c r="BN16" s="54">
        <v>14000</v>
      </c>
      <c r="BO16" s="54">
        <v>33000</v>
      </c>
      <c r="BP16" s="54">
        <v>0</v>
      </c>
      <c r="BQ16" s="54">
        <v>1467000</v>
      </c>
      <c r="BR16" s="54">
        <v>379559</v>
      </c>
      <c r="BS16" s="54">
        <v>45738</v>
      </c>
      <c r="BT16" s="54">
        <v>28280</v>
      </c>
      <c r="BU16" s="54">
        <v>357989</v>
      </c>
      <c r="BV16" s="54">
        <v>299035</v>
      </c>
      <c r="BW16" s="54">
        <v>1110601</v>
      </c>
      <c r="BX16" s="54">
        <v>3650</v>
      </c>
      <c r="BY16" s="54">
        <v>0</v>
      </c>
      <c r="BZ16" s="54">
        <v>0</v>
      </c>
      <c r="CA16" s="54">
        <v>102510</v>
      </c>
      <c r="CB16" s="54">
        <v>38420</v>
      </c>
      <c r="CC16" s="54">
        <v>144580</v>
      </c>
      <c r="CD16" s="54">
        <v>0</v>
      </c>
      <c r="CE16" s="54">
        <v>0</v>
      </c>
      <c r="CF16" s="54">
        <v>0</v>
      </c>
      <c r="CG16" s="54">
        <v>0</v>
      </c>
      <c r="CH16" s="54">
        <v>0</v>
      </c>
      <c r="CI16" s="54">
        <v>0</v>
      </c>
      <c r="CJ16" s="54">
        <v>26275</v>
      </c>
      <c r="CK16" s="54">
        <v>67980</v>
      </c>
      <c r="CL16" s="54">
        <v>5777</v>
      </c>
      <c r="CM16" s="54">
        <v>42284</v>
      </c>
      <c r="CN16" s="54">
        <v>16467759</v>
      </c>
      <c r="CO16" s="54">
        <v>16610075</v>
      </c>
      <c r="CP16" s="54">
        <v>0</v>
      </c>
      <c r="CQ16" s="54">
        <v>0</v>
      </c>
      <c r="CR16" s="54">
        <v>0</v>
      </c>
      <c r="CS16" s="54">
        <v>0</v>
      </c>
      <c r="CT16" s="54">
        <v>0</v>
      </c>
      <c r="CU16" s="54">
        <v>0</v>
      </c>
      <c r="CV16" s="54">
        <v>0</v>
      </c>
      <c r="CW16" s="54">
        <v>122</v>
      </c>
      <c r="CX16" s="54">
        <v>0</v>
      </c>
      <c r="CY16" s="54">
        <v>17658</v>
      </c>
      <c r="CZ16" s="54">
        <v>1051937</v>
      </c>
      <c r="DA16" s="54">
        <v>1069717</v>
      </c>
      <c r="DB16" s="54">
        <v>1158</v>
      </c>
      <c r="DC16" s="54">
        <v>4000</v>
      </c>
      <c r="DD16" s="54">
        <v>0</v>
      </c>
      <c r="DE16" s="54">
        <v>0</v>
      </c>
      <c r="DF16" s="54">
        <v>6000</v>
      </c>
      <c r="DG16" s="54">
        <v>11158</v>
      </c>
      <c r="DH16" s="54">
        <v>36176</v>
      </c>
      <c r="DI16" s="54">
        <v>4805</v>
      </c>
      <c r="DJ16" s="54">
        <v>2311</v>
      </c>
      <c r="DK16" s="54">
        <v>93938</v>
      </c>
      <c r="DL16" s="54">
        <v>77780</v>
      </c>
      <c r="DM16" s="54">
        <v>215010</v>
      </c>
      <c r="DN16" s="54">
        <v>537435</v>
      </c>
      <c r="DO16" s="54">
        <v>125337</v>
      </c>
      <c r="DP16" s="54">
        <v>82131</v>
      </c>
      <c r="DQ16" s="54">
        <v>62718</v>
      </c>
      <c r="DR16" s="54">
        <v>350524</v>
      </c>
      <c r="DS16" s="54">
        <v>1158145</v>
      </c>
      <c r="DT16" s="54">
        <v>71460</v>
      </c>
      <c r="DU16" s="54">
        <v>85528</v>
      </c>
      <c r="DV16" s="54">
        <v>8750</v>
      </c>
      <c r="DW16" s="54">
        <v>561040</v>
      </c>
      <c r="DX16" s="54">
        <v>30115</v>
      </c>
      <c r="DY16" s="54">
        <v>756893</v>
      </c>
      <c r="DZ16" s="54">
        <v>13825</v>
      </c>
      <c r="EA16" s="54">
        <v>0</v>
      </c>
      <c r="EB16" s="54">
        <v>3030</v>
      </c>
      <c r="EC16" s="54">
        <v>10452</v>
      </c>
      <c r="ED16" s="54">
        <v>96801</v>
      </c>
      <c r="EE16" s="54">
        <v>124108</v>
      </c>
      <c r="EF16" s="54">
        <v>5297</v>
      </c>
      <c r="EG16" s="54">
        <v>2156</v>
      </c>
      <c r="EH16" s="54">
        <v>265</v>
      </c>
      <c r="EI16" s="54">
        <v>1498</v>
      </c>
      <c r="EJ16" s="54">
        <v>25311</v>
      </c>
      <c r="EK16" s="54">
        <v>34527</v>
      </c>
      <c r="EL16" s="54">
        <v>2832686</v>
      </c>
      <c r="EM16" s="54">
        <v>674635</v>
      </c>
      <c r="EN16" s="54">
        <v>152928</v>
      </c>
      <c r="EO16" s="54">
        <v>1354091</v>
      </c>
      <c r="EP16" s="54">
        <v>18486212</v>
      </c>
      <c r="EQ16" s="54">
        <v>23500552</v>
      </c>
      <c r="ER16" s="54">
        <v>1775739</v>
      </c>
      <c r="ES16" s="54">
        <v>309462</v>
      </c>
      <c r="ET16" s="54">
        <v>266686</v>
      </c>
      <c r="EU16" s="54">
        <v>2166647</v>
      </c>
      <c r="EV16" s="54">
        <v>147046</v>
      </c>
      <c r="EW16" s="54">
        <v>4665580</v>
      </c>
      <c r="EX16" s="54">
        <v>320000</v>
      </c>
      <c r="EY16" s="54">
        <v>0</v>
      </c>
      <c r="EZ16" s="54">
        <v>0</v>
      </c>
      <c r="FA16" s="54">
        <v>0</v>
      </c>
      <c r="FB16" s="54">
        <v>0</v>
      </c>
      <c r="FC16" s="54">
        <v>320000</v>
      </c>
      <c r="FD16" s="54">
        <v>1645577</v>
      </c>
      <c r="FE16" s="54">
        <v>485402</v>
      </c>
      <c r="FF16" s="54">
        <v>404949</v>
      </c>
      <c r="FG16" s="54">
        <v>1800009</v>
      </c>
      <c r="FH16" s="54">
        <v>15692</v>
      </c>
      <c r="FI16" s="54">
        <v>4351629</v>
      </c>
      <c r="FJ16" s="54">
        <v>3650</v>
      </c>
      <c r="FK16" s="54">
        <v>0</v>
      </c>
      <c r="FL16" s="54">
        <v>0</v>
      </c>
      <c r="FM16" s="54">
        <v>102510</v>
      </c>
      <c r="FN16" s="54">
        <v>978</v>
      </c>
      <c r="FO16" s="54">
        <v>107138</v>
      </c>
      <c r="FP16" s="54">
        <v>206580</v>
      </c>
      <c r="FQ16" s="54">
        <v>97643</v>
      </c>
      <c r="FR16" s="54">
        <v>46552</v>
      </c>
      <c r="FS16" s="54">
        <v>63365</v>
      </c>
      <c r="FT16" s="54">
        <v>2906403</v>
      </c>
      <c r="FU16" s="54">
        <v>3320543</v>
      </c>
      <c r="FV16" s="54">
        <v>0</v>
      </c>
      <c r="FW16" s="54">
        <v>0</v>
      </c>
      <c r="FX16" s="54">
        <v>0</v>
      </c>
      <c r="FY16" s="54">
        <v>0</v>
      </c>
      <c r="FZ16" s="54">
        <v>37442</v>
      </c>
      <c r="GA16" s="54">
        <v>37442</v>
      </c>
      <c r="GB16" s="54">
        <v>0</v>
      </c>
      <c r="GC16" s="54">
        <v>0</v>
      </c>
      <c r="GD16" s="54">
        <v>0</v>
      </c>
      <c r="GE16" s="54">
        <v>0</v>
      </c>
      <c r="GF16" s="54">
        <v>0</v>
      </c>
      <c r="GG16" s="54">
        <v>0</v>
      </c>
      <c r="GH16" s="54">
        <v>174715</v>
      </c>
      <c r="GI16" s="54">
        <v>94049</v>
      </c>
      <c r="GJ16" s="54">
        <v>42152</v>
      </c>
      <c r="GK16" s="54">
        <v>165990</v>
      </c>
      <c r="GL16" s="54">
        <v>21020</v>
      </c>
      <c r="GM16" s="54">
        <v>497926</v>
      </c>
      <c r="GN16" s="54">
        <v>529587</v>
      </c>
      <c r="GO16" s="54">
        <v>173610</v>
      </c>
      <c r="GP16" s="54">
        <v>98416</v>
      </c>
      <c r="GQ16" s="54">
        <v>637209</v>
      </c>
      <c r="GR16" s="54">
        <v>50356</v>
      </c>
      <c r="GS16" s="54">
        <v>1489178</v>
      </c>
      <c r="GT16" s="54">
        <v>152452</v>
      </c>
      <c r="GU16" s="54">
        <v>23495</v>
      </c>
      <c r="GV16" s="54">
        <v>26563</v>
      </c>
      <c r="GW16" s="54">
        <v>222903</v>
      </c>
      <c r="GX16" s="54">
        <v>82303</v>
      </c>
      <c r="GY16" s="54">
        <v>507716</v>
      </c>
      <c r="GZ16" s="54">
        <v>186045</v>
      </c>
      <c r="HA16" s="54">
        <v>68143</v>
      </c>
      <c r="HB16" s="54">
        <v>34286</v>
      </c>
      <c r="HC16" s="54">
        <v>112901</v>
      </c>
      <c r="HD16" s="54">
        <v>5293</v>
      </c>
      <c r="HE16" s="54">
        <v>406668</v>
      </c>
      <c r="HF16" s="54">
        <v>158250</v>
      </c>
      <c r="HG16" s="54">
        <v>28166</v>
      </c>
      <c r="HH16" s="54">
        <v>26160</v>
      </c>
      <c r="HI16" s="54">
        <v>68419</v>
      </c>
      <c r="HJ16" s="54">
        <v>377092</v>
      </c>
      <c r="HK16" s="54">
        <v>658087</v>
      </c>
      <c r="HL16" s="54">
        <v>68348</v>
      </c>
      <c r="HM16" s="54">
        <v>37617</v>
      </c>
      <c r="HN16" s="54">
        <v>21401</v>
      </c>
      <c r="HO16" s="54">
        <v>295798</v>
      </c>
      <c r="HP16" s="54">
        <v>77437</v>
      </c>
      <c r="HQ16" s="54">
        <v>500601</v>
      </c>
      <c r="HR16" s="54">
        <v>95065</v>
      </c>
      <c r="HS16" s="54">
        <v>11222</v>
      </c>
      <c r="HT16" s="54">
        <v>9772</v>
      </c>
      <c r="HU16" s="54">
        <v>61834</v>
      </c>
      <c r="HV16" s="54">
        <v>4565916</v>
      </c>
      <c r="HW16" s="54">
        <v>4743809</v>
      </c>
      <c r="HX16" s="54">
        <v>0</v>
      </c>
      <c r="HY16" s="54">
        <v>0</v>
      </c>
      <c r="HZ16" s="54">
        <v>0</v>
      </c>
      <c r="IA16" s="54">
        <v>0</v>
      </c>
      <c r="IB16" s="54">
        <v>95838</v>
      </c>
      <c r="IC16" s="54">
        <v>95838</v>
      </c>
      <c r="ID16" s="54">
        <v>0</v>
      </c>
      <c r="IE16" s="54">
        <v>0</v>
      </c>
      <c r="IF16" s="54">
        <v>0</v>
      </c>
      <c r="IG16" s="54">
        <v>0</v>
      </c>
      <c r="IH16" s="54">
        <v>0</v>
      </c>
      <c r="II16" s="54">
        <v>0</v>
      </c>
      <c r="IJ16" s="54">
        <v>4101</v>
      </c>
      <c r="IK16" s="54">
        <v>0</v>
      </c>
      <c r="IL16" s="54">
        <v>0</v>
      </c>
      <c r="IM16" s="54">
        <v>434</v>
      </c>
      <c r="IN16" s="54">
        <v>340377</v>
      </c>
      <c r="IO16" s="54">
        <v>344912</v>
      </c>
      <c r="IP16" s="54">
        <v>65380</v>
      </c>
      <c r="IQ16" s="54">
        <v>10062</v>
      </c>
      <c r="IR16" s="54">
        <v>777</v>
      </c>
      <c r="IS16" s="54">
        <v>2967</v>
      </c>
      <c r="IT16" s="54">
        <v>11829</v>
      </c>
      <c r="IU16" s="54">
        <v>91015</v>
      </c>
      <c r="IV16" s="54">
        <v>440866</v>
      </c>
      <c r="IW16" s="54">
        <v>122889</v>
      </c>
      <c r="IX16" s="54">
        <v>38763</v>
      </c>
      <c r="IY16" s="54">
        <v>131348</v>
      </c>
      <c r="IZ16" s="54">
        <v>551712</v>
      </c>
      <c r="JA16" s="54">
        <v>1285578</v>
      </c>
      <c r="JB16" s="54">
        <v>5826355</v>
      </c>
      <c r="JC16" s="54">
        <v>1461760</v>
      </c>
      <c r="JD16" s="54">
        <v>1016477</v>
      </c>
      <c r="JE16" s="54">
        <v>5832039</v>
      </c>
      <c r="JF16" s="54">
        <v>9287029</v>
      </c>
      <c r="JG16" s="54">
        <v>23423660</v>
      </c>
      <c r="JH16" s="54">
        <v>0</v>
      </c>
      <c r="JI16" s="54">
        <v>0</v>
      </c>
      <c r="JJ16" s="54">
        <v>0</v>
      </c>
      <c r="JK16" s="54">
        <v>0</v>
      </c>
      <c r="JL16" s="54">
        <v>0</v>
      </c>
      <c r="JM16" s="54">
        <v>0</v>
      </c>
      <c r="JN16" s="54">
        <v>5826355</v>
      </c>
      <c r="JO16" s="54">
        <v>1461760</v>
      </c>
      <c r="JP16" s="54">
        <v>1016477</v>
      </c>
      <c r="JQ16" s="54">
        <v>5832039</v>
      </c>
      <c r="JR16" s="54">
        <v>9287029</v>
      </c>
      <c r="JS16" s="54">
        <v>23423660</v>
      </c>
      <c r="JU16" s="5">
        <f t="shared" si="80"/>
        <v>798738</v>
      </c>
      <c r="JV16" s="26">
        <f t="shared" si="81"/>
        <v>0</v>
      </c>
      <c r="JW16" s="5">
        <f t="shared" si="82"/>
        <v>0</v>
      </c>
      <c r="JX16" s="26">
        <f t="shared" si="83"/>
        <v>0</v>
      </c>
      <c r="JY16" s="5">
        <f t="shared" si="84"/>
        <v>1467000</v>
      </c>
      <c r="JZ16" s="26">
        <f t="shared" si="85"/>
        <v>0</v>
      </c>
      <c r="KA16" s="5">
        <f t="shared" si="86"/>
        <v>1110601</v>
      </c>
      <c r="KB16" s="26">
        <f t="shared" si="87"/>
        <v>0</v>
      </c>
      <c r="KC16" s="5">
        <f t="shared" si="88"/>
        <v>144580</v>
      </c>
      <c r="KD16" s="26">
        <f t="shared" si="89"/>
        <v>0</v>
      </c>
      <c r="KE16" s="5">
        <f t="shared" si="90"/>
        <v>0</v>
      </c>
      <c r="KF16" s="26">
        <f t="shared" si="91"/>
        <v>0</v>
      </c>
      <c r="KG16" s="5">
        <f t="shared" si="92"/>
        <v>16610075</v>
      </c>
      <c r="KH16" s="26">
        <f t="shared" si="93"/>
        <v>0</v>
      </c>
      <c r="KI16" s="5">
        <f t="shared" si="94"/>
        <v>0</v>
      </c>
      <c r="KJ16" s="26">
        <f t="shared" si="95"/>
        <v>0</v>
      </c>
      <c r="KK16" s="5">
        <f t="shared" si="96"/>
        <v>1069717</v>
      </c>
      <c r="KL16" s="26">
        <f t="shared" si="97"/>
        <v>0</v>
      </c>
      <c r="KM16" s="5">
        <f t="shared" si="98"/>
        <v>11158</v>
      </c>
      <c r="KN16" s="26">
        <f t="shared" si="99"/>
        <v>0</v>
      </c>
      <c r="KO16" s="5">
        <f t="shared" si="100"/>
        <v>215010</v>
      </c>
      <c r="KP16" s="26">
        <f t="shared" si="101"/>
        <v>0</v>
      </c>
      <c r="KQ16" s="5">
        <f t="shared" si="102"/>
        <v>1158145</v>
      </c>
      <c r="KR16" s="26">
        <f t="shared" si="103"/>
        <v>0</v>
      </c>
      <c r="KS16" s="5">
        <f t="shared" si="104"/>
        <v>756893</v>
      </c>
      <c r="KT16" s="26">
        <f t="shared" si="105"/>
        <v>0</v>
      </c>
      <c r="KU16" s="5">
        <f t="shared" si="106"/>
        <v>124108</v>
      </c>
      <c r="KV16" s="26">
        <f t="shared" si="107"/>
        <v>0</v>
      </c>
      <c r="KW16" s="5">
        <f t="shared" si="108"/>
        <v>34527</v>
      </c>
      <c r="KX16" s="26">
        <f t="shared" si="109"/>
        <v>0</v>
      </c>
      <c r="KY16" s="5">
        <f t="shared" si="110"/>
        <v>23500552</v>
      </c>
      <c r="KZ16" s="26">
        <f t="shared" si="111"/>
        <v>0</v>
      </c>
      <c r="LA16" s="5">
        <f t="shared" si="112"/>
        <v>4665580</v>
      </c>
      <c r="LB16" s="26">
        <f t="shared" si="113"/>
        <v>0</v>
      </c>
      <c r="LC16" s="5">
        <f t="shared" si="114"/>
        <v>320000</v>
      </c>
      <c r="LD16" s="26">
        <f t="shared" si="115"/>
        <v>0</v>
      </c>
      <c r="LE16" s="5">
        <f t="shared" si="116"/>
        <v>4351629</v>
      </c>
      <c r="LF16" s="26">
        <f t="shared" si="117"/>
        <v>0</v>
      </c>
      <c r="LG16" s="5">
        <f t="shared" si="118"/>
        <v>107138</v>
      </c>
      <c r="LH16" s="26">
        <f t="shared" si="119"/>
        <v>0</v>
      </c>
      <c r="LI16" s="5">
        <f t="shared" si="120"/>
        <v>3320543</v>
      </c>
      <c r="LJ16" s="26">
        <f t="shared" si="121"/>
        <v>0</v>
      </c>
      <c r="LK16" s="5">
        <f t="shared" si="122"/>
        <v>37442</v>
      </c>
      <c r="LL16" s="26">
        <f t="shared" si="123"/>
        <v>0</v>
      </c>
      <c r="LM16" s="5">
        <f t="shared" si="124"/>
        <v>0</v>
      </c>
      <c r="LN16" s="26">
        <f t="shared" si="125"/>
        <v>0</v>
      </c>
      <c r="LO16" s="5">
        <f t="shared" si="126"/>
        <v>497926</v>
      </c>
      <c r="LP16" s="26">
        <f t="shared" si="127"/>
        <v>0</v>
      </c>
      <c r="LQ16" s="5">
        <f t="shared" si="128"/>
        <v>1489178</v>
      </c>
      <c r="LR16" s="26">
        <f t="shared" si="129"/>
        <v>0</v>
      </c>
      <c r="LS16" s="5">
        <f t="shared" si="130"/>
        <v>507716</v>
      </c>
      <c r="LT16" s="26">
        <f t="shared" si="131"/>
        <v>0</v>
      </c>
      <c r="LU16" s="5">
        <f t="shared" si="132"/>
        <v>406668</v>
      </c>
      <c r="LV16" s="26">
        <f t="shared" si="133"/>
        <v>0</v>
      </c>
      <c r="LW16" s="5">
        <f t="shared" si="134"/>
        <v>658087</v>
      </c>
      <c r="LX16" s="26">
        <f t="shared" si="135"/>
        <v>0</v>
      </c>
      <c r="LY16" s="5">
        <f t="shared" si="136"/>
        <v>500601</v>
      </c>
      <c r="LZ16" s="26">
        <f t="shared" si="137"/>
        <v>0</v>
      </c>
      <c r="MA16" s="5">
        <f t="shared" si="138"/>
        <v>4743809</v>
      </c>
      <c r="MB16" s="26">
        <f t="shared" si="139"/>
        <v>0</v>
      </c>
      <c r="MC16" s="5">
        <f t="shared" si="140"/>
        <v>95838</v>
      </c>
      <c r="MD16" s="26">
        <f t="shared" si="141"/>
        <v>0</v>
      </c>
      <c r="ME16" s="5">
        <f t="shared" si="142"/>
        <v>0</v>
      </c>
      <c r="MF16" s="26">
        <f t="shared" si="143"/>
        <v>0</v>
      </c>
      <c r="MG16" s="5">
        <f t="shared" si="144"/>
        <v>344912</v>
      </c>
      <c r="MH16" s="26">
        <f t="shared" si="145"/>
        <v>0</v>
      </c>
      <c r="MI16" s="5">
        <f t="shared" si="146"/>
        <v>91015</v>
      </c>
      <c r="MJ16" s="26">
        <f t="shared" si="147"/>
        <v>0</v>
      </c>
      <c r="MK16" s="5">
        <f t="shared" si="148"/>
        <v>1285578</v>
      </c>
      <c r="ML16" s="26">
        <f t="shared" si="149"/>
        <v>0</v>
      </c>
      <c r="MM16" s="5">
        <f t="shared" si="150"/>
        <v>23423660</v>
      </c>
      <c r="MN16" s="26">
        <f t="shared" si="151"/>
        <v>0</v>
      </c>
      <c r="MO16" s="5">
        <f t="shared" si="152"/>
        <v>0</v>
      </c>
      <c r="MP16" s="26">
        <f t="shared" si="153"/>
        <v>0</v>
      </c>
      <c r="MQ16" s="5">
        <f t="shared" si="154"/>
        <v>23423660</v>
      </c>
      <c r="MR16" s="26">
        <f t="shared" si="155"/>
        <v>0</v>
      </c>
      <c r="MT16" s="5">
        <f t="shared" si="76"/>
        <v>0</v>
      </c>
      <c r="MV16" s="4">
        <f t="shared" si="77"/>
        <v>0</v>
      </c>
    </row>
    <row r="17" spans="1:360" x14ac:dyDescent="0.15">
      <c r="A17" s="157" t="s">
        <v>278</v>
      </c>
      <c r="B17" s="25" t="s">
        <v>407</v>
      </c>
      <c r="C17" s="109">
        <v>217882</v>
      </c>
      <c r="D17" s="105">
        <v>2011</v>
      </c>
      <c r="E17" s="106">
        <v>1</v>
      </c>
      <c r="F17" s="106">
        <v>1</v>
      </c>
      <c r="G17" s="107">
        <v>7832</v>
      </c>
      <c r="H17" s="107">
        <v>6645</v>
      </c>
      <c r="I17" s="108">
        <v>647833000</v>
      </c>
      <c r="J17" s="108"/>
      <c r="K17" s="108">
        <v>3116693</v>
      </c>
      <c r="L17" s="108"/>
      <c r="M17" s="108">
        <v>17048863</v>
      </c>
      <c r="N17" s="108"/>
      <c r="O17" s="108">
        <v>30045000</v>
      </c>
      <c r="P17" s="108"/>
      <c r="Q17" s="108">
        <v>171754000</v>
      </c>
      <c r="R17" s="108"/>
      <c r="S17" s="108">
        <v>439035626</v>
      </c>
      <c r="T17" s="108"/>
      <c r="U17" s="108">
        <v>20996</v>
      </c>
      <c r="V17" s="108"/>
      <c r="W17" s="108">
        <v>37144</v>
      </c>
      <c r="X17" s="108"/>
      <c r="Y17" s="108">
        <v>25390</v>
      </c>
      <c r="Z17" s="108"/>
      <c r="AA17" s="108">
        <v>41548</v>
      </c>
      <c r="AB17" s="108"/>
      <c r="AC17" s="129">
        <v>10</v>
      </c>
      <c r="AD17" s="131">
        <v>9</v>
      </c>
      <c r="AE17" s="131">
        <v>0</v>
      </c>
      <c r="AF17" s="26">
        <v>5523332</v>
      </c>
      <c r="AG17" s="26">
        <v>3974902</v>
      </c>
      <c r="AH17" s="26">
        <v>796648</v>
      </c>
      <c r="AI17" s="26">
        <v>272917</v>
      </c>
      <c r="AJ17" s="26">
        <v>676545</v>
      </c>
      <c r="AK17" s="36">
        <v>7</v>
      </c>
      <c r="AL17" s="26">
        <v>591976</v>
      </c>
      <c r="AM17" s="36">
        <v>8</v>
      </c>
      <c r="AN17" s="26">
        <v>188698</v>
      </c>
      <c r="AO17" s="36">
        <v>6</v>
      </c>
      <c r="AP17" s="26">
        <v>161741</v>
      </c>
      <c r="AQ17" s="36">
        <v>7</v>
      </c>
      <c r="AR17" s="26">
        <v>200897</v>
      </c>
      <c r="AS17" s="36">
        <v>23</v>
      </c>
      <c r="AT17" s="26">
        <v>171135</v>
      </c>
      <c r="AU17" s="36">
        <v>27</v>
      </c>
      <c r="AV17" s="26">
        <v>79450</v>
      </c>
      <c r="AW17" s="36">
        <v>15</v>
      </c>
      <c r="AX17" s="26">
        <v>62723</v>
      </c>
      <c r="AY17" s="36">
        <v>19</v>
      </c>
      <c r="AZ17" s="54">
        <v>18784903</v>
      </c>
      <c r="BA17" s="54">
        <v>1469662</v>
      </c>
      <c r="BB17" s="54">
        <v>7211</v>
      </c>
      <c r="BC17" s="54">
        <v>475066</v>
      </c>
      <c r="BD17" s="54">
        <v>0</v>
      </c>
      <c r="BE17" s="54">
        <v>20736842</v>
      </c>
      <c r="BF17" s="54">
        <v>1457154</v>
      </c>
      <c r="BG17" s="54">
        <v>137259</v>
      </c>
      <c r="BH17" s="54">
        <v>0</v>
      </c>
      <c r="BI17" s="54">
        <v>0</v>
      </c>
      <c r="BJ17" s="54">
        <v>0</v>
      </c>
      <c r="BK17" s="54">
        <v>1594413</v>
      </c>
      <c r="BL17" s="54">
        <v>1000000</v>
      </c>
      <c r="BM17" s="54">
        <v>0</v>
      </c>
      <c r="BN17" s="54">
        <v>0</v>
      </c>
      <c r="BO17" s="54">
        <v>7500</v>
      </c>
      <c r="BP17" s="54">
        <v>0</v>
      </c>
      <c r="BQ17" s="54">
        <v>1007500</v>
      </c>
      <c r="BR17" s="54">
        <v>2326623</v>
      </c>
      <c r="BS17" s="54">
        <v>319912</v>
      </c>
      <c r="BT17" s="54">
        <v>356232</v>
      </c>
      <c r="BU17" s="54">
        <v>3216661</v>
      </c>
      <c r="BV17" s="54">
        <v>7952312</v>
      </c>
      <c r="BW17" s="54">
        <v>14171740</v>
      </c>
      <c r="BX17" s="54">
        <v>0</v>
      </c>
      <c r="BY17" s="54">
        <v>0</v>
      </c>
      <c r="BZ17" s="54">
        <v>0</v>
      </c>
      <c r="CA17" s="54">
        <v>0</v>
      </c>
      <c r="CB17" s="54">
        <v>0</v>
      </c>
      <c r="CC17" s="54">
        <v>0</v>
      </c>
      <c r="CD17" s="54">
        <v>0</v>
      </c>
      <c r="CE17" s="54">
        <v>0</v>
      </c>
      <c r="CF17" s="54">
        <v>0</v>
      </c>
      <c r="CG17" s="54">
        <v>0</v>
      </c>
      <c r="CH17" s="54">
        <v>0</v>
      </c>
      <c r="CI17" s="54">
        <v>0</v>
      </c>
      <c r="CJ17" s="54">
        <v>948705</v>
      </c>
      <c r="CK17" s="54">
        <v>142838</v>
      </c>
      <c r="CL17" s="54">
        <v>220830</v>
      </c>
      <c r="CM17" s="54">
        <v>2163064</v>
      </c>
      <c r="CN17" s="54">
        <v>36174</v>
      </c>
      <c r="CO17" s="54">
        <v>3511611</v>
      </c>
      <c r="CP17" s="54">
        <v>0</v>
      </c>
      <c r="CQ17" s="54">
        <v>0</v>
      </c>
      <c r="CR17" s="54">
        <v>0</v>
      </c>
      <c r="CS17" s="54">
        <v>0</v>
      </c>
      <c r="CT17" s="54">
        <v>0</v>
      </c>
      <c r="CU17" s="54">
        <v>0</v>
      </c>
      <c r="CV17" s="54">
        <v>6266848</v>
      </c>
      <c r="CW17" s="54">
        <v>5100278</v>
      </c>
      <c r="CX17" s="54">
        <v>0</v>
      </c>
      <c r="CY17" s="54">
        <v>0</v>
      </c>
      <c r="CZ17" s="54">
        <v>196604</v>
      </c>
      <c r="DA17" s="54">
        <v>11563730</v>
      </c>
      <c r="DB17" s="54">
        <v>555000</v>
      </c>
      <c r="DC17" s="54">
        <v>175000</v>
      </c>
      <c r="DD17" s="54">
        <v>0</v>
      </c>
      <c r="DE17" s="54">
        <v>0</v>
      </c>
      <c r="DF17" s="54">
        <v>1370000</v>
      </c>
      <c r="DG17" s="54">
        <v>2100000</v>
      </c>
      <c r="DH17" s="54">
        <v>1421746</v>
      </c>
      <c r="DI17" s="54">
        <v>212681</v>
      </c>
      <c r="DJ17" s="54">
        <v>15020</v>
      </c>
      <c r="DK17" s="54">
        <v>99844</v>
      </c>
      <c r="DL17" s="54">
        <v>37533</v>
      </c>
      <c r="DM17" s="54">
        <v>1786824</v>
      </c>
      <c r="DN17" s="54">
        <v>388000</v>
      </c>
      <c r="DO17" s="54">
        <v>148000</v>
      </c>
      <c r="DP17" s="54">
        <v>61000</v>
      </c>
      <c r="DQ17" s="54">
        <v>172500</v>
      </c>
      <c r="DR17" s="54">
        <v>3509655</v>
      </c>
      <c r="DS17" s="54">
        <v>4279155</v>
      </c>
      <c r="DT17" s="54">
        <v>0</v>
      </c>
      <c r="DU17" s="54">
        <v>0</v>
      </c>
      <c r="DV17" s="54">
        <v>0</v>
      </c>
      <c r="DW17" s="54">
        <v>0</v>
      </c>
      <c r="DX17" s="54">
        <v>0</v>
      </c>
      <c r="DY17" s="54">
        <v>0</v>
      </c>
      <c r="DZ17" s="54">
        <v>0</v>
      </c>
      <c r="EA17" s="54">
        <v>0</v>
      </c>
      <c r="EB17" s="54">
        <v>0</v>
      </c>
      <c r="EC17" s="54">
        <v>0</v>
      </c>
      <c r="ED17" s="54">
        <v>198094</v>
      </c>
      <c r="EE17" s="54">
        <v>198094</v>
      </c>
      <c r="EF17" s="54">
        <v>38217</v>
      </c>
      <c r="EG17" s="54">
        <v>0</v>
      </c>
      <c r="EH17" s="54">
        <v>0</v>
      </c>
      <c r="EI17" s="54">
        <v>78670</v>
      </c>
      <c r="EJ17" s="54">
        <v>108181</v>
      </c>
      <c r="EK17" s="54">
        <v>225068</v>
      </c>
      <c r="EL17" s="54">
        <v>33187196</v>
      </c>
      <c r="EM17" s="54">
        <v>7705630</v>
      </c>
      <c r="EN17" s="54">
        <v>660293</v>
      </c>
      <c r="EO17" s="54">
        <v>6213305</v>
      </c>
      <c r="EP17" s="54">
        <v>13408553</v>
      </c>
      <c r="EQ17" s="54">
        <v>61174977</v>
      </c>
      <c r="ER17" s="54">
        <v>3168065</v>
      </c>
      <c r="ES17" s="54">
        <v>446208</v>
      </c>
      <c r="ET17" s="54">
        <v>563916</v>
      </c>
      <c r="EU17" s="54">
        <v>5320045</v>
      </c>
      <c r="EV17" s="54">
        <v>927365</v>
      </c>
      <c r="EW17" s="54">
        <v>10425599</v>
      </c>
      <c r="EX17" s="54">
        <v>1000000</v>
      </c>
      <c r="EY17" s="54">
        <v>410170</v>
      </c>
      <c r="EZ17" s="54">
        <v>40209</v>
      </c>
      <c r="FA17" s="54">
        <v>34036</v>
      </c>
      <c r="FB17" s="54">
        <v>65278</v>
      </c>
      <c r="FC17" s="54">
        <v>1549693</v>
      </c>
      <c r="FD17" s="54">
        <v>5379409</v>
      </c>
      <c r="FE17" s="54">
        <v>1867169</v>
      </c>
      <c r="FF17" s="54">
        <v>853610</v>
      </c>
      <c r="FG17" s="54">
        <v>3580224</v>
      </c>
      <c r="FH17" s="54">
        <v>0</v>
      </c>
      <c r="FI17" s="54">
        <v>11680412</v>
      </c>
      <c r="FJ17" s="54">
        <v>0</v>
      </c>
      <c r="FK17" s="54">
        <v>0</v>
      </c>
      <c r="FL17" s="54">
        <v>0</v>
      </c>
      <c r="FM17" s="54">
        <v>0</v>
      </c>
      <c r="FN17" s="54">
        <v>0</v>
      </c>
      <c r="FO17" s="54">
        <v>0</v>
      </c>
      <c r="FP17" s="54">
        <v>1239675</v>
      </c>
      <c r="FQ17" s="54">
        <v>224900</v>
      </c>
      <c r="FR17" s="54">
        <v>122969</v>
      </c>
      <c r="FS17" s="54">
        <v>73315</v>
      </c>
      <c r="FT17" s="54">
        <v>7116571</v>
      </c>
      <c r="FU17" s="54">
        <v>8777430</v>
      </c>
      <c r="FV17" s="54">
        <v>0</v>
      </c>
      <c r="FW17" s="54">
        <v>0</v>
      </c>
      <c r="FX17" s="54">
        <v>0</v>
      </c>
      <c r="FY17" s="54">
        <v>0</v>
      </c>
      <c r="FZ17" s="54">
        <v>0</v>
      </c>
      <c r="GA17" s="54">
        <v>0</v>
      </c>
      <c r="GB17" s="54">
        <v>137886</v>
      </c>
      <c r="GC17" s="54">
        <v>0</v>
      </c>
      <c r="GD17" s="54">
        <v>0</v>
      </c>
      <c r="GE17" s="54">
        <v>26382</v>
      </c>
      <c r="GF17" s="54">
        <v>0</v>
      </c>
      <c r="GG17" s="54">
        <v>164268</v>
      </c>
      <c r="GH17" s="54">
        <v>490305</v>
      </c>
      <c r="GI17" s="54">
        <v>153330</v>
      </c>
      <c r="GJ17" s="54">
        <v>118639</v>
      </c>
      <c r="GK17" s="54">
        <v>307291</v>
      </c>
      <c r="GL17" s="54">
        <v>0</v>
      </c>
      <c r="GM17" s="54">
        <v>1069565</v>
      </c>
      <c r="GN17" s="54">
        <v>1607570</v>
      </c>
      <c r="GO17" s="54">
        <v>526098</v>
      </c>
      <c r="GP17" s="54">
        <v>332678</v>
      </c>
      <c r="GQ17" s="54">
        <v>1404968</v>
      </c>
      <c r="GR17" s="54">
        <v>0</v>
      </c>
      <c r="GS17" s="54">
        <v>3871314</v>
      </c>
      <c r="GT17" s="54">
        <v>628897</v>
      </c>
      <c r="GU17" s="54">
        <v>129763</v>
      </c>
      <c r="GV17" s="54">
        <v>70224</v>
      </c>
      <c r="GW17" s="54">
        <v>615592</v>
      </c>
      <c r="GX17" s="54">
        <v>570033</v>
      </c>
      <c r="GY17" s="54">
        <v>2014509</v>
      </c>
      <c r="GZ17" s="54">
        <v>2203987</v>
      </c>
      <c r="HA17" s="54">
        <v>322388</v>
      </c>
      <c r="HB17" s="54">
        <v>191535</v>
      </c>
      <c r="HC17" s="54">
        <v>323997</v>
      </c>
      <c r="HD17" s="54">
        <v>0</v>
      </c>
      <c r="HE17" s="54">
        <v>3041907</v>
      </c>
      <c r="HF17" s="54">
        <v>0</v>
      </c>
      <c r="HG17" s="54">
        <v>0</v>
      </c>
      <c r="HH17" s="54">
        <v>0</v>
      </c>
      <c r="HI17" s="54">
        <v>0</v>
      </c>
      <c r="HJ17" s="54">
        <v>3624817</v>
      </c>
      <c r="HK17" s="54">
        <v>3624817</v>
      </c>
      <c r="HL17" s="54">
        <v>0</v>
      </c>
      <c r="HM17" s="54">
        <v>0</v>
      </c>
      <c r="HN17" s="54">
        <v>0</v>
      </c>
      <c r="HO17" s="54">
        <v>0</v>
      </c>
      <c r="HP17" s="54">
        <v>0</v>
      </c>
      <c r="HQ17" s="54">
        <v>0</v>
      </c>
      <c r="HR17" s="54">
        <v>1201134</v>
      </c>
      <c r="HS17" s="54">
        <v>93355</v>
      </c>
      <c r="HT17" s="54">
        <v>92646</v>
      </c>
      <c r="HU17" s="54">
        <v>438160</v>
      </c>
      <c r="HV17" s="54">
        <v>4986479</v>
      </c>
      <c r="HW17" s="54">
        <v>6811774</v>
      </c>
      <c r="HX17" s="54">
        <v>0</v>
      </c>
      <c r="HY17" s="54">
        <v>0</v>
      </c>
      <c r="HZ17" s="54">
        <v>0</v>
      </c>
      <c r="IA17" s="54">
        <v>0</v>
      </c>
      <c r="IB17" s="54">
        <v>260297</v>
      </c>
      <c r="IC17" s="54">
        <v>260297</v>
      </c>
      <c r="ID17" s="54">
        <v>0</v>
      </c>
      <c r="IE17" s="54">
        <v>0</v>
      </c>
      <c r="IF17" s="54">
        <v>0</v>
      </c>
      <c r="IG17" s="54">
        <v>0</v>
      </c>
      <c r="IH17" s="54">
        <v>0</v>
      </c>
      <c r="II17" s="54">
        <v>0</v>
      </c>
      <c r="IJ17" s="54">
        <v>120432</v>
      </c>
      <c r="IK17" s="54">
        <v>15231</v>
      </c>
      <c r="IL17" s="54">
        <v>3519</v>
      </c>
      <c r="IM17" s="54">
        <v>175998</v>
      </c>
      <c r="IN17" s="54">
        <v>75953</v>
      </c>
      <c r="IO17" s="54">
        <v>391133</v>
      </c>
      <c r="IP17" s="54">
        <v>1020</v>
      </c>
      <c r="IQ17" s="54">
        <v>1000</v>
      </c>
      <c r="IR17" s="54">
        <v>875</v>
      </c>
      <c r="IS17" s="54">
        <v>6570</v>
      </c>
      <c r="IT17" s="54">
        <v>26309</v>
      </c>
      <c r="IU17" s="54">
        <v>35774</v>
      </c>
      <c r="IV17" s="54">
        <v>814563</v>
      </c>
      <c r="IW17" s="54">
        <v>227968</v>
      </c>
      <c r="IX17" s="54">
        <v>96719</v>
      </c>
      <c r="IY17" s="54">
        <v>377795</v>
      </c>
      <c r="IZ17" s="54">
        <v>3132347</v>
      </c>
      <c r="JA17" s="54">
        <v>4649392</v>
      </c>
      <c r="JB17" s="54">
        <v>17992943</v>
      </c>
      <c r="JC17" s="54">
        <v>4417665</v>
      </c>
      <c r="JD17" s="54">
        <v>2487539</v>
      </c>
      <c r="JE17" s="54">
        <v>12684288</v>
      </c>
      <c r="JF17" s="54">
        <v>20785449</v>
      </c>
      <c r="JG17" s="54">
        <v>58367884</v>
      </c>
      <c r="JH17" s="54">
        <v>0</v>
      </c>
      <c r="JI17" s="54">
        <v>0</v>
      </c>
      <c r="JJ17" s="54">
        <v>0</v>
      </c>
      <c r="JK17" s="54">
        <v>0</v>
      </c>
      <c r="JL17" s="54">
        <v>2590776</v>
      </c>
      <c r="JM17" s="54">
        <v>2590776</v>
      </c>
      <c r="JN17" s="54">
        <v>17992943</v>
      </c>
      <c r="JO17" s="66">
        <v>4417665</v>
      </c>
      <c r="JP17" s="66">
        <v>2487539</v>
      </c>
      <c r="JQ17" s="66">
        <f>28379258+9203177-JN17-JO17-JP17</f>
        <v>12684288</v>
      </c>
      <c r="JR17" s="66">
        <v>23376225</v>
      </c>
      <c r="JS17" s="66">
        <v>60958660</v>
      </c>
      <c r="JT17" s="12"/>
      <c r="JU17" s="5">
        <f t="shared" si="80"/>
        <v>20736842</v>
      </c>
      <c r="JV17" s="26">
        <f t="shared" si="81"/>
        <v>0</v>
      </c>
      <c r="JW17" s="5">
        <f t="shared" si="82"/>
        <v>1594413</v>
      </c>
      <c r="JX17" s="26">
        <f t="shared" si="83"/>
        <v>0</v>
      </c>
      <c r="JY17" s="5">
        <f t="shared" si="84"/>
        <v>1007500</v>
      </c>
      <c r="JZ17" s="26">
        <f t="shared" si="85"/>
        <v>0</v>
      </c>
      <c r="KA17" s="5">
        <f t="shared" si="86"/>
        <v>14171740</v>
      </c>
      <c r="KB17" s="26">
        <f t="shared" si="87"/>
        <v>0</v>
      </c>
      <c r="KC17" s="5">
        <f t="shared" si="88"/>
        <v>0</v>
      </c>
      <c r="KD17" s="26">
        <f t="shared" si="89"/>
        <v>0</v>
      </c>
      <c r="KE17" s="5">
        <f t="shared" si="90"/>
        <v>0</v>
      </c>
      <c r="KF17" s="26">
        <f t="shared" si="91"/>
        <v>0</v>
      </c>
      <c r="KG17" s="5">
        <f t="shared" si="92"/>
        <v>3511611</v>
      </c>
      <c r="KH17" s="26">
        <f t="shared" si="93"/>
        <v>0</v>
      </c>
      <c r="KI17" s="5">
        <f t="shared" si="94"/>
        <v>0</v>
      </c>
      <c r="KJ17" s="26">
        <f t="shared" si="95"/>
        <v>0</v>
      </c>
      <c r="KK17" s="5">
        <f t="shared" si="96"/>
        <v>11563730</v>
      </c>
      <c r="KL17" s="26">
        <f t="shared" si="97"/>
        <v>0</v>
      </c>
      <c r="KM17" s="5">
        <f t="shared" si="98"/>
        <v>2100000</v>
      </c>
      <c r="KN17" s="26">
        <f t="shared" si="99"/>
        <v>0</v>
      </c>
      <c r="KO17" s="5">
        <f t="shared" si="100"/>
        <v>1786824</v>
      </c>
      <c r="KP17" s="26">
        <f t="shared" si="101"/>
        <v>0</v>
      </c>
      <c r="KQ17" s="5">
        <f t="shared" si="102"/>
        <v>4279155</v>
      </c>
      <c r="KR17" s="26">
        <f t="shared" si="103"/>
        <v>0</v>
      </c>
      <c r="KS17" s="5">
        <f t="shared" si="104"/>
        <v>0</v>
      </c>
      <c r="KT17" s="26">
        <f t="shared" si="105"/>
        <v>0</v>
      </c>
      <c r="KU17" s="5">
        <f t="shared" si="106"/>
        <v>198094</v>
      </c>
      <c r="KV17" s="26">
        <f t="shared" si="107"/>
        <v>0</v>
      </c>
      <c r="KW17" s="5">
        <f t="shared" si="108"/>
        <v>225068</v>
      </c>
      <c r="KX17" s="26">
        <f t="shared" si="109"/>
        <v>0</v>
      </c>
      <c r="KY17" s="5">
        <f t="shared" si="110"/>
        <v>61174977</v>
      </c>
      <c r="KZ17" s="26">
        <f t="shared" si="111"/>
        <v>0</v>
      </c>
      <c r="LA17" s="5">
        <f t="shared" si="112"/>
        <v>10425599</v>
      </c>
      <c r="LB17" s="26">
        <f t="shared" si="113"/>
        <v>0</v>
      </c>
      <c r="LC17" s="5">
        <f t="shared" si="114"/>
        <v>1549693</v>
      </c>
      <c r="LD17" s="26">
        <f t="shared" si="115"/>
        <v>0</v>
      </c>
      <c r="LE17" s="5">
        <f t="shared" si="116"/>
        <v>11680412</v>
      </c>
      <c r="LF17" s="26">
        <f t="shared" si="117"/>
        <v>0</v>
      </c>
      <c r="LG17" s="5">
        <f t="shared" si="118"/>
        <v>0</v>
      </c>
      <c r="LH17" s="26">
        <f t="shared" si="119"/>
        <v>0</v>
      </c>
      <c r="LI17" s="5">
        <f t="shared" si="120"/>
        <v>8777430</v>
      </c>
      <c r="LJ17" s="26">
        <f t="shared" si="121"/>
        <v>0</v>
      </c>
      <c r="LK17" s="5">
        <f t="shared" si="122"/>
        <v>0</v>
      </c>
      <c r="LL17" s="26">
        <f t="shared" si="123"/>
        <v>0</v>
      </c>
      <c r="LM17" s="5">
        <f t="shared" si="124"/>
        <v>164268</v>
      </c>
      <c r="LN17" s="26">
        <f t="shared" si="125"/>
        <v>0</v>
      </c>
      <c r="LO17" s="5">
        <f t="shared" si="126"/>
        <v>1069565</v>
      </c>
      <c r="LP17" s="26">
        <f t="shared" si="127"/>
        <v>0</v>
      </c>
      <c r="LQ17" s="5">
        <f t="shared" si="128"/>
        <v>3871314</v>
      </c>
      <c r="LR17" s="26">
        <f t="shared" si="129"/>
        <v>0</v>
      </c>
      <c r="LS17" s="5">
        <f t="shared" si="130"/>
        <v>2014509</v>
      </c>
      <c r="LT17" s="26">
        <f t="shared" si="131"/>
        <v>0</v>
      </c>
      <c r="LU17" s="5">
        <f t="shared" si="132"/>
        <v>3041907</v>
      </c>
      <c r="LV17" s="26">
        <f t="shared" si="133"/>
        <v>0</v>
      </c>
      <c r="LW17" s="5">
        <f t="shared" si="134"/>
        <v>3624817</v>
      </c>
      <c r="LX17" s="26">
        <f t="shared" si="135"/>
        <v>0</v>
      </c>
      <c r="LY17" s="5">
        <f t="shared" si="136"/>
        <v>0</v>
      </c>
      <c r="LZ17" s="26">
        <f t="shared" si="137"/>
        <v>0</v>
      </c>
      <c r="MA17" s="5">
        <f t="shared" si="138"/>
        <v>6811774</v>
      </c>
      <c r="MB17" s="26">
        <f t="shared" si="139"/>
        <v>0</v>
      </c>
      <c r="MC17" s="5">
        <f t="shared" si="140"/>
        <v>260297</v>
      </c>
      <c r="MD17" s="26">
        <f t="shared" si="141"/>
        <v>0</v>
      </c>
      <c r="ME17" s="5">
        <f t="shared" si="142"/>
        <v>0</v>
      </c>
      <c r="MF17" s="26">
        <f t="shared" si="143"/>
        <v>0</v>
      </c>
      <c r="MG17" s="5">
        <f t="shared" si="144"/>
        <v>391133</v>
      </c>
      <c r="MH17" s="26">
        <f t="shared" si="145"/>
        <v>0</v>
      </c>
      <c r="MI17" s="5">
        <f t="shared" si="146"/>
        <v>35774</v>
      </c>
      <c r="MJ17" s="26">
        <f t="shared" si="147"/>
        <v>0</v>
      </c>
      <c r="MK17" s="5">
        <f t="shared" si="148"/>
        <v>4649392</v>
      </c>
      <c r="ML17" s="26">
        <f t="shared" si="149"/>
        <v>0</v>
      </c>
      <c r="MM17" s="5">
        <f t="shared" si="150"/>
        <v>58367884</v>
      </c>
      <c r="MN17" s="26">
        <f t="shared" si="151"/>
        <v>0</v>
      </c>
      <c r="MO17" s="5">
        <f t="shared" si="152"/>
        <v>2590776</v>
      </c>
      <c r="MP17" s="26">
        <f t="shared" si="153"/>
        <v>0</v>
      </c>
      <c r="MQ17" s="5">
        <f t="shared" si="154"/>
        <v>60958660</v>
      </c>
      <c r="MR17" s="26">
        <f t="shared" si="155"/>
        <v>0</v>
      </c>
      <c r="MT17" s="5">
        <f t="shared" si="76"/>
        <v>0</v>
      </c>
      <c r="MV17" s="4">
        <f t="shared" si="77"/>
        <v>0</v>
      </c>
    </row>
    <row r="18" spans="1:360" x14ac:dyDescent="0.15">
      <c r="A18" s="18" t="s">
        <v>279</v>
      </c>
      <c r="B18" s="25" t="s">
        <v>407</v>
      </c>
      <c r="C18" s="109">
        <v>126614</v>
      </c>
      <c r="D18" s="105">
        <v>2011</v>
      </c>
      <c r="E18" s="106">
        <v>1</v>
      </c>
      <c r="F18" s="106">
        <v>4</v>
      </c>
      <c r="G18" s="107">
        <v>11714</v>
      </c>
      <c r="H18" s="107">
        <v>13092</v>
      </c>
      <c r="I18" s="108">
        <v>1041875891</v>
      </c>
      <c r="J18" s="108"/>
      <c r="K18" s="108">
        <v>4049764</v>
      </c>
      <c r="L18" s="108"/>
      <c r="M18" s="108">
        <v>48516288</v>
      </c>
      <c r="N18" s="108"/>
      <c r="O18" s="108">
        <v>44460144</v>
      </c>
      <c r="P18" s="108"/>
      <c r="Q18" s="108">
        <v>558899222</v>
      </c>
      <c r="R18" s="108"/>
      <c r="S18" s="108">
        <v>844080163</v>
      </c>
      <c r="T18" s="108"/>
      <c r="U18" s="108">
        <v>23035</v>
      </c>
      <c r="V18" s="108"/>
      <c r="W18" s="108">
        <v>42111</v>
      </c>
      <c r="X18" s="108"/>
      <c r="Y18" s="108">
        <v>27922</v>
      </c>
      <c r="Z18" s="108"/>
      <c r="AA18" s="108">
        <v>47753</v>
      </c>
      <c r="AB18" s="108"/>
      <c r="AC18" s="129">
        <v>7</v>
      </c>
      <c r="AD18" s="129">
        <v>9</v>
      </c>
      <c r="AE18" s="129">
        <v>0</v>
      </c>
      <c r="AF18" s="26">
        <v>4740268</v>
      </c>
      <c r="AG18" s="132">
        <v>2652839</v>
      </c>
      <c r="AH18" s="26">
        <v>633189</v>
      </c>
      <c r="AI18" s="26">
        <v>252232</v>
      </c>
      <c r="AJ18" s="26">
        <v>595722</v>
      </c>
      <c r="AK18" s="36">
        <v>4</v>
      </c>
      <c r="AL18" s="26">
        <v>476578</v>
      </c>
      <c r="AM18" s="36">
        <v>5</v>
      </c>
      <c r="AN18" s="26">
        <v>177134</v>
      </c>
      <c r="AO18" s="36">
        <v>6</v>
      </c>
      <c r="AP18" s="26">
        <v>151829</v>
      </c>
      <c r="AQ18" s="36">
        <v>7</v>
      </c>
      <c r="AR18" s="26">
        <v>186797</v>
      </c>
      <c r="AS18" s="40">
        <v>18</v>
      </c>
      <c r="AT18" s="41">
        <v>165782</v>
      </c>
      <c r="AU18" s="40">
        <v>20</v>
      </c>
      <c r="AV18" s="41">
        <v>57422</v>
      </c>
      <c r="AW18" s="40">
        <v>17</v>
      </c>
      <c r="AX18" s="41">
        <v>55733</v>
      </c>
      <c r="AY18" s="40">
        <v>17</v>
      </c>
      <c r="AZ18" s="67">
        <v>11868238</v>
      </c>
      <c r="BA18" s="53">
        <v>1447985</v>
      </c>
      <c r="BB18" s="68">
        <v>171831</v>
      </c>
      <c r="BC18" s="54">
        <v>27233</v>
      </c>
      <c r="BD18" s="68">
        <v>0</v>
      </c>
      <c r="BE18" s="68">
        <v>13515287</v>
      </c>
      <c r="BF18" s="68">
        <v>0</v>
      </c>
      <c r="BG18" s="68">
        <v>0</v>
      </c>
      <c r="BH18" s="68">
        <v>0</v>
      </c>
      <c r="BI18" s="69">
        <v>0</v>
      </c>
      <c r="BJ18" s="68">
        <v>1561472</v>
      </c>
      <c r="BK18" s="68">
        <v>1561472</v>
      </c>
      <c r="BL18" s="68">
        <v>200000</v>
      </c>
      <c r="BM18" s="68">
        <v>0</v>
      </c>
      <c r="BN18" s="68">
        <v>8000</v>
      </c>
      <c r="BO18" s="69">
        <v>0</v>
      </c>
      <c r="BP18" s="68">
        <v>0</v>
      </c>
      <c r="BQ18" s="68">
        <v>208000</v>
      </c>
      <c r="BR18" s="68">
        <v>5832697</v>
      </c>
      <c r="BS18" s="68">
        <v>65722</v>
      </c>
      <c r="BT18" s="68">
        <v>27824</v>
      </c>
      <c r="BU18" s="68">
        <v>354583</v>
      </c>
      <c r="BV18" s="68">
        <v>7257160</v>
      </c>
      <c r="BW18" s="68">
        <v>13537986</v>
      </c>
      <c r="BX18" s="68">
        <v>0</v>
      </c>
      <c r="BY18" s="70">
        <v>0</v>
      </c>
      <c r="BZ18" s="68">
        <v>0</v>
      </c>
      <c r="CA18" s="68">
        <v>0</v>
      </c>
      <c r="CB18" s="68">
        <v>0</v>
      </c>
      <c r="CC18" s="68">
        <v>0</v>
      </c>
      <c r="CD18" s="68">
        <v>0</v>
      </c>
      <c r="CE18" s="68">
        <v>0</v>
      </c>
      <c r="CF18" s="68">
        <v>0</v>
      </c>
      <c r="CG18" s="68">
        <v>0</v>
      </c>
      <c r="CH18" s="68">
        <v>0</v>
      </c>
      <c r="CI18" s="54">
        <v>0</v>
      </c>
      <c r="CJ18" s="68">
        <v>0</v>
      </c>
      <c r="CK18" s="68">
        <v>0</v>
      </c>
      <c r="CL18" s="68">
        <v>0</v>
      </c>
      <c r="CM18" s="68">
        <v>0</v>
      </c>
      <c r="CN18" s="68">
        <v>13745060</v>
      </c>
      <c r="CO18" s="54">
        <v>13745060</v>
      </c>
      <c r="CP18" s="68">
        <v>0</v>
      </c>
      <c r="CQ18" s="54">
        <v>0</v>
      </c>
      <c r="CR18" s="68">
        <v>0</v>
      </c>
      <c r="CS18" s="53">
        <v>0</v>
      </c>
      <c r="CT18" s="68">
        <v>211617</v>
      </c>
      <c r="CU18" s="68">
        <v>211617</v>
      </c>
      <c r="CV18" s="68">
        <v>6667975</v>
      </c>
      <c r="CW18" s="54">
        <v>2612335</v>
      </c>
      <c r="CX18" s="68">
        <v>18370</v>
      </c>
      <c r="CY18" s="68">
        <v>225894</v>
      </c>
      <c r="CZ18" s="68">
        <v>195377</v>
      </c>
      <c r="DA18" s="68">
        <v>9719951</v>
      </c>
      <c r="DB18" s="68">
        <v>40000</v>
      </c>
      <c r="DC18" s="54">
        <v>59702</v>
      </c>
      <c r="DD18" s="68">
        <v>59703</v>
      </c>
      <c r="DE18" s="68">
        <v>0</v>
      </c>
      <c r="DF18" s="68">
        <v>0</v>
      </c>
      <c r="DG18" s="68">
        <v>159405</v>
      </c>
      <c r="DH18" s="70">
        <v>593003</v>
      </c>
      <c r="DI18" s="71">
        <v>86244</v>
      </c>
      <c r="DJ18" s="68">
        <v>32744</v>
      </c>
      <c r="DK18" s="68">
        <v>24719</v>
      </c>
      <c r="DL18" s="68">
        <v>495693</v>
      </c>
      <c r="DM18" s="68">
        <v>1232403</v>
      </c>
      <c r="DN18" s="68">
        <v>63272</v>
      </c>
      <c r="DO18" s="54">
        <v>0</v>
      </c>
      <c r="DP18" s="68">
        <v>0</v>
      </c>
      <c r="DQ18" s="68">
        <v>0</v>
      </c>
      <c r="DR18" s="68">
        <v>4800077</v>
      </c>
      <c r="DS18" s="68">
        <v>4863349</v>
      </c>
      <c r="DT18" s="68">
        <v>105102</v>
      </c>
      <c r="DU18" s="54">
        <v>109343</v>
      </c>
      <c r="DV18" s="68">
        <v>55664</v>
      </c>
      <c r="DW18" s="68">
        <v>344827</v>
      </c>
      <c r="DX18" s="68">
        <v>0</v>
      </c>
      <c r="DY18" s="68">
        <v>614936</v>
      </c>
      <c r="DZ18" s="53">
        <v>289500</v>
      </c>
      <c r="EA18" s="54">
        <v>5300</v>
      </c>
      <c r="EB18" s="54">
        <v>21400</v>
      </c>
      <c r="EC18" s="54">
        <v>239311</v>
      </c>
      <c r="ED18" s="54">
        <v>161998</v>
      </c>
      <c r="EE18" s="54">
        <v>717509</v>
      </c>
      <c r="EF18" s="54">
        <v>295350</v>
      </c>
      <c r="EG18" s="54">
        <v>0</v>
      </c>
      <c r="EH18" s="68">
        <v>780</v>
      </c>
      <c r="EI18" s="68">
        <v>0</v>
      </c>
      <c r="EJ18" s="68">
        <v>540148</v>
      </c>
      <c r="EK18" s="68">
        <v>836278</v>
      </c>
      <c r="EL18" s="68">
        <v>25955137</v>
      </c>
      <c r="EM18" s="71">
        <v>4386631</v>
      </c>
      <c r="EN18" s="68">
        <v>396316</v>
      </c>
      <c r="EO18" s="68">
        <v>1216567</v>
      </c>
      <c r="EP18" s="68">
        <v>28968602</v>
      </c>
      <c r="EQ18" s="68">
        <v>60923253</v>
      </c>
      <c r="ER18" s="68">
        <v>3463701</v>
      </c>
      <c r="ES18" s="71">
        <v>515337</v>
      </c>
      <c r="ET18" s="68">
        <v>493353</v>
      </c>
      <c r="EU18" s="68">
        <v>2920716</v>
      </c>
      <c r="EV18" s="69">
        <v>0</v>
      </c>
      <c r="EW18" s="68">
        <v>7393107</v>
      </c>
      <c r="EX18" s="70">
        <v>1325000</v>
      </c>
      <c r="EY18" s="71">
        <v>458700</v>
      </c>
      <c r="EZ18" s="68">
        <v>106398</v>
      </c>
      <c r="FA18" s="68">
        <v>6000</v>
      </c>
      <c r="FB18" s="68">
        <v>0</v>
      </c>
      <c r="FC18" s="68">
        <v>1896098</v>
      </c>
      <c r="FD18" s="68">
        <v>3978910</v>
      </c>
      <c r="FE18" s="68">
        <v>1291150</v>
      </c>
      <c r="FF18" s="68">
        <v>820882</v>
      </c>
      <c r="FG18" s="68">
        <v>1617871</v>
      </c>
      <c r="FH18" s="68">
        <v>0</v>
      </c>
      <c r="FI18" s="68">
        <v>7708813</v>
      </c>
      <c r="FJ18" s="68">
        <v>0</v>
      </c>
      <c r="FK18" s="68">
        <v>0</v>
      </c>
      <c r="FL18" s="68">
        <v>0</v>
      </c>
      <c r="FM18" s="68">
        <v>0</v>
      </c>
      <c r="FN18" s="68">
        <v>0</v>
      </c>
      <c r="FO18" s="69">
        <v>0</v>
      </c>
      <c r="FP18" s="68">
        <v>768632</v>
      </c>
      <c r="FQ18" s="69">
        <v>490069</v>
      </c>
      <c r="FR18" s="68">
        <v>319941</v>
      </c>
      <c r="FS18" s="69">
        <v>297202</v>
      </c>
      <c r="FT18" s="68">
        <v>7748317</v>
      </c>
      <c r="FU18" s="68">
        <v>9624161</v>
      </c>
      <c r="FV18" s="68">
        <v>0</v>
      </c>
      <c r="FW18" s="72">
        <v>0</v>
      </c>
      <c r="FX18" s="72">
        <v>0</v>
      </c>
      <c r="FY18" s="73">
        <v>0</v>
      </c>
      <c r="FZ18" s="73">
        <v>0</v>
      </c>
      <c r="GA18" s="72">
        <v>0</v>
      </c>
      <c r="GB18" s="73">
        <v>2173639</v>
      </c>
      <c r="GC18" s="73">
        <v>0</v>
      </c>
      <c r="GD18" s="72">
        <v>0</v>
      </c>
      <c r="GE18" s="72">
        <v>0</v>
      </c>
      <c r="GF18" s="73">
        <v>0</v>
      </c>
      <c r="GG18" s="73">
        <v>2173639</v>
      </c>
      <c r="GH18" s="72">
        <v>470355</v>
      </c>
      <c r="GI18" s="73">
        <v>118447</v>
      </c>
      <c r="GJ18" s="72">
        <v>129824</v>
      </c>
      <c r="GK18" s="73">
        <v>166795</v>
      </c>
      <c r="GL18" s="72">
        <v>0</v>
      </c>
      <c r="GM18" s="73">
        <v>885421</v>
      </c>
      <c r="GN18" s="72">
        <v>536634</v>
      </c>
      <c r="GO18" s="73">
        <v>517624</v>
      </c>
      <c r="GP18" s="72">
        <v>252744</v>
      </c>
      <c r="GQ18" s="73">
        <v>945527</v>
      </c>
      <c r="GR18" s="72">
        <v>53912</v>
      </c>
      <c r="GS18" s="73">
        <v>2306441</v>
      </c>
      <c r="GT18" s="72">
        <v>415024</v>
      </c>
      <c r="GU18" s="73">
        <v>65824</v>
      </c>
      <c r="GV18" s="72">
        <v>67054</v>
      </c>
      <c r="GW18" s="73">
        <v>414786</v>
      </c>
      <c r="GX18" s="72">
        <v>209091</v>
      </c>
      <c r="GY18" s="73">
        <v>1171779</v>
      </c>
      <c r="GZ18" s="72">
        <v>2164254</v>
      </c>
      <c r="HA18" s="73">
        <v>574504</v>
      </c>
      <c r="HB18" s="73">
        <v>408998</v>
      </c>
      <c r="HC18" s="72">
        <v>131404</v>
      </c>
      <c r="HD18" s="72">
        <v>0</v>
      </c>
      <c r="HE18" s="72">
        <v>3279160</v>
      </c>
      <c r="HF18" s="72">
        <v>22531</v>
      </c>
      <c r="HG18" s="73">
        <v>10337</v>
      </c>
      <c r="HH18" s="72">
        <v>0</v>
      </c>
      <c r="HI18" s="73">
        <v>65238</v>
      </c>
      <c r="HJ18" s="73">
        <v>1835707</v>
      </c>
      <c r="HK18" s="73">
        <v>1933813</v>
      </c>
      <c r="HL18" s="72">
        <v>44308</v>
      </c>
      <c r="HM18" s="73">
        <v>32934</v>
      </c>
      <c r="HN18" s="73">
        <v>7559</v>
      </c>
      <c r="HO18" s="73">
        <v>178747</v>
      </c>
      <c r="HP18" s="73">
        <v>0</v>
      </c>
      <c r="HQ18" s="72">
        <v>263548</v>
      </c>
      <c r="HR18" s="73">
        <v>8278</v>
      </c>
      <c r="HS18" s="73">
        <v>0</v>
      </c>
      <c r="HT18" s="73">
        <v>0</v>
      </c>
      <c r="HU18" s="73">
        <v>223723</v>
      </c>
      <c r="HV18" s="72">
        <v>7875707</v>
      </c>
      <c r="HW18" s="73">
        <v>8107708</v>
      </c>
      <c r="HX18" s="73">
        <v>0</v>
      </c>
      <c r="HY18" s="73">
        <v>0</v>
      </c>
      <c r="HZ18" s="73">
        <v>0</v>
      </c>
      <c r="IA18" s="72">
        <v>0</v>
      </c>
      <c r="IB18" s="72">
        <v>159576</v>
      </c>
      <c r="IC18" s="73">
        <v>159576</v>
      </c>
      <c r="ID18" s="73">
        <v>0</v>
      </c>
      <c r="IE18" s="73">
        <v>0</v>
      </c>
      <c r="IF18" s="73">
        <v>0</v>
      </c>
      <c r="IG18" s="72">
        <v>0</v>
      </c>
      <c r="IH18" s="72">
        <v>211617</v>
      </c>
      <c r="II18" s="72">
        <v>211617</v>
      </c>
      <c r="IJ18" s="73">
        <v>135022</v>
      </c>
      <c r="IK18" s="73">
        <v>36210</v>
      </c>
      <c r="IL18" s="73">
        <v>18866</v>
      </c>
      <c r="IM18" s="53">
        <v>157774</v>
      </c>
      <c r="IN18" s="73">
        <v>208486</v>
      </c>
      <c r="IO18" s="73">
        <v>556358</v>
      </c>
      <c r="IP18" s="72">
        <v>1110</v>
      </c>
      <c r="IQ18" s="73">
        <v>515</v>
      </c>
      <c r="IR18" s="73">
        <v>1013</v>
      </c>
      <c r="IS18" s="73">
        <v>6901</v>
      </c>
      <c r="IT18" s="73">
        <v>38934</v>
      </c>
      <c r="IU18" s="73">
        <v>48473</v>
      </c>
      <c r="IV18" s="73">
        <v>801147</v>
      </c>
      <c r="IW18" s="72">
        <v>138825</v>
      </c>
      <c r="IX18" s="72">
        <v>91746</v>
      </c>
      <c r="IY18" s="73">
        <v>299383</v>
      </c>
      <c r="IZ18" s="72">
        <v>10135807</v>
      </c>
      <c r="JA18" s="73">
        <v>11466908</v>
      </c>
      <c r="JB18" s="73">
        <v>16308545</v>
      </c>
      <c r="JC18" s="72">
        <v>4250476</v>
      </c>
      <c r="JD18" s="73">
        <v>2718378</v>
      </c>
      <c r="JE18" s="73">
        <v>7432067</v>
      </c>
      <c r="JF18" s="72">
        <v>28477154</v>
      </c>
      <c r="JG18" s="72">
        <v>59186620</v>
      </c>
      <c r="JH18" s="73">
        <v>0</v>
      </c>
      <c r="JI18" s="72">
        <v>0</v>
      </c>
      <c r="JJ18" s="73">
        <v>0</v>
      </c>
      <c r="JK18" s="53">
        <v>0</v>
      </c>
      <c r="JL18" s="73">
        <v>0</v>
      </c>
      <c r="JM18" s="72">
        <v>0</v>
      </c>
      <c r="JN18" s="73">
        <v>16308545</v>
      </c>
      <c r="JO18" s="73">
        <v>4250476</v>
      </c>
      <c r="JP18" s="72">
        <v>2718378</v>
      </c>
      <c r="JQ18" s="73">
        <v>7432067</v>
      </c>
      <c r="JR18" s="73">
        <v>28477154</v>
      </c>
      <c r="JS18" s="54">
        <v>59186620</v>
      </c>
      <c r="JT18" s="11"/>
      <c r="JU18" s="5">
        <f t="shared" si="80"/>
        <v>13515287</v>
      </c>
      <c r="JV18" s="26">
        <f t="shared" si="81"/>
        <v>0</v>
      </c>
      <c r="JW18" s="5">
        <f t="shared" si="82"/>
        <v>1561472</v>
      </c>
      <c r="JX18" s="26">
        <f t="shared" si="83"/>
        <v>0</v>
      </c>
      <c r="JY18" s="5">
        <f t="shared" si="84"/>
        <v>208000</v>
      </c>
      <c r="JZ18" s="26">
        <f t="shared" si="85"/>
        <v>0</v>
      </c>
      <c r="KA18" s="5">
        <f t="shared" si="86"/>
        <v>13537986</v>
      </c>
      <c r="KB18" s="26">
        <f t="shared" si="87"/>
        <v>0</v>
      </c>
      <c r="KC18" s="5">
        <f t="shared" si="88"/>
        <v>0</v>
      </c>
      <c r="KD18" s="26">
        <f t="shared" si="89"/>
        <v>0</v>
      </c>
      <c r="KE18" s="5">
        <f t="shared" si="90"/>
        <v>0</v>
      </c>
      <c r="KF18" s="26">
        <f t="shared" si="91"/>
        <v>0</v>
      </c>
      <c r="KG18" s="5">
        <f t="shared" si="92"/>
        <v>13745060</v>
      </c>
      <c r="KH18" s="26">
        <f t="shared" si="93"/>
        <v>0</v>
      </c>
      <c r="KI18" s="5">
        <f t="shared" si="94"/>
        <v>211617</v>
      </c>
      <c r="KJ18" s="26">
        <f t="shared" si="95"/>
        <v>0</v>
      </c>
      <c r="KK18" s="5">
        <f t="shared" si="96"/>
        <v>9719951</v>
      </c>
      <c r="KL18" s="26">
        <f t="shared" si="97"/>
        <v>0</v>
      </c>
      <c r="KM18" s="5">
        <f t="shared" si="98"/>
        <v>159405</v>
      </c>
      <c r="KN18" s="26">
        <f t="shared" si="99"/>
        <v>0</v>
      </c>
      <c r="KO18" s="5">
        <f t="shared" si="100"/>
        <v>1232403</v>
      </c>
      <c r="KP18" s="26">
        <f t="shared" si="101"/>
        <v>0</v>
      </c>
      <c r="KQ18" s="5">
        <f t="shared" si="102"/>
        <v>4863349</v>
      </c>
      <c r="KR18" s="26">
        <f t="shared" si="103"/>
        <v>0</v>
      </c>
      <c r="KS18" s="5">
        <f t="shared" si="104"/>
        <v>614936</v>
      </c>
      <c r="KT18" s="26">
        <f t="shared" si="105"/>
        <v>0</v>
      </c>
      <c r="KU18" s="5">
        <f t="shared" si="106"/>
        <v>717509</v>
      </c>
      <c r="KV18" s="26">
        <f t="shared" si="107"/>
        <v>0</v>
      </c>
      <c r="KW18" s="5">
        <f t="shared" si="108"/>
        <v>836278</v>
      </c>
      <c r="KX18" s="26">
        <f t="shared" si="109"/>
        <v>0</v>
      </c>
      <c r="KY18" s="5">
        <f t="shared" si="110"/>
        <v>60923253</v>
      </c>
      <c r="KZ18" s="26">
        <f t="shared" si="111"/>
        <v>0</v>
      </c>
      <c r="LA18" s="5">
        <f t="shared" si="112"/>
        <v>7393107</v>
      </c>
      <c r="LB18" s="26">
        <f t="shared" si="113"/>
        <v>0</v>
      </c>
      <c r="LC18" s="5">
        <f t="shared" si="114"/>
        <v>1896098</v>
      </c>
      <c r="LD18" s="26">
        <f t="shared" si="115"/>
        <v>0</v>
      </c>
      <c r="LE18" s="5">
        <f t="shared" si="116"/>
        <v>7708813</v>
      </c>
      <c r="LF18" s="26">
        <f t="shared" si="117"/>
        <v>0</v>
      </c>
      <c r="LG18" s="5">
        <f t="shared" si="118"/>
        <v>0</v>
      </c>
      <c r="LH18" s="26">
        <f t="shared" si="119"/>
        <v>0</v>
      </c>
      <c r="LI18" s="5">
        <f t="shared" si="120"/>
        <v>9624161</v>
      </c>
      <c r="LJ18" s="26">
        <f t="shared" si="121"/>
        <v>0</v>
      </c>
      <c r="LK18" s="5">
        <f t="shared" si="122"/>
        <v>0</v>
      </c>
      <c r="LL18" s="26">
        <f t="shared" si="123"/>
        <v>0</v>
      </c>
      <c r="LM18" s="5">
        <f t="shared" si="124"/>
        <v>2173639</v>
      </c>
      <c r="LN18" s="26">
        <f t="shared" si="125"/>
        <v>0</v>
      </c>
      <c r="LO18" s="5">
        <f t="shared" si="126"/>
        <v>885421</v>
      </c>
      <c r="LP18" s="26">
        <f t="shared" si="127"/>
        <v>0</v>
      </c>
      <c r="LQ18" s="5">
        <f t="shared" si="128"/>
        <v>2306441</v>
      </c>
      <c r="LR18" s="26">
        <f t="shared" si="129"/>
        <v>0</v>
      </c>
      <c r="LS18" s="5">
        <f t="shared" si="130"/>
        <v>1171779</v>
      </c>
      <c r="LT18" s="26">
        <f t="shared" si="131"/>
        <v>0</v>
      </c>
      <c r="LU18" s="5">
        <f t="shared" si="132"/>
        <v>3279160</v>
      </c>
      <c r="LV18" s="26">
        <f t="shared" si="133"/>
        <v>0</v>
      </c>
      <c r="LW18" s="5">
        <f t="shared" si="134"/>
        <v>1933813</v>
      </c>
      <c r="LX18" s="26">
        <f t="shared" si="135"/>
        <v>0</v>
      </c>
      <c r="LY18" s="5">
        <f t="shared" si="136"/>
        <v>263548</v>
      </c>
      <c r="LZ18" s="26">
        <f t="shared" si="137"/>
        <v>0</v>
      </c>
      <c r="MA18" s="5">
        <f t="shared" si="138"/>
        <v>8107708</v>
      </c>
      <c r="MB18" s="26">
        <f t="shared" si="139"/>
        <v>0</v>
      </c>
      <c r="MC18" s="5">
        <f t="shared" si="140"/>
        <v>159576</v>
      </c>
      <c r="MD18" s="26">
        <f t="shared" si="141"/>
        <v>0</v>
      </c>
      <c r="ME18" s="5">
        <f t="shared" si="142"/>
        <v>211617</v>
      </c>
      <c r="MF18" s="26">
        <f t="shared" si="143"/>
        <v>0</v>
      </c>
      <c r="MG18" s="5">
        <f t="shared" si="144"/>
        <v>556358</v>
      </c>
      <c r="MH18" s="26">
        <f t="shared" si="145"/>
        <v>0</v>
      </c>
      <c r="MI18" s="5">
        <f t="shared" si="146"/>
        <v>48473</v>
      </c>
      <c r="MJ18" s="26">
        <f t="shared" si="147"/>
        <v>0</v>
      </c>
      <c r="MK18" s="5">
        <f t="shared" si="148"/>
        <v>11466908</v>
      </c>
      <c r="ML18" s="26">
        <f t="shared" si="149"/>
        <v>0</v>
      </c>
      <c r="MM18" s="5">
        <f t="shared" si="150"/>
        <v>59186620</v>
      </c>
      <c r="MN18" s="26">
        <f t="shared" si="151"/>
        <v>0</v>
      </c>
      <c r="MO18" s="5">
        <f t="shared" si="152"/>
        <v>0</v>
      </c>
      <c r="MP18" s="26">
        <f t="shared" si="153"/>
        <v>0</v>
      </c>
      <c r="MQ18" s="5">
        <f t="shared" si="154"/>
        <v>59186620</v>
      </c>
      <c r="MR18" s="26">
        <f t="shared" si="155"/>
        <v>0</v>
      </c>
      <c r="MT18" s="5">
        <f t="shared" si="76"/>
        <v>0</v>
      </c>
      <c r="MV18" s="4">
        <f t="shared" si="77"/>
        <v>0</v>
      </c>
    </row>
    <row r="19" spans="1:360" x14ac:dyDescent="0.15">
      <c r="A19" s="155" t="s">
        <v>280</v>
      </c>
      <c r="B19" s="25" t="s">
        <v>405</v>
      </c>
      <c r="C19" s="109">
        <v>126818</v>
      </c>
      <c r="D19" s="105">
        <v>2011</v>
      </c>
      <c r="E19" s="106">
        <v>1</v>
      </c>
      <c r="F19" s="106">
        <v>10</v>
      </c>
      <c r="G19" s="107">
        <v>10778</v>
      </c>
      <c r="H19" s="107">
        <v>11175</v>
      </c>
      <c r="I19" s="108">
        <v>792225075</v>
      </c>
      <c r="J19" s="108"/>
      <c r="K19" s="108">
        <v>374669</v>
      </c>
      <c r="L19" s="108"/>
      <c r="M19" s="108">
        <v>25730267</v>
      </c>
      <c r="N19" s="108"/>
      <c r="O19" s="108">
        <v>2485000</v>
      </c>
      <c r="P19" s="108"/>
      <c r="Q19" s="108">
        <v>434305000</v>
      </c>
      <c r="R19" s="108"/>
      <c r="S19" s="108">
        <v>299412439</v>
      </c>
      <c r="T19" s="108"/>
      <c r="U19" s="108">
        <v>17077</v>
      </c>
      <c r="V19" s="108"/>
      <c r="W19" s="108">
        <v>33187</v>
      </c>
      <c r="X19" s="108"/>
      <c r="Y19" s="108">
        <v>18769</v>
      </c>
      <c r="Z19" s="108"/>
      <c r="AA19" s="108">
        <v>35579</v>
      </c>
      <c r="AB19" s="108"/>
      <c r="AC19" s="130">
        <v>6</v>
      </c>
      <c r="AD19" s="130">
        <v>10</v>
      </c>
      <c r="AE19" s="130">
        <v>0</v>
      </c>
      <c r="AF19" s="26">
        <v>3618929</v>
      </c>
      <c r="AG19" s="26">
        <v>2584579</v>
      </c>
      <c r="AH19" s="26">
        <v>389509</v>
      </c>
      <c r="AI19" s="26">
        <v>151169</v>
      </c>
      <c r="AJ19" s="26">
        <v>444713.14</v>
      </c>
      <c r="AK19" s="36">
        <v>3.5</v>
      </c>
      <c r="AL19" s="26">
        <v>389124</v>
      </c>
      <c r="AM19" s="36">
        <v>4</v>
      </c>
      <c r="AN19" s="26">
        <v>131147.23000000001</v>
      </c>
      <c r="AO19" s="36">
        <v>6.5</v>
      </c>
      <c r="AP19" s="26">
        <v>106557.13</v>
      </c>
      <c r="AQ19" s="36">
        <v>8</v>
      </c>
      <c r="AR19" s="26">
        <v>132231.85999999999</v>
      </c>
      <c r="AS19" s="36">
        <v>14.5</v>
      </c>
      <c r="AT19" s="26">
        <v>112786</v>
      </c>
      <c r="AU19" s="36">
        <v>17</v>
      </c>
      <c r="AV19" s="26">
        <v>53118.09</v>
      </c>
      <c r="AW19" s="36">
        <v>11</v>
      </c>
      <c r="AX19" s="26">
        <v>41735.64</v>
      </c>
      <c r="AY19" s="36">
        <v>14</v>
      </c>
      <c r="AZ19" s="54">
        <v>2366556</v>
      </c>
      <c r="BA19" s="54">
        <v>414170</v>
      </c>
      <c r="BB19" s="54">
        <v>46413</v>
      </c>
      <c r="BC19" s="54">
        <v>101864</v>
      </c>
      <c r="BD19" s="54">
        <v>0</v>
      </c>
      <c r="BE19" s="54">
        <v>2929003</v>
      </c>
      <c r="BF19" s="54">
        <v>0</v>
      </c>
      <c r="BG19" s="54">
        <v>0</v>
      </c>
      <c r="BH19" s="54">
        <v>0</v>
      </c>
      <c r="BI19" s="54">
        <v>0</v>
      </c>
      <c r="BJ19" s="54">
        <v>4938165</v>
      </c>
      <c r="BK19" s="54">
        <v>4938165</v>
      </c>
      <c r="BL19" s="54">
        <v>100000</v>
      </c>
      <c r="BM19" s="54">
        <v>110000</v>
      </c>
      <c r="BN19" s="54">
        <v>5000</v>
      </c>
      <c r="BO19" s="54">
        <v>6000</v>
      </c>
      <c r="BP19" s="54">
        <v>0</v>
      </c>
      <c r="BQ19" s="54">
        <v>221000</v>
      </c>
      <c r="BR19" s="54">
        <v>182641</v>
      </c>
      <c r="BS19" s="54">
        <v>61948</v>
      </c>
      <c r="BT19" s="54">
        <v>25164</v>
      </c>
      <c r="BU19" s="54">
        <v>299168</v>
      </c>
      <c r="BV19" s="54">
        <v>2401668</v>
      </c>
      <c r="BW19" s="54">
        <v>2970589</v>
      </c>
      <c r="BX19" s="54">
        <v>25000</v>
      </c>
      <c r="BY19" s="54">
        <v>11600</v>
      </c>
      <c r="BZ19" s="54">
        <v>1200</v>
      </c>
      <c r="CA19" s="54">
        <v>0</v>
      </c>
      <c r="CB19" s="54">
        <v>0</v>
      </c>
      <c r="CC19" s="54">
        <v>37800</v>
      </c>
      <c r="CD19" s="54">
        <v>0</v>
      </c>
      <c r="CE19" s="54">
        <v>0</v>
      </c>
      <c r="CF19" s="54">
        <v>0</v>
      </c>
      <c r="CG19" s="54">
        <v>0</v>
      </c>
      <c r="CH19" s="54">
        <v>0</v>
      </c>
      <c r="CI19" s="54">
        <v>0</v>
      </c>
      <c r="CJ19" s="54">
        <v>0</v>
      </c>
      <c r="CK19" s="54">
        <v>0</v>
      </c>
      <c r="CL19" s="54">
        <v>0</v>
      </c>
      <c r="CM19" s="54">
        <v>0</v>
      </c>
      <c r="CN19" s="54">
        <v>7334514</v>
      </c>
      <c r="CO19" s="54">
        <v>7334514</v>
      </c>
      <c r="CP19" s="54">
        <v>491792</v>
      </c>
      <c r="CQ19" s="54">
        <v>163183</v>
      </c>
      <c r="CR19" s="54">
        <v>155746</v>
      </c>
      <c r="CS19" s="54">
        <v>225863</v>
      </c>
      <c r="CT19" s="54">
        <v>819448</v>
      </c>
      <c r="CU19" s="54">
        <v>1856032</v>
      </c>
      <c r="CV19" s="54">
        <v>0</v>
      </c>
      <c r="CW19" s="54">
        <v>6000</v>
      </c>
      <c r="CX19" s="54">
        <v>6000</v>
      </c>
      <c r="CY19" s="54">
        <v>28560</v>
      </c>
      <c r="CZ19" s="54">
        <v>3619160</v>
      </c>
      <c r="DA19" s="54">
        <v>3659720</v>
      </c>
      <c r="DB19" s="54">
        <v>0</v>
      </c>
      <c r="DC19" s="54">
        <v>0</v>
      </c>
      <c r="DD19" s="54">
        <v>0</v>
      </c>
      <c r="DE19" s="54">
        <v>0</v>
      </c>
      <c r="DF19" s="54">
        <v>0</v>
      </c>
      <c r="DG19" s="54">
        <v>0</v>
      </c>
      <c r="DH19" s="54">
        <v>283042</v>
      </c>
      <c r="DI19" s="54">
        <v>49694</v>
      </c>
      <c r="DJ19" s="54">
        <v>16504</v>
      </c>
      <c r="DK19" s="54">
        <v>29317</v>
      </c>
      <c r="DL19" s="54">
        <v>18432</v>
      </c>
      <c r="DM19" s="54">
        <v>396989</v>
      </c>
      <c r="DN19" s="54">
        <v>0</v>
      </c>
      <c r="DO19" s="54">
        <v>0</v>
      </c>
      <c r="DP19" s="54">
        <v>0</v>
      </c>
      <c r="DQ19" s="54">
        <v>0</v>
      </c>
      <c r="DR19" s="54">
        <v>2926681</v>
      </c>
      <c r="DS19" s="54">
        <v>2926681</v>
      </c>
      <c r="DT19" s="54">
        <v>87644</v>
      </c>
      <c r="DU19" s="54">
        <v>293909</v>
      </c>
      <c r="DV19" s="54">
        <v>82457</v>
      </c>
      <c r="DW19" s="54">
        <v>271025</v>
      </c>
      <c r="DX19" s="54">
        <v>27806</v>
      </c>
      <c r="DY19" s="54">
        <v>762841</v>
      </c>
      <c r="DZ19" s="54">
        <v>19880</v>
      </c>
      <c r="EA19" s="54">
        <v>1050</v>
      </c>
      <c r="EB19" s="54">
        <v>305</v>
      </c>
      <c r="EC19" s="54">
        <v>37265</v>
      </c>
      <c r="ED19" s="54">
        <v>51823</v>
      </c>
      <c r="EE19" s="54">
        <v>110323</v>
      </c>
      <c r="EF19" s="54">
        <v>114130</v>
      </c>
      <c r="EG19" s="54">
        <v>5504</v>
      </c>
      <c r="EH19" s="54">
        <v>8662</v>
      </c>
      <c r="EI19" s="54">
        <v>74775</v>
      </c>
      <c r="EJ19" s="54">
        <v>1026055</v>
      </c>
      <c r="EK19" s="54">
        <v>1229126</v>
      </c>
      <c r="EL19" s="54">
        <v>3670685</v>
      </c>
      <c r="EM19" s="54">
        <v>1117058</v>
      </c>
      <c r="EN19" s="54">
        <v>347451</v>
      </c>
      <c r="EO19" s="54">
        <v>1073837</v>
      </c>
      <c r="EP19" s="54">
        <v>23163752</v>
      </c>
      <c r="EQ19" s="54">
        <v>29372783</v>
      </c>
      <c r="ER19" s="54">
        <v>2752994</v>
      </c>
      <c r="ES19" s="54">
        <v>430373</v>
      </c>
      <c r="ET19" s="54">
        <v>378694</v>
      </c>
      <c r="EU19" s="54">
        <v>2641447</v>
      </c>
      <c r="EV19" s="54">
        <v>24271</v>
      </c>
      <c r="EW19" s="54">
        <v>6227779</v>
      </c>
      <c r="EX19" s="54">
        <v>0</v>
      </c>
      <c r="EY19" s="54">
        <v>159362</v>
      </c>
      <c r="EZ19" s="54">
        <v>4416</v>
      </c>
      <c r="FA19" s="54">
        <v>38690</v>
      </c>
      <c r="FB19" s="54">
        <v>0</v>
      </c>
      <c r="FC19" s="54">
        <v>202468</v>
      </c>
      <c r="FD19" s="54">
        <v>2335730</v>
      </c>
      <c r="FE19" s="54">
        <v>871565</v>
      </c>
      <c r="FF19" s="54">
        <v>367573</v>
      </c>
      <c r="FG19" s="54">
        <v>1335746</v>
      </c>
      <c r="FH19" s="54">
        <v>0</v>
      </c>
      <c r="FI19" s="54">
        <v>4910614</v>
      </c>
      <c r="FJ19" s="54">
        <v>25000</v>
      </c>
      <c r="FK19" s="54">
        <v>11600</v>
      </c>
      <c r="FL19" s="54">
        <v>1200</v>
      </c>
      <c r="FM19" s="54">
        <v>0</v>
      </c>
      <c r="FN19" s="54">
        <v>0</v>
      </c>
      <c r="FO19" s="54">
        <v>37800</v>
      </c>
      <c r="FP19" s="54">
        <v>327699</v>
      </c>
      <c r="FQ19" s="54">
        <v>115627</v>
      </c>
      <c r="FR19" s="54">
        <v>62168</v>
      </c>
      <c r="FS19" s="54">
        <v>54425</v>
      </c>
      <c r="FT19" s="54">
        <v>3091949</v>
      </c>
      <c r="FU19" s="54">
        <v>3651868</v>
      </c>
      <c r="FV19" s="54">
        <v>0</v>
      </c>
      <c r="FW19" s="54">
        <v>0</v>
      </c>
      <c r="FX19" s="54">
        <v>0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D19" s="54">
        <v>0</v>
      </c>
      <c r="GE19" s="54">
        <v>0</v>
      </c>
      <c r="GF19" s="54">
        <v>0</v>
      </c>
      <c r="GG19" s="54">
        <v>0</v>
      </c>
      <c r="GH19" s="54">
        <v>251383</v>
      </c>
      <c r="GI19" s="54">
        <v>122230</v>
      </c>
      <c r="GJ19" s="54">
        <v>71543</v>
      </c>
      <c r="GK19" s="54">
        <v>95522</v>
      </c>
      <c r="GL19" s="54">
        <v>0</v>
      </c>
      <c r="GM19" s="54">
        <v>540678</v>
      </c>
      <c r="GN19" s="54">
        <v>734195</v>
      </c>
      <c r="GO19" s="54">
        <v>179638</v>
      </c>
      <c r="GP19" s="54">
        <v>155165</v>
      </c>
      <c r="GQ19" s="54">
        <v>695194</v>
      </c>
      <c r="GR19" s="54">
        <v>0</v>
      </c>
      <c r="GS19" s="54">
        <v>1764192</v>
      </c>
      <c r="GT19" s="54">
        <v>560056</v>
      </c>
      <c r="GU19" s="54">
        <v>67914</v>
      </c>
      <c r="GV19" s="54">
        <v>56783</v>
      </c>
      <c r="GW19" s="54">
        <v>229597</v>
      </c>
      <c r="GX19" s="54">
        <v>32906</v>
      </c>
      <c r="GY19" s="54">
        <v>947256</v>
      </c>
      <c r="GZ19" s="54">
        <v>851039</v>
      </c>
      <c r="HA19" s="54">
        <v>186377</v>
      </c>
      <c r="HB19" s="54">
        <v>151731</v>
      </c>
      <c r="HC19" s="54">
        <v>113673</v>
      </c>
      <c r="HD19" s="54">
        <v>0</v>
      </c>
      <c r="HE19" s="54">
        <v>1302820</v>
      </c>
      <c r="HF19" s="54">
        <v>105457</v>
      </c>
      <c r="HG19" s="54">
        <v>12927</v>
      </c>
      <c r="HH19" s="54">
        <v>10694</v>
      </c>
      <c r="HI19" s="54">
        <v>43196</v>
      </c>
      <c r="HJ19" s="54">
        <v>1007164</v>
      </c>
      <c r="HK19" s="54">
        <v>1179438</v>
      </c>
      <c r="HL19" s="54">
        <v>63204</v>
      </c>
      <c r="HM19" s="54">
        <v>239771</v>
      </c>
      <c r="HN19" s="54">
        <v>33803</v>
      </c>
      <c r="HO19" s="54">
        <v>132722</v>
      </c>
      <c r="HP19" s="54">
        <v>0</v>
      </c>
      <c r="HQ19" s="54">
        <v>469500</v>
      </c>
      <c r="HR19" s="54">
        <v>28444</v>
      </c>
      <c r="HS19" s="54">
        <v>228</v>
      </c>
      <c r="HT19" s="54">
        <v>499</v>
      </c>
      <c r="HU19" s="54">
        <v>119202</v>
      </c>
      <c r="HV19" s="54">
        <v>503923</v>
      </c>
      <c r="HW19" s="54">
        <v>652296</v>
      </c>
      <c r="HX19" s="54">
        <v>0</v>
      </c>
      <c r="HY19" s="54">
        <v>0</v>
      </c>
      <c r="HZ19" s="54">
        <v>0</v>
      </c>
      <c r="IA19" s="54">
        <v>0</v>
      </c>
      <c r="IB19" s="54">
        <v>56901</v>
      </c>
      <c r="IC19" s="54">
        <v>56901</v>
      </c>
      <c r="ID19" s="54">
        <v>491792</v>
      </c>
      <c r="IE19" s="54">
        <v>163183</v>
      </c>
      <c r="IF19" s="54">
        <v>155746</v>
      </c>
      <c r="IG19" s="54">
        <v>225863</v>
      </c>
      <c r="IH19" s="54">
        <v>819448</v>
      </c>
      <c r="II19" s="54">
        <v>1856032</v>
      </c>
      <c r="IJ19" s="54">
        <v>0</v>
      </c>
      <c r="IK19" s="54">
        <v>0</v>
      </c>
      <c r="IL19" s="54">
        <v>0</v>
      </c>
      <c r="IM19" s="54">
        <v>0</v>
      </c>
      <c r="IN19" s="54">
        <v>394814</v>
      </c>
      <c r="IO19" s="54">
        <v>394814</v>
      </c>
      <c r="IP19" s="54">
        <v>6183</v>
      </c>
      <c r="IQ19" s="54">
        <v>6883</v>
      </c>
      <c r="IR19" s="54">
        <v>1475</v>
      </c>
      <c r="IS19" s="54">
        <v>19810</v>
      </c>
      <c r="IT19" s="54">
        <v>422275</v>
      </c>
      <c r="IU19" s="54">
        <v>456626</v>
      </c>
      <c r="IV19" s="54">
        <v>415255</v>
      </c>
      <c r="IW19" s="54">
        <v>73436</v>
      </c>
      <c r="IX19" s="54">
        <v>52257</v>
      </c>
      <c r="IY19" s="54">
        <v>121910</v>
      </c>
      <c r="IZ19" s="54">
        <v>634562</v>
      </c>
      <c r="JA19" s="54">
        <v>1297420</v>
      </c>
      <c r="JB19" s="54">
        <v>8948431</v>
      </c>
      <c r="JC19" s="54">
        <v>2641114</v>
      </c>
      <c r="JD19" s="54">
        <v>1503747</v>
      </c>
      <c r="JE19" s="54">
        <v>5866997</v>
      </c>
      <c r="JF19" s="54">
        <v>6988213</v>
      </c>
      <c r="JG19" s="54">
        <v>25948502</v>
      </c>
      <c r="JH19" s="54">
        <v>0</v>
      </c>
      <c r="JI19" s="54">
        <v>0</v>
      </c>
      <c r="JJ19" s="54">
        <v>0</v>
      </c>
      <c r="JK19" s="54">
        <v>0</v>
      </c>
      <c r="JL19" s="54">
        <v>0</v>
      </c>
      <c r="JM19" s="54">
        <v>0</v>
      </c>
      <c r="JN19" s="54">
        <v>8948431</v>
      </c>
      <c r="JO19" s="54">
        <v>2641114</v>
      </c>
      <c r="JP19" s="54">
        <v>1503747</v>
      </c>
      <c r="JQ19" s="54">
        <v>5866997</v>
      </c>
      <c r="JR19" s="54">
        <v>6988213</v>
      </c>
      <c r="JS19" s="54">
        <v>25948502</v>
      </c>
      <c r="JT19" s="10"/>
      <c r="JU19" s="5">
        <f t="shared" si="80"/>
        <v>2929003</v>
      </c>
      <c r="JV19" s="26">
        <f t="shared" si="81"/>
        <v>0</v>
      </c>
      <c r="JW19" s="5">
        <f t="shared" si="82"/>
        <v>4938165</v>
      </c>
      <c r="JX19" s="26">
        <f t="shared" si="83"/>
        <v>0</v>
      </c>
      <c r="JY19" s="5">
        <f t="shared" si="84"/>
        <v>221000</v>
      </c>
      <c r="JZ19" s="26">
        <f t="shared" si="85"/>
        <v>0</v>
      </c>
      <c r="KA19" s="5">
        <f t="shared" si="86"/>
        <v>2970589</v>
      </c>
      <c r="KB19" s="26">
        <f t="shared" si="87"/>
        <v>0</v>
      </c>
      <c r="KC19" s="5">
        <f t="shared" si="88"/>
        <v>37800</v>
      </c>
      <c r="KD19" s="26">
        <f t="shared" si="89"/>
        <v>0</v>
      </c>
      <c r="KE19" s="5">
        <f t="shared" si="90"/>
        <v>0</v>
      </c>
      <c r="KF19" s="26">
        <f t="shared" si="91"/>
        <v>0</v>
      </c>
      <c r="KG19" s="5">
        <f t="shared" si="92"/>
        <v>7334514</v>
      </c>
      <c r="KH19" s="26">
        <f t="shared" si="93"/>
        <v>0</v>
      </c>
      <c r="KI19" s="5">
        <f t="shared" si="94"/>
        <v>1856032</v>
      </c>
      <c r="KJ19" s="26">
        <f t="shared" si="95"/>
        <v>0</v>
      </c>
      <c r="KK19" s="5">
        <f t="shared" si="96"/>
        <v>3659720</v>
      </c>
      <c r="KL19" s="26">
        <f t="shared" si="97"/>
        <v>0</v>
      </c>
      <c r="KM19" s="5">
        <f t="shared" si="98"/>
        <v>0</v>
      </c>
      <c r="KN19" s="26">
        <f t="shared" si="99"/>
        <v>0</v>
      </c>
      <c r="KO19" s="5">
        <f t="shared" si="100"/>
        <v>396989</v>
      </c>
      <c r="KP19" s="26">
        <f t="shared" si="101"/>
        <v>0</v>
      </c>
      <c r="KQ19" s="5">
        <f t="shared" si="102"/>
        <v>2926681</v>
      </c>
      <c r="KR19" s="26">
        <f t="shared" si="103"/>
        <v>0</v>
      </c>
      <c r="KS19" s="5">
        <f t="shared" si="104"/>
        <v>762841</v>
      </c>
      <c r="KT19" s="26">
        <f t="shared" si="105"/>
        <v>0</v>
      </c>
      <c r="KU19" s="5">
        <f t="shared" si="106"/>
        <v>110323</v>
      </c>
      <c r="KV19" s="26">
        <f t="shared" si="107"/>
        <v>0</v>
      </c>
      <c r="KW19" s="5">
        <f t="shared" si="108"/>
        <v>1229126</v>
      </c>
      <c r="KX19" s="26">
        <f t="shared" si="109"/>
        <v>0</v>
      </c>
      <c r="KY19" s="5">
        <f t="shared" si="110"/>
        <v>29372783</v>
      </c>
      <c r="KZ19" s="26">
        <f t="shared" si="111"/>
        <v>0</v>
      </c>
      <c r="LA19" s="5">
        <f t="shared" si="112"/>
        <v>6227779</v>
      </c>
      <c r="LB19" s="26">
        <f t="shared" si="113"/>
        <v>0</v>
      </c>
      <c r="LC19" s="5">
        <f t="shared" si="114"/>
        <v>202468</v>
      </c>
      <c r="LD19" s="26">
        <f t="shared" si="115"/>
        <v>0</v>
      </c>
      <c r="LE19" s="5">
        <f t="shared" si="116"/>
        <v>4910614</v>
      </c>
      <c r="LF19" s="26">
        <f t="shared" si="117"/>
        <v>0</v>
      </c>
      <c r="LG19" s="5">
        <f t="shared" si="118"/>
        <v>37800</v>
      </c>
      <c r="LH19" s="26">
        <f t="shared" si="119"/>
        <v>0</v>
      </c>
      <c r="LI19" s="5">
        <f t="shared" si="120"/>
        <v>3651868</v>
      </c>
      <c r="LJ19" s="26">
        <f t="shared" si="121"/>
        <v>0</v>
      </c>
      <c r="LK19" s="5">
        <f t="shared" si="122"/>
        <v>0</v>
      </c>
      <c r="LL19" s="26">
        <f t="shared" si="123"/>
        <v>0</v>
      </c>
      <c r="LM19" s="5">
        <f t="shared" si="124"/>
        <v>0</v>
      </c>
      <c r="LN19" s="26">
        <f t="shared" si="125"/>
        <v>0</v>
      </c>
      <c r="LO19" s="5">
        <f t="shared" si="126"/>
        <v>540678</v>
      </c>
      <c r="LP19" s="26">
        <f t="shared" si="127"/>
        <v>0</v>
      </c>
      <c r="LQ19" s="5">
        <f t="shared" si="128"/>
        <v>1764192</v>
      </c>
      <c r="LR19" s="26">
        <f t="shared" si="129"/>
        <v>0</v>
      </c>
      <c r="LS19" s="5">
        <f t="shared" si="130"/>
        <v>947256</v>
      </c>
      <c r="LT19" s="26">
        <f t="shared" si="131"/>
        <v>0</v>
      </c>
      <c r="LU19" s="5">
        <f t="shared" si="132"/>
        <v>1302820</v>
      </c>
      <c r="LV19" s="26">
        <f t="shared" si="133"/>
        <v>0</v>
      </c>
      <c r="LW19" s="5">
        <f t="shared" si="134"/>
        <v>1179438</v>
      </c>
      <c r="LX19" s="26">
        <f t="shared" si="135"/>
        <v>0</v>
      </c>
      <c r="LY19" s="5">
        <f t="shared" si="136"/>
        <v>469500</v>
      </c>
      <c r="LZ19" s="26">
        <f t="shared" si="137"/>
        <v>0</v>
      </c>
      <c r="MA19" s="5">
        <f t="shared" si="138"/>
        <v>652296</v>
      </c>
      <c r="MB19" s="26">
        <f t="shared" si="139"/>
        <v>0</v>
      </c>
      <c r="MC19" s="5">
        <f t="shared" si="140"/>
        <v>56901</v>
      </c>
      <c r="MD19" s="26">
        <f t="shared" si="141"/>
        <v>0</v>
      </c>
      <c r="ME19" s="5">
        <f t="shared" si="142"/>
        <v>1856032</v>
      </c>
      <c r="MF19" s="26">
        <f t="shared" si="143"/>
        <v>0</v>
      </c>
      <c r="MG19" s="5">
        <f t="shared" si="144"/>
        <v>394814</v>
      </c>
      <c r="MH19" s="26">
        <f t="shared" si="145"/>
        <v>0</v>
      </c>
      <c r="MI19" s="5">
        <f t="shared" si="146"/>
        <v>456626</v>
      </c>
      <c r="MJ19" s="26">
        <f t="shared" si="147"/>
        <v>0</v>
      </c>
      <c r="MK19" s="5">
        <f t="shared" si="148"/>
        <v>1297420</v>
      </c>
      <c r="ML19" s="26">
        <f t="shared" si="149"/>
        <v>0</v>
      </c>
      <c r="MM19" s="5">
        <f t="shared" si="150"/>
        <v>25948502</v>
      </c>
      <c r="MN19" s="26">
        <f t="shared" si="151"/>
        <v>0</v>
      </c>
      <c r="MO19" s="5">
        <f t="shared" si="152"/>
        <v>0</v>
      </c>
      <c r="MP19" s="26">
        <f t="shared" si="153"/>
        <v>0</v>
      </c>
      <c r="MQ19" s="5">
        <f t="shared" si="154"/>
        <v>25948502</v>
      </c>
      <c r="MR19" s="26">
        <f t="shared" si="155"/>
        <v>0</v>
      </c>
      <c r="MT19" s="5">
        <f t="shared" si="76"/>
        <v>0</v>
      </c>
      <c r="MV19" s="4">
        <f t="shared" si="77"/>
        <v>0</v>
      </c>
    </row>
    <row r="20" spans="1:360" x14ac:dyDescent="0.15">
      <c r="A20" s="155" t="s">
        <v>281</v>
      </c>
      <c r="B20" s="25" t="s">
        <v>407</v>
      </c>
      <c r="C20" s="105">
        <v>129020</v>
      </c>
      <c r="D20" s="105">
        <v>2011</v>
      </c>
      <c r="E20" s="106">
        <v>1</v>
      </c>
      <c r="F20" s="106">
        <v>7</v>
      </c>
      <c r="G20" s="107">
        <v>8569</v>
      </c>
      <c r="H20" s="107">
        <v>8401</v>
      </c>
      <c r="I20" s="108">
        <v>976398460</v>
      </c>
      <c r="J20" s="114"/>
      <c r="K20" s="114">
        <v>3136895</v>
      </c>
      <c r="L20" s="114"/>
      <c r="M20" s="114">
        <v>131203402</v>
      </c>
      <c r="N20" s="114"/>
      <c r="O20" s="114">
        <v>26306405</v>
      </c>
      <c r="P20" s="114"/>
      <c r="Q20" s="114">
        <v>1058650212</v>
      </c>
      <c r="R20" s="108"/>
      <c r="S20" s="114">
        <v>802141261</v>
      </c>
      <c r="T20" s="114"/>
      <c r="U20" s="114">
        <v>21198</v>
      </c>
      <c r="V20" s="114"/>
      <c r="W20" s="114">
        <v>37662</v>
      </c>
      <c r="X20" s="108"/>
      <c r="Y20" s="114">
        <v>25104</v>
      </c>
      <c r="Z20" s="114"/>
      <c r="AA20" s="114">
        <v>41958</v>
      </c>
      <c r="AB20" s="114"/>
      <c r="AC20" s="129">
        <v>11</v>
      </c>
      <c r="AD20" s="129">
        <v>13</v>
      </c>
      <c r="AE20" s="129">
        <v>0</v>
      </c>
      <c r="AF20" s="42">
        <v>5353583</v>
      </c>
      <c r="AG20" s="42">
        <v>4675451</v>
      </c>
      <c r="AH20" s="42">
        <v>515668</v>
      </c>
      <c r="AI20" s="42">
        <v>285415</v>
      </c>
      <c r="AJ20" s="42">
        <v>675955</v>
      </c>
      <c r="AK20" s="36">
        <v>8</v>
      </c>
      <c r="AL20" s="42">
        <v>600849</v>
      </c>
      <c r="AM20" s="36">
        <v>9</v>
      </c>
      <c r="AN20" s="42">
        <v>303663</v>
      </c>
      <c r="AO20" s="36">
        <v>10</v>
      </c>
      <c r="AP20" s="42">
        <v>276057</v>
      </c>
      <c r="AQ20" s="43">
        <v>11</v>
      </c>
      <c r="AR20" s="42">
        <v>154572</v>
      </c>
      <c r="AS20" s="43">
        <v>24</v>
      </c>
      <c r="AT20" s="42">
        <v>132490</v>
      </c>
      <c r="AU20" s="43">
        <v>28</v>
      </c>
      <c r="AV20" s="42">
        <v>84047</v>
      </c>
      <c r="AW20" s="43">
        <v>20</v>
      </c>
      <c r="AX20" s="42">
        <v>70039</v>
      </c>
      <c r="AY20" s="43">
        <v>24</v>
      </c>
      <c r="AZ20" s="52">
        <v>4911501</v>
      </c>
      <c r="BA20" s="52">
        <v>3597294</v>
      </c>
      <c r="BB20" s="52">
        <v>2054606</v>
      </c>
      <c r="BC20" s="52">
        <v>64770</v>
      </c>
      <c r="BD20" s="52">
        <v>0</v>
      </c>
      <c r="BE20" s="52">
        <v>10628171</v>
      </c>
      <c r="BF20" s="52">
        <v>0</v>
      </c>
      <c r="BG20" s="52">
        <v>0</v>
      </c>
      <c r="BH20" s="52">
        <v>0</v>
      </c>
      <c r="BI20" s="52">
        <v>0</v>
      </c>
      <c r="BJ20" s="52">
        <v>8744642</v>
      </c>
      <c r="BK20" s="52">
        <v>8744642</v>
      </c>
      <c r="BL20" s="52">
        <v>1310000</v>
      </c>
      <c r="BM20" s="52">
        <v>31292</v>
      </c>
      <c r="BN20" s="52">
        <v>0</v>
      </c>
      <c r="BO20" s="52">
        <v>12750</v>
      </c>
      <c r="BP20" s="52">
        <v>0</v>
      </c>
      <c r="BQ20" s="52">
        <v>1354042</v>
      </c>
      <c r="BR20" s="52">
        <v>4525215</v>
      </c>
      <c r="BS20" s="52">
        <v>138285</v>
      </c>
      <c r="BT20" s="52">
        <v>345000</v>
      </c>
      <c r="BU20" s="52">
        <v>1090591</v>
      </c>
      <c r="BV20" s="52">
        <v>3487709</v>
      </c>
      <c r="BW20" s="52">
        <v>9586800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52">
        <v>0</v>
      </c>
      <c r="CG20" s="52">
        <v>0</v>
      </c>
      <c r="CH20" s="52">
        <v>0</v>
      </c>
      <c r="CI20" s="52">
        <v>0</v>
      </c>
      <c r="CJ20" s="52">
        <v>0</v>
      </c>
      <c r="CK20" s="52">
        <v>0</v>
      </c>
      <c r="CL20" s="52">
        <v>2998</v>
      </c>
      <c r="CM20" s="52">
        <v>1632</v>
      </c>
      <c r="CN20" s="52">
        <v>6280451</v>
      </c>
      <c r="CO20" s="52">
        <v>6285081</v>
      </c>
      <c r="CP20" s="52">
        <v>0</v>
      </c>
      <c r="CQ20" s="52">
        <v>0</v>
      </c>
      <c r="CR20" s="52">
        <v>0</v>
      </c>
      <c r="CS20" s="52">
        <v>0</v>
      </c>
      <c r="CT20" s="52">
        <v>0</v>
      </c>
      <c r="CU20" s="52">
        <v>0</v>
      </c>
      <c r="CV20" s="52">
        <v>6323200</v>
      </c>
      <c r="CW20" s="52">
        <v>3761435</v>
      </c>
      <c r="CX20" s="52">
        <v>907288</v>
      </c>
      <c r="CY20" s="52">
        <v>144410</v>
      </c>
      <c r="CZ20" s="52">
        <v>1670988</v>
      </c>
      <c r="DA20" s="52">
        <v>12807321</v>
      </c>
      <c r="DB20" s="52">
        <v>40285</v>
      </c>
      <c r="DC20" s="52">
        <v>344161</v>
      </c>
      <c r="DD20" s="52">
        <v>1301271</v>
      </c>
      <c r="DE20" s="52">
        <v>5000</v>
      </c>
      <c r="DF20" s="52">
        <v>0</v>
      </c>
      <c r="DG20" s="52">
        <v>1690717</v>
      </c>
      <c r="DH20" s="52">
        <v>41608</v>
      </c>
      <c r="DI20" s="52">
        <v>35280</v>
      </c>
      <c r="DJ20" s="52">
        <v>59101</v>
      </c>
      <c r="DK20" s="52">
        <v>22938</v>
      </c>
      <c r="DL20" s="52">
        <v>4579</v>
      </c>
      <c r="DM20" s="52">
        <v>163506</v>
      </c>
      <c r="DN20" s="52">
        <v>0</v>
      </c>
      <c r="DO20" s="52">
        <v>0</v>
      </c>
      <c r="DP20" s="52">
        <v>0</v>
      </c>
      <c r="DQ20" s="52">
        <v>0</v>
      </c>
      <c r="DR20" s="52">
        <v>10145485</v>
      </c>
      <c r="DS20" s="52">
        <v>10145485</v>
      </c>
      <c r="DT20" s="52">
        <v>5082</v>
      </c>
      <c r="DU20" s="52">
        <v>13230</v>
      </c>
      <c r="DV20" s="52">
        <v>0</v>
      </c>
      <c r="DW20" s="52">
        <v>17381</v>
      </c>
      <c r="DX20" s="52">
        <v>0</v>
      </c>
      <c r="DY20" s="52">
        <v>35693</v>
      </c>
      <c r="DZ20" s="52">
        <v>42</v>
      </c>
      <c r="EA20" s="52">
        <v>3249</v>
      </c>
      <c r="EB20" s="52">
        <v>0</v>
      </c>
      <c r="EC20" s="52">
        <v>59322</v>
      </c>
      <c r="ED20" s="52">
        <v>76839</v>
      </c>
      <c r="EE20" s="52">
        <v>139452</v>
      </c>
      <c r="EF20" s="52">
        <v>417686</v>
      </c>
      <c r="EG20" s="52">
        <v>0</v>
      </c>
      <c r="EH20" s="52">
        <v>210846</v>
      </c>
      <c r="EI20" s="52">
        <v>34156</v>
      </c>
      <c r="EJ20" s="52">
        <v>845742</v>
      </c>
      <c r="EK20" s="52">
        <v>1508430</v>
      </c>
      <c r="EL20" s="52">
        <v>17574619</v>
      </c>
      <c r="EM20" s="52">
        <v>7924226</v>
      </c>
      <c r="EN20" s="52">
        <v>4881110</v>
      </c>
      <c r="EO20" s="52">
        <v>1452950</v>
      </c>
      <c r="EP20" s="52">
        <v>31256435</v>
      </c>
      <c r="EQ20" s="52">
        <v>63089340</v>
      </c>
      <c r="ER20" s="52">
        <v>3400817</v>
      </c>
      <c r="ES20" s="52">
        <v>508745</v>
      </c>
      <c r="ET20" s="52">
        <v>390411</v>
      </c>
      <c r="EU20" s="52">
        <v>5729061</v>
      </c>
      <c r="EV20" s="52">
        <v>339974</v>
      </c>
      <c r="EW20" s="52">
        <v>10369008</v>
      </c>
      <c r="EX20" s="52">
        <v>1210000</v>
      </c>
      <c r="EY20" s="52">
        <v>597000</v>
      </c>
      <c r="EZ20" s="52">
        <v>49500</v>
      </c>
      <c r="FA20" s="52">
        <v>7080</v>
      </c>
      <c r="FB20" s="52">
        <v>0</v>
      </c>
      <c r="FC20" s="52">
        <v>1863580</v>
      </c>
      <c r="FD20" s="52">
        <v>4211338</v>
      </c>
      <c r="FE20" s="52">
        <v>3363144</v>
      </c>
      <c r="FF20" s="52">
        <v>2409676</v>
      </c>
      <c r="FG20" s="52">
        <v>3850817</v>
      </c>
      <c r="FH20" s="52">
        <v>0</v>
      </c>
      <c r="FI20" s="52">
        <v>13834975</v>
      </c>
      <c r="FJ20" s="52">
        <v>0</v>
      </c>
      <c r="FK20" s="52">
        <v>0</v>
      </c>
      <c r="FL20" s="52">
        <v>0</v>
      </c>
      <c r="FM20" s="52">
        <v>0</v>
      </c>
      <c r="FN20" s="52">
        <v>0</v>
      </c>
      <c r="FO20" s="52">
        <v>0</v>
      </c>
      <c r="FP20" s="52">
        <v>512124</v>
      </c>
      <c r="FQ20" s="52">
        <v>247612</v>
      </c>
      <c r="FR20" s="52">
        <v>213819</v>
      </c>
      <c r="FS20" s="52">
        <v>44398</v>
      </c>
      <c r="FT20" s="52">
        <v>9431401</v>
      </c>
      <c r="FU20" s="52">
        <v>10449354</v>
      </c>
      <c r="FV20" s="52">
        <v>0</v>
      </c>
      <c r="FW20" s="52">
        <v>0</v>
      </c>
      <c r="FX20" s="52">
        <v>0</v>
      </c>
      <c r="FY20" s="52">
        <v>0</v>
      </c>
      <c r="FZ20" s="52">
        <v>0</v>
      </c>
      <c r="GA20" s="52">
        <v>0</v>
      </c>
      <c r="GB20" s="52">
        <v>0</v>
      </c>
      <c r="GC20" s="52">
        <v>0</v>
      </c>
      <c r="GD20" s="52">
        <v>0</v>
      </c>
      <c r="GE20" s="52">
        <v>0</v>
      </c>
      <c r="GF20" s="52">
        <v>19827</v>
      </c>
      <c r="GG20" s="52">
        <v>19827</v>
      </c>
      <c r="GH20" s="52">
        <v>263302</v>
      </c>
      <c r="GI20" s="52">
        <v>113384</v>
      </c>
      <c r="GJ20" s="52">
        <v>154463</v>
      </c>
      <c r="GK20" s="52">
        <v>269934</v>
      </c>
      <c r="GL20" s="52">
        <v>19200</v>
      </c>
      <c r="GM20" s="52">
        <v>820283</v>
      </c>
      <c r="GN20" s="52">
        <v>1733765</v>
      </c>
      <c r="GO20" s="52">
        <v>1448837</v>
      </c>
      <c r="GP20" s="52">
        <v>778118</v>
      </c>
      <c r="GQ20" s="52">
        <v>2457693</v>
      </c>
      <c r="GR20" s="52">
        <v>0</v>
      </c>
      <c r="GS20" s="52">
        <v>6418413</v>
      </c>
      <c r="GT20" s="52">
        <v>120391</v>
      </c>
      <c r="GU20" s="52">
        <v>8993</v>
      </c>
      <c r="GV20" s="52">
        <v>6215</v>
      </c>
      <c r="GW20" s="52">
        <v>294038</v>
      </c>
      <c r="GX20" s="52">
        <v>11734</v>
      </c>
      <c r="GY20" s="52">
        <v>441371</v>
      </c>
      <c r="GZ20" s="52">
        <v>2482247</v>
      </c>
      <c r="HA20" s="52">
        <v>1146284</v>
      </c>
      <c r="HB20" s="52">
        <v>1038388</v>
      </c>
      <c r="HC20" s="52">
        <v>459001</v>
      </c>
      <c r="HD20" s="52">
        <v>205417</v>
      </c>
      <c r="HE20" s="52">
        <v>5331337</v>
      </c>
      <c r="HF20" s="52">
        <v>0</v>
      </c>
      <c r="HG20" s="52">
        <v>0</v>
      </c>
      <c r="HH20" s="52">
        <v>0</v>
      </c>
      <c r="HI20" s="52">
        <v>0</v>
      </c>
      <c r="HJ20" s="52">
        <v>3486105</v>
      </c>
      <c r="HK20" s="52">
        <v>3486105</v>
      </c>
      <c r="HL20" s="52">
        <v>0</v>
      </c>
      <c r="HM20" s="52">
        <v>0</v>
      </c>
      <c r="HN20" s="52">
        <v>0</v>
      </c>
      <c r="HO20" s="52">
        <v>0</v>
      </c>
      <c r="HP20" s="52">
        <v>0</v>
      </c>
      <c r="HQ20" s="52">
        <v>0</v>
      </c>
      <c r="HR20" s="52">
        <v>122117</v>
      </c>
      <c r="HS20" s="52">
        <v>14414</v>
      </c>
      <c r="HT20" s="52">
        <v>51073</v>
      </c>
      <c r="HU20" s="52">
        <v>138387</v>
      </c>
      <c r="HV20" s="52">
        <v>1428342</v>
      </c>
      <c r="HW20" s="52">
        <v>1754333</v>
      </c>
      <c r="HX20" s="52">
        <v>578381</v>
      </c>
      <c r="HY20" s="52">
        <v>88416</v>
      </c>
      <c r="HZ20" s="52">
        <v>45355</v>
      </c>
      <c r="IA20" s="52">
        <v>0</v>
      </c>
      <c r="IB20" s="52">
        <v>806</v>
      </c>
      <c r="IC20" s="52">
        <v>712958</v>
      </c>
      <c r="ID20" s="52">
        <v>0</v>
      </c>
      <c r="IE20" s="52">
        <v>0</v>
      </c>
      <c r="IF20" s="52">
        <v>0</v>
      </c>
      <c r="IG20" s="52">
        <v>0</v>
      </c>
      <c r="IH20" s="52">
        <v>0</v>
      </c>
      <c r="II20" s="52">
        <v>0</v>
      </c>
      <c r="IJ20" s="52">
        <v>0</v>
      </c>
      <c r="IK20" s="52">
        <v>0</v>
      </c>
      <c r="IL20" s="52">
        <v>0</v>
      </c>
      <c r="IM20" s="52">
        <v>0</v>
      </c>
      <c r="IN20" s="52">
        <v>519812</v>
      </c>
      <c r="IO20" s="52">
        <v>519812</v>
      </c>
      <c r="IP20" s="52">
        <v>870</v>
      </c>
      <c r="IQ20" s="52">
        <v>0</v>
      </c>
      <c r="IR20" s="52">
        <v>3260</v>
      </c>
      <c r="IS20" s="52">
        <v>17668</v>
      </c>
      <c r="IT20" s="52">
        <v>44928</v>
      </c>
      <c r="IU20" s="52">
        <v>66726</v>
      </c>
      <c r="IV20" s="52">
        <v>3311563</v>
      </c>
      <c r="IW20" s="52">
        <v>804577</v>
      </c>
      <c r="IX20" s="52">
        <v>104125</v>
      </c>
      <c r="IY20" s="52">
        <v>361872</v>
      </c>
      <c r="IZ20" s="52">
        <v>2323764</v>
      </c>
      <c r="JA20" s="52">
        <v>6905901</v>
      </c>
      <c r="JB20" s="52">
        <v>17946915</v>
      </c>
      <c r="JC20" s="52">
        <v>8341406</v>
      </c>
      <c r="JD20" s="52">
        <v>5244403</v>
      </c>
      <c r="JE20" s="52">
        <v>13629949</v>
      </c>
      <c r="JF20" s="52">
        <v>17831310</v>
      </c>
      <c r="JG20" s="52">
        <v>62993983</v>
      </c>
      <c r="JH20" s="52">
        <v>0</v>
      </c>
      <c r="JI20" s="52">
        <v>0</v>
      </c>
      <c r="JJ20" s="52">
        <v>0</v>
      </c>
      <c r="JK20" s="52">
        <v>0</v>
      </c>
      <c r="JL20" s="52">
        <v>0</v>
      </c>
      <c r="JM20" s="52">
        <v>0</v>
      </c>
      <c r="JN20" s="52">
        <v>17946915</v>
      </c>
      <c r="JO20" s="52">
        <v>8341406</v>
      </c>
      <c r="JP20" s="52">
        <v>5244403</v>
      </c>
      <c r="JQ20" s="52">
        <v>13629949</v>
      </c>
      <c r="JR20" s="52">
        <v>17831310</v>
      </c>
      <c r="JS20" s="52">
        <v>62993983</v>
      </c>
      <c r="JU20" s="5">
        <f t="shared" si="80"/>
        <v>10628171</v>
      </c>
      <c r="JV20" s="26">
        <f t="shared" si="81"/>
        <v>0</v>
      </c>
      <c r="JW20" s="5">
        <f t="shared" si="82"/>
        <v>8744642</v>
      </c>
      <c r="JX20" s="26">
        <f t="shared" si="83"/>
        <v>0</v>
      </c>
      <c r="JY20" s="5">
        <f t="shared" si="84"/>
        <v>1354042</v>
      </c>
      <c r="JZ20" s="26">
        <f t="shared" si="85"/>
        <v>0</v>
      </c>
      <c r="KA20" s="5">
        <f t="shared" si="86"/>
        <v>9586800</v>
      </c>
      <c r="KB20" s="26">
        <f t="shared" si="87"/>
        <v>0</v>
      </c>
      <c r="KC20" s="5">
        <f t="shared" si="88"/>
        <v>0</v>
      </c>
      <c r="KD20" s="26">
        <f t="shared" si="89"/>
        <v>0</v>
      </c>
      <c r="KE20" s="5">
        <f t="shared" si="90"/>
        <v>0</v>
      </c>
      <c r="KF20" s="26">
        <f t="shared" si="91"/>
        <v>0</v>
      </c>
      <c r="KG20" s="5">
        <f t="shared" si="92"/>
        <v>6285081</v>
      </c>
      <c r="KH20" s="26">
        <f t="shared" si="93"/>
        <v>0</v>
      </c>
      <c r="KI20" s="5">
        <f t="shared" si="94"/>
        <v>0</v>
      </c>
      <c r="KJ20" s="26">
        <f t="shared" si="95"/>
        <v>0</v>
      </c>
      <c r="KK20" s="5">
        <f t="shared" si="96"/>
        <v>12807321</v>
      </c>
      <c r="KL20" s="26">
        <f t="shared" si="97"/>
        <v>0</v>
      </c>
      <c r="KM20" s="5">
        <f t="shared" si="98"/>
        <v>1690717</v>
      </c>
      <c r="KN20" s="26">
        <f t="shared" si="99"/>
        <v>0</v>
      </c>
      <c r="KO20" s="5">
        <f t="shared" si="100"/>
        <v>163506</v>
      </c>
      <c r="KP20" s="26">
        <f t="shared" si="101"/>
        <v>0</v>
      </c>
      <c r="KQ20" s="5">
        <f t="shared" si="102"/>
        <v>10145485</v>
      </c>
      <c r="KR20" s="26">
        <f t="shared" si="103"/>
        <v>0</v>
      </c>
      <c r="KS20" s="5">
        <f t="shared" si="104"/>
        <v>35693</v>
      </c>
      <c r="KT20" s="26">
        <f t="shared" si="105"/>
        <v>0</v>
      </c>
      <c r="KU20" s="5">
        <f t="shared" si="106"/>
        <v>139452</v>
      </c>
      <c r="KV20" s="26">
        <f t="shared" si="107"/>
        <v>0</v>
      </c>
      <c r="KW20" s="5">
        <f t="shared" si="108"/>
        <v>1508430</v>
      </c>
      <c r="KX20" s="26">
        <f t="shared" si="109"/>
        <v>0</v>
      </c>
      <c r="KY20" s="5">
        <f t="shared" si="110"/>
        <v>63089340</v>
      </c>
      <c r="KZ20" s="26">
        <f t="shared" si="111"/>
        <v>0</v>
      </c>
      <c r="LA20" s="5">
        <f t="shared" si="112"/>
        <v>10369008</v>
      </c>
      <c r="LB20" s="26">
        <f t="shared" si="113"/>
        <v>0</v>
      </c>
      <c r="LC20" s="5">
        <f t="shared" si="114"/>
        <v>1863580</v>
      </c>
      <c r="LD20" s="26">
        <f t="shared" si="115"/>
        <v>0</v>
      </c>
      <c r="LE20" s="5">
        <f t="shared" si="116"/>
        <v>13834975</v>
      </c>
      <c r="LF20" s="26">
        <f t="shared" si="117"/>
        <v>0</v>
      </c>
      <c r="LG20" s="5">
        <f t="shared" si="118"/>
        <v>0</v>
      </c>
      <c r="LH20" s="26">
        <f t="shared" si="119"/>
        <v>0</v>
      </c>
      <c r="LI20" s="5">
        <f t="shared" si="120"/>
        <v>10449354</v>
      </c>
      <c r="LJ20" s="26">
        <f t="shared" si="121"/>
        <v>0</v>
      </c>
      <c r="LK20" s="5">
        <f t="shared" si="122"/>
        <v>0</v>
      </c>
      <c r="LL20" s="26">
        <f t="shared" si="123"/>
        <v>0</v>
      </c>
      <c r="LM20" s="5">
        <f t="shared" si="124"/>
        <v>19827</v>
      </c>
      <c r="LN20" s="26">
        <f t="shared" si="125"/>
        <v>0</v>
      </c>
      <c r="LO20" s="5">
        <f t="shared" si="126"/>
        <v>820283</v>
      </c>
      <c r="LP20" s="26">
        <f t="shared" si="127"/>
        <v>0</v>
      </c>
      <c r="LQ20" s="5">
        <f t="shared" si="128"/>
        <v>6418413</v>
      </c>
      <c r="LR20" s="26">
        <f t="shared" si="129"/>
        <v>0</v>
      </c>
      <c r="LS20" s="5">
        <f t="shared" si="130"/>
        <v>441371</v>
      </c>
      <c r="LT20" s="26">
        <f t="shared" si="131"/>
        <v>0</v>
      </c>
      <c r="LU20" s="5">
        <f t="shared" si="132"/>
        <v>5331337</v>
      </c>
      <c r="LV20" s="26">
        <f t="shared" si="133"/>
        <v>0</v>
      </c>
      <c r="LW20" s="5">
        <f t="shared" si="134"/>
        <v>3486105</v>
      </c>
      <c r="LX20" s="26">
        <f t="shared" si="135"/>
        <v>0</v>
      </c>
      <c r="LY20" s="5">
        <f t="shared" si="136"/>
        <v>0</v>
      </c>
      <c r="LZ20" s="26">
        <f t="shared" si="137"/>
        <v>0</v>
      </c>
      <c r="MA20" s="5">
        <f t="shared" si="138"/>
        <v>1754333</v>
      </c>
      <c r="MB20" s="26">
        <f t="shared" si="139"/>
        <v>0</v>
      </c>
      <c r="MC20" s="5">
        <f t="shared" si="140"/>
        <v>712958</v>
      </c>
      <c r="MD20" s="26">
        <f t="shared" si="141"/>
        <v>0</v>
      </c>
      <c r="ME20" s="5">
        <f t="shared" si="142"/>
        <v>0</v>
      </c>
      <c r="MF20" s="26">
        <f t="shared" si="143"/>
        <v>0</v>
      </c>
      <c r="MG20" s="5">
        <f t="shared" si="144"/>
        <v>519812</v>
      </c>
      <c r="MH20" s="26">
        <f t="shared" si="145"/>
        <v>0</v>
      </c>
      <c r="MI20" s="5">
        <f t="shared" si="146"/>
        <v>66726</v>
      </c>
      <c r="MJ20" s="26">
        <f t="shared" si="147"/>
        <v>0</v>
      </c>
      <c r="MK20" s="5">
        <f t="shared" si="148"/>
        <v>6905901</v>
      </c>
      <c r="ML20" s="26">
        <f t="shared" si="149"/>
        <v>0</v>
      </c>
      <c r="MM20" s="5">
        <f t="shared" si="150"/>
        <v>62993983</v>
      </c>
      <c r="MN20" s="26">
        <f t="shared" si="151"/>
        <v>0</v>
      </c>
      <c r="MO20" s="5">
        <f t="shared" si="152"/>
        <v>0</v>
      </c>
      <c r="MP20" s="26">
        <f t="shared" si="153"/>
        <v>0</v>
      </c>
      <c r="MQ20" s="5">
        <f t="shared" si="154"/>
        <v>62993983</v>
      </c>
      <c r="MR20" s="26">
        <f t="shared" si="155"/>
        <v>0</v>
      </c>
      <c r="MT20" s="5">
        <f t="shared" si="76"/>
        <v>0</v>
      </c>
      <c r="MV20" s="4">
        <f t="shared" si="77"/>
        <v>0</v>
      </c>
    </row>
    <row r="21" spans="1:360" x14ac:dyDescent="0.15">
      <c r="A21" s="156" t="s">
        <v>428</v>
      </c>
      <c r="B21" s="25" t="s">
        <v>475</v>
      </c>
      <c r="C21" s="113">
        <v>176017</v>
      </c>
      <c r="D21" s="105">
        <v>2011</v>
      </c>
      <c r="E21" s="106">
        <v>1</v>
      </c>
      <c r="F21" s="106">
        <v>6</v>
      </c>
      <c r="G21" s="107">
        <v>8907</v>
      </c>
      <c r="H21" s="107">
        <v>12455</v>
      </c>
      <c r="I21" s="108">
        <v>753669644</v>
      </c>
      <c r="J21" s="108"/>
      <c r="K21" s="108">
        <v>2861014</v>
      </c>
      <c r="L21" s="108"/>
      <c r="M21" s="108">
        <v>14068410</v>
      </c>
      <c r="N21" s="108"/>
      <c r="O21" s="108">
        <v>48500000</v>
      </c>
      <c r="P21" s="108"/>
      <c r="Q21" s="108">
        <v>169807644</v>
      </c>
      <c r="R21" s="108"/>
      <c r="S21" s="108"/>
      <c r="T21" s="108"/>
      <c r="U21" s="108">
        <v>12706</v>
      </c>
      <c r="V21" s="108"/>
      <c r="W21" s="108">
        <v>23541</v>
      </c>
      <c r="X21" s="108"/>
      <c r="Y21" s="108">
        <v>17984</v>
      </c>
      <c r="Z21" s="108"/>
      <c r="AA21" s="108">
        <v>30739</v>
      </c>
      <c r="AB21" s="108"/>
      <c r="AC21" s="129">
        <v>9</v>
      </c>
      <c r="AD21" s="129">
        <v>10</v>
      </c>
      <c r="AE21" s="129">
        <v>0</v>
      </c>
      <c r="AF21" s="26">
        <v>3171693</v>
      </c>
      <c r="AG21" s="26">
        <v>2142044</v>
      </c>
      <c r="AH21" s="26">
        <v>305146</v>
      </c>
      <c r="AI21" s="26">
        <v>165415</v>
      </c>
      <c r="AJ21" s="26">
        <v>350523.5</v>
      </c>
      <c r="AK21" s="36">
        <v>6</v>
      </c>
      <c r="AL21" s="26">
        <v>300448.71000000002</v>
      </c>
      <c r="AM21" s="36">
        <v>7</v>
      </c>
      <c r="AN21" s="26">
        <v>109158</v>
      </c>
      <c r="AO21" s="36">
        <v>7</v>
      </c>
      <c r="AP21" s="26">
        <v>95513.25</v>
      </c>
      <c r="AQ21" s="36">
        <v>8</v>
      </c>
      <c r="AR21" s="26">
        <v>121420.85</v>
      </c>
      <c r="AS21" s="36">
        <v>20</v>
      </c>
      <c r="AT21" s="26">
        <v>93400.65</v>
      </c>
      <c r="AU21" s="36">
        <v>26</v>
      </c>
      <c r="AV21" s="26">
        <v>53054.74</v>
      </c>
      <c r="AW21" s="36">
        <v>13.5</v>
      </c>
      <c r="AX21" s="26">
        <v>35811.949999999997</v>
      </c>
      <c r="AY21" s="36">
        <v>20</v>
      </c>
      <c r="AZ21" s="54">
        <v>7159287</v>
      </c>
      <c r="BA21" s="54">
        <v>482585</v>
      </c>
      <c r="BB21" s="54">
        <v>5670</v>
      </c>
      <c r="BC21" s="54">
        <v>363123</v>
      </c>
      <c r="BD21" s="54">
        <v>0</v>
      </c>
      <c r="BE21" s="54">
        <v>8010665</v>
      </c>
      <c r="BF21" s="54">
        <v>783151</v>
      </c>
      <c r="BG21" s="54">
        <v>1678180</v>
      </c>
      <c r="BH21" s="54">
        <v>1678180</v>
      </c>
      <c r="BI21" s="54">
        <v>7048355</v>
      </c>
      <c r="BJ21" s="54">
        <v>0</v>
      </c>
      <c r="BK21" s="54">
        <v>11187866</v>
      </c>
      <c r="BL21" s="54">
        <v>500000</v>
      </c>
      <c r="BM21" s="54">
        <v>0</v>
      </c>
      <c r="BN21" s="54">
        <v>14000</v>
      </c>
      <c r="BO21" s="54">
        <v>1500</v>
      </c>
      <c r="BP21" s="54">
        <v>0</v>
      </c>
      <c r="BQ21" s="54">
        <v>515500</v>
      </c>
      <c r="BR21" s="54">
        <v>1544112</v>
      </c>
      <c r="BS21" s="54">
        <v>285493</v>
      </c>
      <c r="BT21" s="54">
        <v>193326</v>
      </c>
      <c r="BU21" s="54">
        <v>2277069</v>
      </c>
      <c r="BV21" s="54">
        <v>600366</v>
      </c>
      <c r="BW21" s="54">
        <v>4900366</v>
      </c>
      <c r="BX21" s="54">
        <v>0</v>
      </c>
      <c r="BY21" s="54">
        <v>0</v>
      </c>
      <c r="BZ21" s="54">
        <v>0</v>
      </c>
      <c r="CA21" s="54">
        <v>0</v>
      </c>
      <c r="CB21" s="54">
        <v>0</v>
      </c>
      <c r="CC21" s="54">
        <v>0</v>
      </c>
      <c r="CD21" s="54">
        <v>0</v>
      </c>
      <c r="CE21" s="54">
        <v>0</v>
      </c>
      <c r="CF21" s="54">
        <v>0</v>
      </c>
      <c r="CG21" s="54">
        <v>0</v>
      </c>
      <c r="CH21" s="54">
        <v>910454</v>
      </c>
      <c r="CI21" s="54">
        <v>910454</v>
      </c>
      <c r="CJ21" s="54">
        <v>0</v>
      </c>
      <c r="CK21" s="54">
        <v>0</v>
      </c>
      <c r="CL21" s="54">
        <v>0</v>
      </c>
      <c r="CM21" s="54">
        <v>0</v>
      </c>
      <c r="CN21" s="54">
        <v>370934</v>
      </c>
      <c r="CO21" s="54">
        <v>370934</v>
      </c>
      <c r="CP21" s="54">
        <v>0</v>
      </c>
      <c r="CQ21" s="54">
        <v>0</v>
      </c>
      <c r="CR21" s="54">
        <v>0</v>
      </c>
      <c r="CS21" s="54">
        <v>0</v>
      </c>
      <c r="CT21" s="54">
        <v>1046316</v>
      </c>
      <c r="CU21" s="54">
        <v>1046316</v>
      </c>
      <c r="CV21" s="54">
        <v>306525</v>
      </c>
      <c r="CW21" s="54">
        <v>0</v>
      </c>
      <c r="CX21" s="54">
        <v>0</v>
      </c>
      <c r="CY21" s="54">
        <v>10316</v>
      </c>
      <c r="CZ21" s="54">
        <v>3619909</v>
      </c>
      <c r="DA21" s="54">
        <v>3936750</v>
      </c>
      <c r="DB21" s="54">
        <v>0</v>
      </c>
      <c r="DC21" s="54">
        <v>0</v>
      </c>
      <c r="DD21" s="54">
        <v>0</v>
      </c>
      <c r="DE21" s="54">
        <v>0</v>
      </c>
      <c r="DF21" s="54">
        <v>0</v>
      </c>
      <c r="DG21" s="54">
        <v>0</v>
      </c>
      <c r="DH21" s="54">
        <v>306896</v>
      </c>
      <c r="DI21" s="54">
        <v>87684</v>
      </c>
      <c r="DJ21" s="54">
        <v>0</v>
      </c>
      <c r="DK21" s="54">
        <v>43842</v>
      </c>
      <c r="DL21" s="54">
        <v>492678</v>
      </c>
      <c r="DM21" s="54">
        <v>931100</v>
      </c>
      <c r="DN21" s="54">
        <v>155000</v>
      </c>
      <c r="DO21" s="54">
        <v>31343</v>
      </c>
      <c r="DP21" s="54">
        <v>12600</v>
      </c>
      <c r="DQ21" s="54">
        <v>71595</v>
      </c>
      <c r="DR21" s="54">
        <v>992472</v>
      </c>
      <c r="DS21" s="54">
        <v>1263010</v>
      </c>
      <c r="DT21" s="54">
        <v>102199</v>
      </c>
      <c r="DU21" s="54">
        <v>76844</v>
      </c>
      <c r="DV21" s="54">
        <v>48273</v>
      </c>
      <c r="DW21" s="54">
        <v>215561</v>
      </c>
      <c r="DX21" s="54">
        <v>750</v>
      </c>
      <c r="DY21" s="54">
        <v>443627</v>
      </c>
      <c r="DZ21" s="54">
        <v>0</v>
      </c>
      <c r="EA21" s="54">
        <v>0</v>
      </c>
      <c r="EB21" s="54">
        <v>0</v>
      </c>
      <c r="EC21" s="54">
        <v>0</v>
      </c>
      <c r="ED21" s="54">
        <v>128053</v>
      </c>
      <c r="EE21" s="54">
        <v>128053</v>
      </c>
      <c r="EF21" s="54">
        <v>58880</v>
      </c>
      <c r="EG21" s="54">
        <v>0</v>
      </c>
      <c r="EH21" s="54">
        <v>0</v>
      </c>
      <c r="EI21" s="54">
        <v>48027</v>
      </c>
      <c r="EJ21" s="54">
        <v>297321</v>
      </c>
      <c r="EK21" s="54">
        <v>404228</v>
      </c>
      <c r="EL21" s="54">
        <v>10916050</v>
      </c>
      <c r="EM21" s="54">
        <v>2642129</v>
      </c>
      <c r="EN21" s="54">
        <v>1952049</v>
      </c>
      <c r="EO21" s="54">
        <v>10079388</v>
      </c>
      <c r="EP21" s="62">
        <v>8459253</v>
      </c>
      <c r="EQ21" s="54">
        <v>34048869</v>
      </c>
      <c r="ER21" s="54">
        <v>1908140</v>
      </c>
      <c r="ES21" s="54">
        <v>352800</v>
      </c>
      <c r="ET21" s="54">
        <v>238903</v>
      </c>
      <c r="EU21" s="54">
        <v>2813894</v>
      </c>
      <c r="EV21" s="54">
        <v>509570</v>
      </c>
      <c r="EW21" s="54">
        <v>5823307</v>
      </c>
      <c r="EX21" s="54">
        <v>350000</v>
      </c>
      <c r="EY21" s="54">
        <v>81000</v>
      </c>
      <c r="EZ21" s="54">
        <v>4500</v>
      </c>
      <c r="FA21" s="54">
        <v>35750</v>
      </c>
      <c r="FB21" s="54">
        <v>0</v>
      </c>
      <c r="FC21" s="54">
        <v>471250</v>
      </c>
      <c r="FD21" s="54">
        <v>2590065</v>
      </c>
      <c r="FE21" s="54">
        <v>1115117</v>
      </c>
      <c r="FF21" s="54">
        <v>515018</v>
      </c>
      <c r="FG21" s="54">
        <v>1791703</v>
      </c>
      <c r="FH21" s="54">
        <v>0</v>
      </c>
      <c r="FI21" s="54">
        <v>6011903</v>
      </c>
      <c r="FJ21" s="54">
        <v>0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P21" s="54">
        <v>615904</v>
      </c>
      <c r="FQ21" s="54">
        <v>181204</v>
      </c>
      <c r="FR21" s="54">
        <v>111188</v>
      </c>
      <c r="FS21" s="54">
        <v>214392</v>
      </c>
      <c r="FT21" s="54">
        <v>5484841</v>
      </c>
      <c r="FU21" s="54">
        <v>6607529</v>
      </c>
      <c r="FV21" s="54">
        <v>0</v>
      </c>
      <c r="FW21" s="54">
        <v>0</v>
      </c>
      <c r="FX21" s="54">
        <v>0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D21" s="54">
        <v>0</v>
      </c>
      <c r="GE21" s="54">
        <v>0</v>
      </c>
      <c r="GF21" s="54">
        <v>0</v>
      </c>
      <c r="GG21" s="54">
        <v>0</v>
      </c>
      <c r="GH21" s="54">
        <v>135370</v>
      </c>
      <c r="GI21" s="54">
        <v>106339</v>
      </c>
      <c r="GJ21" s="54">
        <v>71942</v>
      </c>
      <c r="GK21" s="54">
        <v>156910</v>
      </c>
      <c r="GL21" s="54">
        <v>0</v>
      </c>
      <c r="GM21" s="54">
        <v>470561</v>
      </c>
      <c r="GN21" s="54">
        <v>1504199</v>
      </c>
      <c r="GO21" s="54">
        <v>349882</v>
      </c>
      <c r="GP21" s="54">
        <v>336091</v>
      </c>
      <c r="GQ21" s="54">
        <v>1116878</v>
      </c>
      <c r="GR21" s="54">
        <v>257715</v>
      </c>
      <c r="GS21" s="54">
        <v>3564765</v>
      </c>
      <c r="GT21" s="54">
        <v>493408</v>
      </c>
      <c r="GU21" s="54">
        <v>78301</v>
      </c>
      <c r="GV21" s="54">
        <v>60157</v>
      </c>
      <c r="GW21" s="54">
        <v>454851</v>
      </c>
      <c r="GX21" s="54">
        <v>304094</v>
      </c>
      <c r="GY21" s="54">
        <v>1390811</v>
      </c>
      <c r="GZ21" s="54">
        <v>749256</v>
      </c>
      <c r="HA21" s="54">
        <v>164041</v>
      </c>
      <c r="HB21" s="54">
        <v>75241</v>
      </c>
      <c r="HC21" s="54">
        <v>172993</v>
      </c>
      <c r="HD21" s="54">
        <v>0</v>
      </c>
      <c r="HE21" s="54">
        <v>1161531</v>
      </c>
      <c r="HF21" s="54">
        <v>5105</v>
      </c>
      <c r="HG21" s="54">
        <v>702</v>
      </c>
      <c r="HH21" s="54">
        <v>2310</v>
      </c>
      <c r="HI21" s="54">
        <v>2476</v>
      </c>
      <c r="HJ21" s="54">
        <v>251107</v>
      </c>
      <c r="HK21" s="54">
        <v>261700</v>
      </c>
      <c r="HL21" s="54">
        <v>78458</v>
      </c>
      <c r="HM21" s="54">
        <v>15448</v>
      </c>
      <c r="HN21" s="54">
        <v>31392</v>
      </c>
      <c r="HO21" s="54">
        <v>49308</v>
      </c>
      <c r="HP21" s="54">
        <v>325</v>
      </c>
      <c r="HQ21" s="54">
        <v>174931</v>
      </c>
      <c r="HR21" s="54">
        <v>339578</v>
      </c>
      <c r="HS21" s="54">
        <v>6228</v>
      </c>
      <c r="HT21" s="54">
        <v>6887</v>
      </c>
      <c r="HU21" s="54">
        <v>129190</v>
      </c>
      <c r="HV21" s="54">
        <v>1763316</v>
      </c>
      <c r="HW21" s="54">
        <v>2245199</v>
      </c>
      <c r="HX21" s="54">
        <v>0</v>
      </c>
      <c r="HY21" s="54">
        <v>0</v>
      </c>
      <c r="HZ21" s="54">
        <v>0</v>
      </c>
      <c r="IA21" s="54">
        <v>0</v>
      </c>
      <c r="IB21" s="54">
        <v>24891</v>
      </c>
      <c r="IC21" s="54">
        <v>24891</v>
      </c>
      <c r="ID21" s="54">
        <v>0</v>
      </c>
      <c r="IE21" s="54">
        <v>0</v>
      </c>
      <c r="IF21" s="54">
        <v>0</v>
      </c>
      <c r="IG21" s="54">
        <v>0</v>
      </c>
      <c r="IH21" s="54">
        <v>1046316</v>
      </c>
      <c r="II21" s="54">
        <v>1046316</v>
      </c>
      <c r="IJ21" s="54">
        <v>0</v>
      </c>
      <c r="IK21" s="54">
        <v>0</v>
      </c>
      <c r="IL21" s="54">
        <v>0</v>
      </c>
      <c r="IM21" s="54">
        <v>0</v>
      </c>
      <c r="IN21" s="54">
        <v>389770</v>
      </c>
      <c r="IO21" s="54">
        <v>389770</v>
      </c>
      <c r="IP21" s="54">
        <v>1820</v>
      </c>
      <c r="IQ21" s="54">
        <v>2979</v>
      </c>
      <c r="IR21" s="54">
        <v>3309</v>
      </c>
      <c r="IS21" s="54">
        <v>43904</v>
      </c>
      <c r="IT21" s="54">
        <v>5943</v>
      </c>
      <c r="IU21" s="54">
        <v>57955</v>
      </c>
      <c r="IV21" s="54">
        <v>363547</v>
      </c>
      <c r="IW21" s="54">
        <v>69426</v>
      </c>
      <c r="IX21" s="54">
        <v>73948</v>
      </c>
      <c r="IY21" s="54">
        <v>166876</v>
      </c>
      <c r="IZ21" s="54">
        <v>1844745</v>
      </c>
      <c r="JA21" s="54">
        <v>2518542</v>
      </c>
      <c r="JB21" s="54">
        <v>9134850</v>
      </c>
      <c r="JC21" s="54">
        <v>2523467</v>
      </c>
      <c r="JD21" s="54">
        <v>1530886</v>
      </c>
      <c r="JE21" s="54">
        <v>7149125</v>
      </c>
      <c r="JF21" s="54">
        <v>11882633</v>
      </c>
      <c r="JG21" s="54">
        <v>32220961</v>
      </c>
      <c r="JH21" s="54">
        <v>0</v>
      </c>
      <c r="JI21" s="54">
        <v>0</v>
      </c>
      <c r="JJ21" s="54">
        <v>0</v>
      </c>
      <c r="JK21" s="54">
        <v>0</v>
      </c>
      <c r="JL21" s="54">
        <v>0</v>
      </c>
      <c r="JM21" s="54">
        <v>0</v>
      </c>
      <c r="JN21" s="54">
        <v>9134850</v>
      </c>
      <c r="JO21" s="54">
        <v>2523467</v>
      </c>
      <c r="JP21" s="54">
        <v>1530886</v>
      </c>
      <c r="JQ21" s="54">
        <v>7149125</v>
      </c>
      <c r="JR21" s="54">
        <v>11882633</v>
      </c>
      <c r="JS21" s="54">
        <v>32220961</v>
      </c>
      <c r="JU21" s="5">
        <f t="shared" si="80"/>
        <v>8010665</v>
      </c>
      <c r="JV21" s="26">
        <f t="shared" si="81"/>
        <v>0</v>
      </c>
      <c r="JW21" s="5">
        <f t="shared" si="82"/>
        <v>11187866</v>
      </c>
      <c r="JX21" s="26">
        <f t="shared" si="83"/>
        <v>0</v>
      </c>
      <c r="JY21" s="5">
        <f t="shared" si="84"/>
        <v>515500</v>
      </c>
      <c r="JZ21" s="26">
        <f t="shared" si="85"/>
        <v>0</v>
      </c>
      <c r="KA21" s="5">
        <f t="shared" si="86"/>
        <v>4900366</v>
      </c>
      <c r="KB21" s="26">
        <f t="shared" si="87"/>
        <v>0</v>
      </c>
      <c r="KC21" s="5">
        <f t="shared" si="88"/>
        <v>0</v>
      </c>
      <c r="KD21" s="26">
        <f t="shared" si="89"/>
        <v>0</v>
      </c>
      <c r="KE21" s="5">
        <f t="shared" si="90"/>
        <v>910454</v>
      </c>
      <c r="KF21" s="26">
        <f t="shared" si="91"/>
        <v>0</v>
      </c>
      <c r="KG21" s="5">
        <f t="shared" si="92"/>
        <v>370934</v>
      </c>
      <c r="KH21" s="26">
        <f t="shared" si="93"/>
        <v>0</v>
      </c>
      <c r="KI21" s="5">
        <f t="shared" si="94"/>
        <v>1046316</v>
      </c>
      <c r="KJ21" s="26">
        <f t="shared" si="95"/>
        <v>0</v>
      </c>
      <c r="KK21" s="5">
        <f t="shared" si="96"/>
        <v>3936750</v>
      </c>
      <c r="KL21" s="26">
        <f t="shared" si="97"/>
        <v>0</v>
      </c>
      <c r="KM21" s="5">
        <f t="shared" si="98"/>
        <v>0</v>
      </c>
      <c r="KN21" s="26">
        <f t="shared" si="99"/>
        <v>0</v>
      </c>
      <c r="KO21" s="5">
        <f t="shared" si="100"/>
        <v>931100</v>
      </c>
      <c r="KP21" s="26">
        <f t="shared" si="101"/>
        <v>0</v>
      </c>
      <c r="KQ21" s="5">
        <f t="shared" si="102"/>
        <v>1263010</v>
      </c>
      <c r="KR21" s="26">
        <f t="shared" si="103"/>
        <v>0</v>
      </c>
      <c r="KS21" s="5">
        <f t="shared" si="104"/>
        <v>443627</v>
      </c>
      <c r="KT21" s="26">
        <f t="shared" si="105"/>
        <v>0</v>
      </c>
      <c r="KU21" s="5">
        <f t="shared" si="106"/>
        <v>128053</v>
      </c>
      <c r="KV21" s="26">
        <f t="shared" si="107"/>
        <v>0</v>
      </c>
      <c r="KW21" s="5">
        <f t="shared" si="108"/>
        <v>404228</v>
      </c>
      <c r="KX21" s="26">
        <f t="shared" si="109"/>
        <v>0</v>
      </c>
      <c r="KY21" s="5">
        <f t="shared" si="110"/>
        <v>34048869</v>
      </c>
      <c r="KZ21" s="26">
        <f t="shared" si="111"/>
        <v>0</v>
      </c>
      <c r="LA21" s="5">
        <f t="shared" si="112"/>
        <v>5823307</v>
      </c>
      <c r="LB21" s="26">
        <f t="shared" si="113"/>
        <v>0</v>
      </c>
      <c r="LC21" s="5">
        <f t="shared" si="114"/>
        <v>471250</v>
      </c>
      <c r="LD21" s="26">
        <f t="shared" si="115"/>
        <v>0</v>
      </c>
      <c r="LE21" s="5">
        <f t="shared" si="116"/>
        <v>6011903</v>
      </c>
      <c r="LF21" s="26">
        <f t="shared" si="117"/>
        <v>0</v>
      </c>
      <c r="LG21" s="5">
        <f t="shared" si="118"/>
        <v>0</v>
      </c>
      <c r="LH21" s="26">
        <f t="shared" si="119"/>
        <v>0</v>
      </c>
      <c r="LI21" s="5">
        <f t="shared" si="120"/>
        <v>6607529</v>
      </c>
      <c r="LJ21" s="26">
        <f t="shared" si="121"/>
        <v>0</v>
      </c>
      <c r="LK21" s="5">
        <f t="shared" si="122"/>
        <v>0</v>
      </c>
      <c r="LL21" s="26">
        <f t="shared" si="123"/>
        <v>0</v>
      </c>
      <c r="LM21" s="5">
        <f t="shared" si="124"/>
        <v>0</v>
      </c>
      <c r="LN21" s="26">
        <f t="shared" si="125"/>
        <v>0</v>
      </c>
      <c r="LO21" s="5">
        <f t="shared" si="126"/>
        <v>470561</v>
      </c>
      <c r="LP21" s="26">
        <f t="shared" si="127"/>
        <v>0</v>
      </c>
      <c r="LQ21" s="5">
        <f t="shared" si="128"/>
        <v>3564765</v>
      </c>
      <c r="LR21" s="26">
        <f t="shared" si="129"/>
        <v>0</v>
      </c>
      <c r="LS21" s="5">
        <f t="shared" si="130"/>
        <v>1390811</v>
      </c>
      <c r="LT21" s="26">
        <f t="shared" si="131"/>
        <v>0</v>
      </c>
      <c r="LU21" s="5">
        <f t="shared" si="132"/>
        <v>1161531</v>
      </c>
      <c r="LV21" s="26">
        <f t="shared" si="133"/>
        <v>0</v>
      </c>
      <c r="LW21" s="5">
        <f t="shared" si="134"/>
        <v>261700</v>
      </c>
      <c r="LX21" s="26">
        <f t="shared" si="135"/>
        <v>0</v>
      </c>
      <c r="LY21" s="5">
        <f t="shared" si="136"/>
        <v>174931</v>
      </c>
      <c r="LZ21" s="26">
        <f t="shared" si="137"/>
        <v>0</v>
      </c>
      <c r="MA21" s="5">
        <f t="shared" si="138"/>
        <v>2245199</v>
      </c>
      <c r="MB21" s="26">
        <f t="shared" si="139"/>
        <v>0</v>
      </c>
      <c r="MC21" s="5">
        <f t="shared" si="140"/>
        <v>24891</v>
      </c>
      <c r="MD21" s="26">
        <f t="shared" si="141"/>
        <v>0</v>
      </c>
      <c r="ME21" s="5">
        <f t="shared" si="142"/>
        <v>1046316</v>
      </c>
      <c r="MF21" s="26">
        <f t="shared" si="143"/>
        <v>0</v>
      </c>
      <c r="MG21" s="5">
        <f t="shared" si="144"/>
        <v>389770</v>
      </c>
      <c r="MH21" s="26">
        <f t="shared" si="145"/>
        <v>0</v>
      </c>
      <c r="MI21" s="5">
        <f t="shared" si="146"/>
        <v>57955</v>
      </c>
      <c r="MJ21" s="26">
        <f t="shared" si="147"/>
        <v>0</v>
      </c>
      <c r="MK21" s="5">
        <f t="shared" si="148"/>
        <v>2518542</v>
      </c>
      <c r="ML21" s="26">
        <f t="shared" si="149"/>
        <v>0</v>
      </c>
      <c r="MM21" s="5">
        <f t="shared" si="150"/>
        <v>32220961</v>
      </c>
      <c r="MN21" s="26">
        <f t="shared" si="151"/>
        <v>0</v>
      </c>
      <c r="MO21" s="5">
        <f t="shared" si="152"/>
        <v>0</v>
      </c>
      <c r="MP21" s="26">
        <f t="shared" si="153"/>
        <v>0</v>
      </c>
      <c r="MQ21" s="5">
        <f t="shared" si="154"/>
        <v>32220961</v>
      </c>
      <c r="MR21" s="26">
        <f t="shared" si="155"/>
        <v>0</v>
      </c>
      <c r="MT21" s="5">
        <f t="shared" si="76"/>
        <v>0</v>
      </c>
      <c r="MV21" s="4">
        <f t="shared" si="77"/>
        <v>0</v>
      </c>
    </row>
    <row r="22" spans="1:360" x14ac:dyDescent="0.15">
      <c r="A22" s="155" t="s">
        <v>429</v>
      </c>
      <c r="B22" s="25" t="s">
        <v>464</v>
      </c>
      <c r="C22" s="109">
        <v>169798</v>
      </c>
      <c r="D22" s="105">
        <v>2011</v>
      </c>
      <c r="E22" s="106">
        <v>1</v>
      </c>
      <c r="F22" s="106">
        <v>9</v>
      </c>
      <c r="G22" s="107">
        <v>7947</v>
      </c>
      <c r="H22" s="107">
        <v>10582</v>
      </c>
      <c r="I22" s="108">
        <v>349618260</v>
      </c>
      <c r="J22" s="108"/>
      <c r="K22" s="108">
        <v>1443020</v>
      </c>
      <c r="L22" s="108"/>
      <c r="M22" s="108">
        <v>16745544</v>
      </c>
      <c r="N22" s="108"/>
      <c r="O22" s="108">
        <v>30451389</v>
      </c>
      <c r="P22" s="108"/>
      <c r="Q22" s="108">
        <v>237350000</v>
      </c>
      <c r="R22" s="108"/>
      <c r="S22" s="108">
        <v>284423053</v>
      </c>
      <c r="T22" s="108"/>
      <c r="U22" s="108">
        <v>16563</v>
      </c>
      <c r="V22" s="108"/>
      <c r="W22" s="108">
        <v>30468</v>
      </c>
      <c r="X22" s="108"/>
      <c r="Y22" s="108">
        <v>18971</v>
      </c>
      <c r="Z22" s="108"/>
      <c r="AA22" s="108">
        <v>18971</v>
      </c>
      <c r="AB22" s="108"/>
      <c r="AC22" s="129">
        <v>9</v>
      </c>
      <c r="AD22" s="129">
        <v>12</v>
      </c>
      <c r="AE22" s="129">
        <v>0</v>
      </c>
      <c r="AF22" s="26">
        <v>3654453</v>
      </c>
      <c r="AG22" s="26">
        <v>3103221</v>
      </c>
      <c r="AH22" s="26">
        <v>378397</v>
      </c>
      <c r="AI22" s="26">
        <v>183874</v>
      </c>
      <c r="AJ22" s="26">
        <v>176043.29</v>
      </c>
      <c r="AK22" s="36">
        <v>7</v>
      </c>
      <c r="AL22" s="26">
        <v>176043.29</v>
      </c>
      <c r="AM22" s="36">
        <v>7</v>
      </c>
      <c r="AN22" s="26">
        <v>86250.6</v>
      </c>
      <c r="AO22" s="36">
        <v>10</v>
      </c>
      <c r="AP22" s="26">
        <v>86250.6</v>
      </c>
      <c r="AQ22" s="36">
        <v>10</v>
      </c>
      <c r="AR22" s="26">
        <v>95915.5</v>
      </c>
      <c r="AS22" s="36">
        <v>16</v>
      </c>
      <c r="AT22" s="26">
        <v>95915.5</v>
      </c>
      <c r="AU22" s="36">
        <v>16</v>
      </c>
      <c r="AV22" s="26">
        <v>51608.2</v>
      </c>
      <c r="AW22" s="36">
        <v>10</v>
      </c>
      <c r="AX22" s="26">
        <v>51608.2</v>
      </c>
      <c r="AY22" s="36">
        <v>10</v>
      </c>
      <c r="AZ22" s="54">
        <v>334100</v>
      </c>
      <c r="BA22" s="54">
        <v>19179</v>
      </c>
      <c r="BB22" s="54">
        <v>15018</v>
      </c>
      <c r="BC22" s="54">
        <v>16756</v>
      </c>
      <c r="BD22" s="54">
        <v>0</v>
      </c>
      <c r="BE22" s="54">
        <v>385053</v>
      </c>
      <c r="BF22" s="54">
        <v>1572843</v>
      </c>
      <c r="BG22" s="54">
        <v>0</v>
      </c>
      <c r="BH22" s="54">
        <v>0</v>
      </c>
      <c r="BI22" s="54">
        <v>0</v>
      </c>
      <c r="BJ22" s="54">
        <v>0</v>
      </c>
      <c r="BK22" s="54">
        <v>1572843</v>
      </c>
      <c r="BL22" s="54">
        <v>1832210</v>
      </c>
      <c r="BM22" s="54">
        <v>20000</v>
      </c>
      <c r="BN22" s="54">
        <v>0</v>
      </c>
      <c r="BO22" s="54">
        <v>11500</v>
      </c>
      <c r="BP22" s="54">
        <v>0</v>
      </c>
      <c r="BQ22" s="54">
        <v>1863710</v>
      </c>
      <c r="BR22" s="54">
        <v>44196</v>
      </c>
      <c r="BS22" s="54">
        <v>12620</v>
      </c>
      <c r="BT22" s="54">
        <v>3090</v>
      </c>
      <c r="BU22" s="54">
        <v>480033</v>
      </c>
      <c r="BV22" s="54">
        <v>40671</v>
      </c>
      <c r="BW22" s="54">
        <v>580610</v>
      </c>
      <c r="BX22" s="54">
        <v>0</v>
      </c>
      <c r="BY22" s="54">
        <v>0</v>
      </c>
      <c r="BZ22" s="54">
        <v>0</v>
      </c>
      <c r="CA22" s="54">
        <v>0</v>
      </c>
      <c r="CB22" s="54">
        <v>0</v>
      </c>
      <c r="CC22" s="54">
        <v>0</v>
      </c>
      <c r="CD22" s="54">
        <v>0</v>
      </c>
      <c r="CE22" s="54">
        <v>0</v>
      </c>
      <c r="CF22" s="54">
        <v>0</v>
      </c>
      <c r="CG22" s="54">
        <v>0</v>
      </c>
      <c r="CH22" s="54">
        <v>0</v>
      </c>
      <c r="CI22" s="54">
        <v>0</v>
      </c>
      <c r="CJ22" s="54">
        <v>2802954</v>
      </c>
      <c r="CK22" s="54">
        <v>1185139</v>
      </c>
      <c r="CL22" s="54">
        <v>1014966</v>
      </c>
      <c r="CM22" s="54">
        <v>6683773</v>
      </c>
      <c r="CN22" s="54">
        <v>4076078</v>
      </c>
      <c r="CO22" s="54">
        <v>15762910</v>
      </c>
      <c r="CP22" s="54">
        <v>1196666</v>
      </c>
      <c r="CQ22" s="54">
        <v>431430</v>
      </c>
      <c r="CR22" s="54">
        <v>327574</v>
      </c>
      <c r="CS22" s="54">
        <v>1401460</v>
      </c>
      <c r="CT22" s="54">
        <v>2071588</v>
      </c>
      <c r="CU22" s="54">
        <v>5428718</v>
      </c>
      <c r="CV22" s="54">
        <v>0</v>
      </c>
      <c r="CW22" s="54">
        <v>129050</v>
      </c>
      <c r="CX22" s="54">
        <v>0</v>
      </c>
      <c r="CY22" s="54">
        <v>0</v>
      </c>
      <c r="CZ22" s="54">
        <v>1606988</v>
      </c>
      <c r="DA22" s="54">
        <v>1736038</v>
      </c>
      <c r="DB22" s="54">
        <v>0</v>
      </c>
      <c r="DC22" s="54">
        <v>0</v>
      </c>
      <c r="DD22" s="54">
        <v>0</v>
      </c>
      <c r="DE22" s="54">
        <v>0</v>
      </c>
      <c r="DF22" s="54">
        <v>0</v>
      </c>
      <c r="DG22" s="54">
        <v>0</v>
      </c>
      <c r="DH22" s="54">
        <v>0</v>
      </c>
      <c r="DI22" s="54">
        <v>0</v>
      </c>
      <c r="DJ22" s="54">
        <v>0</v>
      </c>
      <c r="DK22" s="54">
        <v>0</v>
      </c>
      <c r="DL22" s="54">
        <v>1062</v>
      </c>
      <c r="DM22" s="54">
        <v>1062</v>
      </c>
      <c r="DN22" s="54">
        <v>195</v>
      </c>
      <c r="DO22" s="54">
        <v>0</v>
      </c>
      <c r="DP22" s="54">
        <v>0</v>
      </c>
      <c r="DQ22" s="54">
        <v>0</v>
      </c>
      <c r="DR22" s="54">
        <v>18828</v>
      </c>
      <c r="DS22" s="54">
        <v>19023</v>
      </c>
      <c r="DT22" s="54">
        <v>12295</v>
      </c>
      <c r="DU22" s="54">
        <v>2924</v>
      </c>
      <c r="DV22" s="54">
        <v>6060</v>
      </c>
      <c r="DW22" s="54">
        <v>172196</v>
      </c>
      <c r="DX22" s="54">
        <v>0</v>
      </c>
      <c r="DY22" s="54">
        <v>193475</v>
      </c>
      <c r="DZ22" s="54">
        <v>0</v>
      </c>
      <c r="EA22" s="54">
        <v>0</v>
      </c>
      <c r="EB22" s="54">
        <v>0</v>
      </c>
      <c r="EC22" s="54">
        <v>0</v>
      </c>
      <c r="ED22" s="54">
        <v>0</v>
      </c>
      <c r="EE22" s="54">
        <v>0</v>
      </c>
      <c r="EF22" s="54">
        <v>24464</v>
      </c>
      <c r="EG22" s="54">
        <v>0</v>
      </c>
      <c r="EH22" s="54">
        <v>0</v>
      </c>
      <c r="EI22" s="54">
        <v>97678</v>
      </c>
      <c r="EJ22" s="54">
        <v>52037</v>
      </c>
      <c r="EK22" s="54">
        <v>174179</v>
      </c>
      <c r="EL22" s="54">
        <v>7819923</v>
      </c>
      <c r="EM22" s="54">
        <v>1800342</v>
      </c>
      <c r="EN22" s="54">
        <v>1366708</v>
      </c>
      <c r="EO22" s="54">
        <v>8863396</v>
      </c>
      <c r="EP22" s="54">
        <v>7867252</v>
      </c>
      <c r="EQ22" s="54">
        <v>27717621</v>
      </c>
      <c r="ER22" s="54">
        <v>2096873</v>
      </c>
      <c r="ES22" s="54">
        <v>349182</v>
      </c>
      <c r="ET22" s="54">
        <v>333973</v>
      </c>
      <c r="EU22" s="54">
        <v>3977646</v>
      </c>
      <c r="EV22" s="54">
        <v>0</v>
      </c>
      <c r="EW22" s="54">
        <v>6757674</v>
      </c>
      <c r="EX22" s="54">
        <v>275000</v>
      </c>
      <c r="EY22" s="54">
        <v>0</v>
      </c>
      <c r="EZ22" s="54">
        <v>0</v>
      </c>
      <c r="FA22" s="54">
        <v>0</v>
      </c>
      <c r="FB22" s="54">
        <v>0</v>
      </c>
      <c r="FC22" s="54">
        <v>275000</v>
      </c>
      <c r="FD22" s="54">
        <v>1465614</v>
      </c>
      <c r="FE22" s="54">
        <v>591743</v>
      </c>
      <c r="FF22" s="54">
        <v>416097</v>
      </c>
      <c r="FG22" s="54">
        <v>1577257</v>
      </c>
      <c r="FH22" s="54">
        <v>94828</v>
      </c>
      <c r="FI22" s="54">
        <v>4145539</v>
      </c>
      <c r="FJ22" s="54">
        <v>0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P22" s="54">
        <v>138779</v>
      </c>
      <c r="FQ22" s="54">
        <v>59180</v>
      </c>
      <c r="FR22" s="54">
        <v>18002</v>
      </c>
      <c r="FS22" s="54">
        <v>181464</v>
      </c>
      <c r="FT22" s="54">
        <v>2209833</v>
      </c>
      <c r="FU22" s="54">
        <v>2607258</v>
      </c>
      <c r="FV22" s="54">
        <v>0</v>
      </c>
      <c r="FW22" s="54">
        <v>0</v>
      </c>
      <c r="FX22" s="54">
        <v>0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D22" s="54">
        <v>0</v>
      </c>
      <c r="GE22" s="54">
        <v>0</v>
      </c>
      <c r="GF22" s="54">
        <v>0</v>
      </c>
      <c r="GG22" s="54">
        <v>0</v>
      </c>
      <c r="GH22" s="54">
        <v>230141</v>
      </c>
      <c r="GI22" s="54">
        <v>30626</v>
      </c>
      <c r="GJ22" s="54">
        <v>43436</v>
      </c>
      <c r="GK22" s="54">
        <v>258068</v>
      </c>
      <c r="GL22" s="54">
        <v>97510</v>
      </c>
      <c r="GM22" s="54">
        <v>659781</v>
      </c>
      <c r="GN22" s="54">
        <v>338526</v>
      </c>
      <c r="GO22" s="54">
        <v>47259</v>
      </c>
      <c r="GP22" s="54">
        <v>151549</v>
      </c>
      <c r="GQ22" s="54">
        <v>565131</v>
      </c>
      <c r="GR22" s="54">
        <v>20545</v>
      </c>
      <c r="GS22" s="54">
        <v>1123010</v>
      </c>
      <c r="GT22" s="54">
        <v>169366</v>
      </c>
      <c r="GU22" s="54">
        <v>53229</v>
      </c>
      <c r="GV22" s="54">
        <v>38808</v>
      </c>
      <c r="GW22" s="54">
        <v>203639</v>
      </c>
      <c r="GX22" s="54">
        <v>155917</v>
      </c>
      <c r="GY22" s="54">
        <v>620959</v>
      </c>
      <c r="GZ22" s="54">
        <v>145976</v>
      </c>
      <c r="HA22" s="54">
        <v>94266</v>
      </c>
      <c r="HB22" s="54">
        <v>61335</v>
      </c>
      <c r="HC22" s="54">
        <v>69325</v>
      </c>
      <c r="HD22" s="54">
        <v>0</v>
      </c>
      <c r="HE22" s="54">
        <v>370902</v>
      </c>
      <c r="HF22" s="54">
        <v>104227</v>
      </c>
      <c r="HG22" s="54">
        <v>3215</v>
      </c>
      <c r="HH22" s="54">
        <v>403</v>
      </c>
      <c r="HI22" s="54">
        <v>5289</v>
      </c>
      <c r="HJ22" s="54">
        <v>878623</v>
      </c>
      <c r="HK22" s="54">
        <v>991757</v>
      </c>
      <c r="HL22" s="54">
        <v>940</v>
      </c>
      <c r="HM22" s="54">
        <v>12049</v>
      </c>
      <c r="HN22" s="54">
        <v>16494</v>
      </c>
      <c r="HO22" s="54">
        <v>123766</v>
      </c>
      <c r="HP22" s="54">
        <v>0</v>
      </c>
      <c r="HQ22" s="54">
        <v>153249</v>
      </c>
      <c r="HR22" s="54">
        <v>37677</v>
      </c>
      <c r="HS22" s="54">
        <v>10439</v>
      </c>
      <c r="HT22" s="54">
        <v>9906</v>
      </c>
      <c r="HU22" s="54">
        <v>63853</v>
      </c>
      <c r="HV22" s="54">
        <v>657800</v>
      </c>
      <c r="HW22" s="54">
        <v>779675</v>
      </c>
      <c r="HX22" s="54">
        <v>0</v>
      </c>
      <c r="HY22" s="54">
        <v>0</v>
      </c>
      <c r="HZ22" s="54">
        <v>0</v>
      </c>
      <c r="IA22" s="54">
        <v>0</v>
      </c>
      <c r="IB22" s="54">
        <v>49190</v>
      </c>
      <c r="IC22" s="54">
        <v>49190</v>
      </c>
      <c r="ID22" s="54">
        <v>1196666</v>
      </c>
      <c r="IE22" s="54">
        <v>431430</v>
      </c>
      <c r="IF22" s="54">
        <v>327574</v>
      </c>
      <c r="IG22" s="54">
        <v>1401460</v>
      </c>
      <c r="IH22" s="54">
        <v>2071588</v>
      </c>
      <c r="II22" s="54">
        <v>5428718</v>
      </c>
      <c r="IJ22" s="54">
        <v>8152</v>
      </c>
      <c r="IK22" s="54">
        <v>155</v>
      </c>
      <c r="IL22" s="54">
        <v>255</v>
      </c>
      <c r="IM22" s="54">
        <v>819</v>
      </c>
      <c r="IN22" s="54">
        <v>351299</v>
      </c>
      <c r="IO22" s="54">
        <v>360680</v>
      </c>
      <c r="IP22" s="54">
        <v>6945</v>
      </c>
      <c r="IQ22" s="54">
        <v>5595</v>
      </c>
      <c r="IR22" s="54">
        <v>5634</v>
      </c>
      <c r="IS22" s="54">
        <v>11538</v>
      </c>
      <c r="IT22" s="54">
        <v>246086</v>
      </c>
      <c r="IU22" s="54">
        <v>275798</v>
      </c>
      <c r="IV22" s="54">
        <v>133902</v>
      </c>
      <c r="IW22" s="54">
        <v>50706</v>
      </c>
      <c r="IX22" s="54">
        <v>9947</v>
      </c>
      <c r="IY22" s="54">
        <v>231312</v>
      </c>
      <c r="IZ22" s="54">
        <v>946009</v>
      </c>
      <c r="JA22" s="54">
        <v>1371876</v>
      </c>
      <c r="JB22" s="54">
        <v>6348784</v>
      </c>
      <c r="JC22" s="54">
        <v>1739074</v>
      </c>
      <c r="JD22" s="54">
        <v>1433413</v>
      </c>
      <c r="JE22" s="54">
        <v>8670567</v>
      </c>
      <c r="JF22" s="54">
        <v>7779228</v>
      </c>
      <c r="JG22" s="54">
        <v>25971066</v>
      </c>
      <c r="JH22" s="54">
        <v>0</v>
      </c>
      <c r="JI22" s="54">
        <v>0</v>
      </c>
      <c r="JJ22" s="54">
        <v>0</v>
      </c>
      <c r="JK22" s="54">
        <v>0</v>
      </c>
      <c r="JL22" s="54">
        <v>0</v>
      </c>
      <c r="JM22" s="54">
        <v>0</v>
      </c>
      <c r="JN22" s="54">
        <v>6348784</v>
      </c>
      <c r="JO22" s="54">
        <v>1739074</v>
      </c>
      <c r="JP22" s="54">
        <v>1433413</v>
      </c>
      <c r="JQ22" s="54">
        <v>8670567</v>
      </c>
      <c r="JR22" s="54">
        <v>7779228</v>
      </c>
      <c r="JS22" s="54">
        <v>25971066</v>
      </c>
      <c r="JT22" s="12"/>
      <c r="JU22" s="5">
        <f t="shared" si="80"/>
        <v>385053</v>
      </c>
      <c r="JV22" s="26">
        <f t="shared" si="81"/>
        <v>0</v>
      </c>
      <c r="JW22" s="5">
        <f t="shared" si="82"/>
        <v>1572843</v>
      </c>
      <c r="JX22" s="26">
        <f t="shared" si="83"/>
        <v>0</v>
      </c>
      <c r="JY22" s="5">
        <f t="shared" si="84"/>
        <v>1863710</v>
      </c>
      <c r="JZ22" s="26">
        <f t="shared" si="85"/>
        <v>0</v>
      </c>
      <c r="KA22" s="5">
        <f t="shared" si="86"/>
        <v>580610</v>
      </c>
      <c r="KB22" s="26">
        <f t="shared" si="87"/>
        <v>0</v>
      </c>
      <c r="KC22" s="5">
        <f t="shared" si="88"/>
        <v>0</v>
      </c>
      <c r="KD22" s="26">
        <f t="shared" si="89"/>
        <v>0</v>
      </c>
      <c r="KE22" s="5">
        <f t="shared" si="90"/>
        <v>0</v>
      </c>
      <c r="KF22" s="26">
        <f t="shared" si="91"/>
        <v>0</v>
      </c>
      <c r="KG22" s="5">
        <f t="shared" si="92"/>
        <v>15762910</v>
      </c>
      <c r="KH22" s="26">
        <f t="shared" si="93"/>
        <v>0</v>
      </c>
      <c r="KI22" s="5">
        <f t="shared" si="94"/>
        <v>5428718</v>
      </c>
      <c r="KJ22" s="26">
        <f t="shared" si="95"/>
        <v>0</v>
      </c>
      <c r="KK22" s="5">
        <f t="shared" si="96"/>
        <v>1736038</v>
      </c>
      <c r="KL22" s="26">
        <f t="shared" si="97"/>
        <v>0</v>
      </c>
      <c r="KM22" s="5">
        <f t="shared" si="98"/>
        <v>0</v>
      </c>
      <c r="KN22" s="26">
        <f t="shared" si="99"/>
        <v>0</v>
      </c>
      <c r="KO22" s="5">
        <f t="shared" si="100"/>
        <v>1062</v>
      </c>
      <c r="KP22" s="26">
        <f t="shared" si="101"/>
        <v>0</v>
      </c>
      <c r="KQ22" s="5">
        <f t="shared" si="102"/>
        <v>19023</v>
      </c>
      <c r="KR22" s="26">
        <f t="shared" si="103"/>
        <v>0</v>
      </c>
      <c r="KS22" s="5">
        <f t="shared" si="104"/>
        <v>193475</v>
      </c>
      <c r="KT22" s="26">
        <f t="shared" si="105"/>
        <v>0</v>
      </c>
      <c r="KU22" s="5">
        <f t="shared" si="106"/>
        <v>0</v>
      </c>
      <c r="KV22" s="26">
        <f t="shared" si="107"/>
        <v>0</v>
      </c>
      <c r="KW22" s="5">
        <f t="shared" si="108"/>
        <v>174179</v>
      </c>
      <c r="KX22" s="26">
        <f t="shared" si="109"/>
        <v>0</v>
      </c>
      <c r="KY22" s="5">
        <f t="shared" si="110"/>
        <v>27717621</v>
      </c>
      <c r="KZ22" s="26">
        <f t="shared" si="111"/>
        <v>0</v>
      </c>
      <c r="LA22" s="5">
        <f t="shared" si="112"/>
        <v>6757674</v>
      </c>
      <c r="LB22" s="26">
        <f t="shared" si="113"/>
        <v>0</v>
      </c>
      <c r="LC22" s="5">
        <f t="shared" si="114"/>
        <v>275000</v>
      </c>
      <c r="LD22" s="26">
        <f t="shared" si="115"/>
        <v>0</v>
      </c>
      <c r="LE22" s="5">
        <f t="shared" si="116"/>
        <v>4145539</v>
      </c>
      <c r="LF22" s="26">
        <f t="shared" si="117"/>
        <v>0</v>
      </c>
      <c r="LG22" s="5">
        <f t="shared" si="118"/>
        <v>0</v>
      </c>
      <c r="LH22" s="26">
        <f t="shared" si="119"/>
        <v>0</v>
      </c>
      <c r="LI22" s="5">
        <f t="shared" si="120"/>
        <v>2607258</v>
      </c>
      <c r="LJ22" s="26">
        <f t="shared" si="121"/>
        <v>0</v>
      </c>
      <c r="LK22" s="5">
        <f t="shared" si="122"/>
        <v>0</v>
      </c>
      <c r="LL22" s="26">
        <f t="shared" si="123"/>
        <v>0</v>
      </c>
      <c r="LM22" s="5">
        <f t="shared" si="124"/>
        <v>0</v>
      </c>
      <c r="LN22" s="26">
        <f t="shared" si="125"/>
        <v>0</v>
      </c>
      <c r="LO22" s="5">
        <f t="shared" si="126"/>
        <v>659781</v>
      </c>
      <c r="LP22" s="26">
        <f t="shared" si="127"/>
        <v>0</v>
      </c>
      <c r="LQ22" s="5">
        <f t="shared" si="128"/>
        <v>1123010</v>
      </c>
      <c r="LR22" s="26">
        <f t="shared" si="129"/>
        <v>0</v>
      </c>
      <c r="LS22" s="5">
        <f t="shared" si="130"/>
        <v>620959</v>
      </c>
      <c r="LT22" s="26">
        <f t="shared" si="131"/>
        <v>0</v>
      </c>
      <c r="LU22" s="5">
        <f t="shared" si="132"/>
        <v>370902</v>
      </c>
      <c r="LV22" s="26">
        <f t="shared" si="133"/>
        <v>0</v>
      </c>
      <c r="LW22" s="5">
        <f t="shared" si="134"/>
        <v>991757</v>
      </c>
      <c r="LX22" s="26">
        <f t="shared" si="135"/>
        <v>0</v>
      </c>
      <c r="LY22" s="5">
        <f t="shared" si="136"/>
        <v>153249</v>
      </c>
      <c r="LZ22" s="26">
        <f t="shared" si="137"/>
        <v>0</v>
      </c>
      <c r="MA22" s="5">
        <f t="shared" si="138"/>
        <v>779675</v>
      </c>
      <c r="MB22" s="26">
        <f t="shared" si="139"/>
        <v>0</v>
      </c>
      <c r="MC22" s="5">
        <f t="shared" si="140"/>
        <v>49190</v>
      </c>
      <c r="MD22" s="26">
        <f t="shared" si="141"/>
        <v>0</v>
      </c>
      <c r="ME22" s="5">
        <f t="shared" si="142"/>
        <v>5428718</v>
      </c>
      <c r="MF22" s="26">
        <f t="shared" si="143"/>
        <v>0</v>
      </c>
      <c r="MG22" s="5">
        <f t="shared" si="144"/>
        <v>360680</v>
      </c>
      <c r="MH22" s="26">
        <f t="shared" si="145"/>
        <v>0</v>
      </c>
      <c r="MI22" s="5">
        <f t="shared" si="146"/>
        <v>275798</v>
      </c>
      <c r="MJ22" s="26">
        <f t="shared" si="147"/>
        <v>0</v>
      </c>
      <c r="MK22" s="5">
        <f t="shared" si="148"/>
        <v>1371876</v>
      </c>
      <c r="ML22" s="26">
        <f t="shared" si="149"/>
        <v>0</v>
      </c>
      <c r="MM22" s="5">
        <f t="shared" si="150"/>
        <v>25971066</v>
      </c>
      <c r="MN22" s="26">
        <f t="shared" si="151"/>
        <v>0</v>
      </c>
      <c r="MO22" s="5">
        <f t="shared" si="152"/>
        <v>0</v>
      </c>
      <c r="MP22" s="26">
        <f t="shared" si="153"/>
        <v>0</v>
      </c>
      <c r="MQ22" s="5">
        <f t="shared" si="154"/>
        <v>25971066</v>
      </c>
      <c r="MR22" s="26">
        <f t="shared" si="155"/>
        <v>0</v>
      </c>
      <c r="MT22" s="5">
        <f t="shared" si="76"/>
        <v>0</v>
      </c>
      <c r="MV22" s="4">
        <f t="shared" si="77"/>
        <v>0</v>
      </c>
    </row>
    <row r="23" spans="1:360" x14ac:dyDescent="0.15">
      <c r="A23" s="155" t="s">
        <v>430</v>
      </c>
      <c r="B23" s="25" t="s">
        <v>405</v>
      </c>
      <c r="C23" s="105">
        <v>134130</v>
      </c>
      <c r="D23" s="105">
        <v>2011</v>
      </c>
      <c r="E23" s="106">
        <v>1</v>
      </c>
      <c r="F23" s="106">
        <v>5</v>
      </c>
      <c r="G23" s="107">
        <v>14398</v>
      </c>
      <c r="H23" s="107">
        <v>17666</v>
      </c>
      <c r="I23" s="108">
        <v>2338998000</v>
      </c>
      <c r="J23" s="108"/>
      <c r="K23" s="108">
        <v>5767779</v>
      </c>
      <c r="L23" s="108"/>
      <c r="M23" s="108">
        <v>11031929</v>
      </c>
      <c r="N23" s="108"/>
      <c r="O23" s="108">
        <v>80845000</v>
      </c>
      <c r="P23" s="108"/>
      <c r="Q23" s="108">
        <v>109887055</v>
      </c>
      <c r="R23" s="108"/>
      <c r="S23" s="108">
        <v>2197122000</v>
      </c>
      <c r="T23" s="108"/>
      <c r="U23" s="108">
        <v>14660</v>
      </c>
      <c r="V23" s="108"/>
      <c r="W23" s="108">
        <v>36950</v>
      </c>
      <c r="X23" s="108"/>
      <c r="Y23" s="108">
        <v>18380</v>
      </c>
      <c r="Z23" s="108"/>
      <c r="AA23" s="108">
        <v>40670</v>
      </c>
      <c r="AB23" s="108"/>
      <c r="AC23" s="130">
        <v>9</v>
      </c>
      <c r="AD23" s="130">
        <v>12</v>
      </c>
      <c r="AE23" s="130">
        <v>0</v>
      </c>
      <c r="AF23" s="26">
        <v>4297076</v>
      </c>
      <c r="AG23" s="26">
        <v>4183625</v>
      </c>
      <c r="AH23" s="26">
        <v>1065716</v>
      </c>
      <c r="AI23" s="26">
        <v>436183</v>
      </c>
      <c r="AJ23" s="26">
        <v>1914250</v>
      </c>
      <c r="AK23" s="36">
        <v>6</v>
      </c>
      <c r="AL23" s="26">
        <v>1640785.71</v>
      </c>
      <c r="AM23" s="36">
        <v>7</v>
      </c>
      <c r="AN23" s="26">
        <v>268523.11</v>
      </c>
      <c r="AO23" s="36">
        <v>9</v>
      </c>
      <c r="AP23" s="26">
        <v>241670.8</v>
      </c>
      <c r="AQ23" s="36">
        <v>10</v>
      </c>
      <c r="AR23" s="26">
        <v>247950.14</v>
      </c>
      <c r="AS23" s="36">
        <v>22</v>
      </c>
      <c r="AT23" s="26">
        <v>194817.96</v>
      </c>
      <c r="AU23" s="36">
        <v>28</v>
      </c>
      <c r="AV23" s="26">
        <v>103357.25</v>
      </c>
      <c r="AW23" s="36">
        <v>20</v>
      </c>
      <c r="AX23" s="26">
        <v>82685.8</v>
      </c>
      <c r="AY23" s="36">
        <v>25</v>
      </c>
      <c r="AZ23" s="54">
        <v>17635529</v>
      </c>
      <c r="BA23" s="54">
        <v>2052177</v>
      </c>
      <c r="BB23" s="54">
        <v>30274</v>
      </c>
      <c r="BC23" s="54">
        <v>479700</v>
      </c>
      <c r="BD23" s="54">
        <v>697041</v>
      </c>
      <c r="BE23" s="54">
        <v>20894721</v>
      </c>
      <c r="BF23" s="54">
        <v>0</v>
      </c>
      <c r="BG23" s="54">
        <v>0</v>
      </c>
      <c r="BH23" s="54">
        <v>0</v>
      </c>
      <c r="BI23" s="54">
        <v>0</v>
      </c>
      <c r="BJ23" s="54">
        <v>836071</v>
      </c>
      <c r="BK23" s="54">
        <v>836071</v>
      </c>
      <c r="BL23" s="54">
        <v>500000</v>
      </c>
      <c r="BM23" s="54">
        <v>175275</v>
      </c>
      <c r="BN23" s="54">
        <v>0</v>
      </c>
      <c r="BO23" s="54">
        <f>731998+0-BL23-BM23-BN23</f>
        <v>56723</v>
      </c>
      <c r="BP23" s="54">
        <v>0</v>
      </c>
      <c r="BQ23" s="54">
        <v>731998</v>
      </c>
      <c r="BR23" s="54">
        <v>37130529</v>
      </c>
      <c r="BS23" s="54">
        <v>1921259</v>
      </c>
      <c r="BT23" s="54"/>
      <c r="BU23" s="54">
        <v>342000</v>
      </c>
      <c r="BV23" s="54">
        <v>2602004</v>
      </c>
      <c r="BW23" s="54">
        <v>41995792</v>
      </c>
      <c r="BX23" s="54">
        <v>200000</v>
      </c>
      <c r="BY23" s="54">
        <v>225000</v>
      </c>
      <c r="BZ23" s="54">
        <v>25000</v>
      </c>
      <c r="CA23" s="54">
        <f>468000+38000-BX23-BY23-BZ23</f>
        <v>56000</v>
      </c>
      <c r="CB23" s="54">
        <v>0</v>
      </c>
      <c r="CC23" s="54">
        <v>506000</v>
      </c>
      <c r="CD23" s="54">
        <v>0</v>
      </c>
      <c r="CE23" s="54">
        <v>0</v>
      </c>
      <c r="CF23" s="54">
        <v>0</v>
      </c>
      <c r="CG23" s="54">
        <v>0</v>
      </c>
      <c r="CH23" s="54">
        <v>1885600</v>
      </c>
      <c r="CI23" s="54">
        <v>1885600</v>
      </c>
      <c r="CJ23" s="54">
        <v>0</v>
      </c>
      <c r="CK23" s="54">
        <v>0</v>
      </c>
      <c r="CL23" s="54">
        <v>0</v>
      </c>
      <c r="CM23" s="54">
        <v>0</v>
      </c>
      <c r="CN23" s="54">
        <v>0</v>
      </c>
      <c r="CO23" s="54">
        <v>0</v>
      </c>
      <c r="CP23" s="54">
        <v>0</v>
      </c>
      <c r="CQ23" s="54">
        <v>0</v>
      </c>
      <c r="CR23" s="54">
        <v>0</v>
      </c>
      <c r="CS23" s="54">
        <v>0</v>
      </c>
      <c r="CT23" s="54">
        <v>0</v>
      </c>
      <c r="CU23" s="54">
        <v>0</v>
      </c>
      <c r="CV23" s="54">
        <v>15527053</v>
      </c>
      <c r="CW23" s="54">
        <v>5121294</v>
      </c>
      <c r="CX23" s="54">
        <v>22854</v>
      </c>
      <c r="CY23" s="54">
        <f>20890973+116185-CV23-CW23-CX23</f>
        <v>335957</v>
      </c>
      <c r="CZ23" s="54">
        <v>354222</v>
      </c>
      <c r="DA23" s="54">
        <v>21361380</v>
      </c>
      <c r="DB23" s="54">
        <v>0</v>
      </c>
      <c r="DC23" s="54">
        <v>0</v>
      </c>
      <c r="DD23" s="54">
        <v>0</v>
      </c>
      <c r="DE23" s="54">
        <v>0</v>
      </c>
      <c r="DF23" s="54">
        <v>7984000</v>
      </c>
      <c r="DG23" s="54">
        <v>7984000</v>
      </c>
      <c r="DH23" s="54">
        <v>1043519</v>
      </c>
      <c r="DI23" s="54">
        <v>41945</v>
      </c>
      <c r="DJ23" s="54">
        <v>4788</v>
      </c>
      <c r="DK23" s="54">
        <f>1278110+81814-DH23-DI23-DJ23</f>
        <v>269672</v>
      </c>
      <c r="DL23" s="54">
        <v>2339526</v>
      </c>
      <c r="DM23" s="54">
        <v>3699450</v>
      </c>
      <c r="DN23" s="54">
        <v>548589</v>
      </c>
      <c r="DO23" s="54">
        <v>359000</v>
      </c>
      <c r="DP23" s="54">
        <v>34000</v>
      </c>
      <c r="DQ23" s="54">
        <f>1136589+104000-DN23-DO23-DP23</f>
        <v>299000</v>
      </c>
      <c r="DR23" s="54">
        <v>7267502</v>
      </c>
      <c r="DS23" s="54">
        <v>8508091</v>
      </c>
      <c r="DT23" s="54">
        <v>422017</v>
      </c>
      <c r="DU23" s="54">
        <v>259846</v>
      </c>
      <c r="DV23" s="54">
        <v>62074</v>
      </c>
      <c r="DW23" s="54">
        <f>1157550+1408242-DT23-DU23-DV23</f>
        <v>1821855</v>
      </c>
      <c r="DX23" s="54">
        <v>129964</v>
      </c>
      <c r="DY23" s="54">
        <v>2695756</v>
      </c>
      <c r="DZ23" s="54">
        <v>0</v>
      </c>
      <c r="EA23" s="54">
        <v>0</v>
      </c>
      <c r="EB23" s="54">
        <v>0</v>
      </c>
      <c r="EC23" s="54">
        <v>0</v>
      </c>
      <c r="ED23" s="54">
        <v>9125784</v>
      </c>
      <c r="EE23" s="54">
        <v>9125784</v>
      </c>
      <c r="EF23" s="54">
        <v>0</v>
      </c>
      <c r="EG23" s="54">
        <v>0</v>
      </c>
      <c r="EH23" s="54">
        <v>0</v>
      </c>
      <c r="EI23" s="54">
        <f>45390+38145-EF23-EG23-EH23</f>
        <v>83535</v>
      </c>
      <c r="EJ23" s="54">
        <v>1560679</v>
      </c>
      <c r="EK23" s="54">
        <v>1644214</v>
      </c>
      <c r="EL23" s="54">
        <v>73007236</v>
      </c>
      <c r="EM23" s="54">
        <v>10155796</v>
      </c>
      <c r="EN23" s="54">
        <v>178990</v>
      </c>
      <c r="EO23" s="54">
        <f>85485739+5935136-EL23-EM23-EN23</f>
        <v>8078853</v>
      </c>
      <c r="EP23" s="54">
        <v>32093382</v>
      </c>
      <c r="EQ23" s="54">
        <v>123514257</v>
      </c>
      <c r="ER23" s="54">
        <v>2382045</v>
      </c>
      <c r="ES23" s="54">
        <v>431229</v>
      </c>
      <c r="ET23" s="54">
        <v>447172</v>
      </c>
      <c r="EU23" s="54">
        <f>4297076+4183625-ER23-ES23-ET23</f>
        <v>5220255</v>
      </c>
      <c r="EV23" s="54">
        <v>768449</v>
      </c>
      <c r="EW23" s="54">
        <v>9249150</v>
      </c>
      <c r="EX23" s="54">
        <v>1875000</v>
      </c>
      <c r="EY23" s="54">
        <v>552000</v>
      </c>
      <c r="EZ23" s="54">
        <v>79952</v>
      </c>
      <c r="FA23" s="54">
        <f>2470500+127462-EX23-EY23-EZ23</f>
        <v>91010</v>
      </c>
      <c r="FB23" s="54">
        <v>0</v>
      </c>
      <c r="FC23" s="54">
        <v>2597962</v>
      </c>
      <c r="FD23" s="54">
        <f>5685148+3575853</f>
        <v>9261001</v>
      </c>
      <c r="FE23" s="54">
        <f>4346790+787842</f>
        <v>5134632</v>
      </c>
      <c r="FF23" s="54">
        <f>378588+374331</f>
        <v>752919</v>
      </c>
      <c r="FG23" s="54">
        <f>11485500+5454903+2416708+2067145-FD23-FE23-FF23</f>
        <v>6275704</v>
      </c>
      <c r="FH23" s="54">
        <v>0</v>
      </c>
      <c r="FI23" s="54">
        <v>21424256</v>
      </c>
      <c r="FJ23" s="54">
        <v>200000</v>
      </c>
      <c r="FK23" s="54">
        <v>225000</v>
      </c>
      <c r="FL23" s="54">
        <v>25000</v>
      </c>
      <c r="FM23" s="54">
        <f>468000+38000-FJ23-FK23-FL23</f>
        <v>56000</v>
      </c>
      <c r="FN23" s="54">
        <v>0</v>
      </c>
      <c r="FO23" s="54">
        <v>506000</v>
      </c>
      <c r="FP23" s="54">
        <v>1400224</v>
      </c>
      <c r="FQ23" s="54">
        <v>266235</v>
      </c>
      <c r="FR23" s="54">
        <v>181896</v>
      </c>
      <c r="FS23" s="54">
        <f>1862120+519241-FP23-FQ23-FR23</f>
        <v>533006</v>
      </c>
      <c r="FT23" s="54">
        <v>19433246</v>
      </c>
      <c r="FU23" s="54">
        <v>21814607</v>
      </c>
      <c r="FV23" s="54">
        <v>0</v>
      </c>
      <c r="FW23" s="54">
        <v>0</v>
      </c>
      <c r="FX23" s="54">
        <v>0</v>
      </c>
      <c r="FY23" s="54">
        <v>0</v>
      </c>
      <c r="FZ23" s="54">
        <v>0</v>
      </c>
      <c r="GA23" s="54">
        <v>0</v>
      </c>
      <c r="GB23" s="54">
        <v>809059</v>
      </c>
      <c r="GC23" s="54">
        <v>0</v>
      </c>
      <c r="GD23" s="54">
        <v>0</v>
      </c>
      <c r="GE23" s="54">
        <f>809059+0-GB23-GC23-GD23</f>
        <v>0</v>
      </c>
      <c r="GF23" s="54">
        <v>45547</v>
      </c>
      <c r="GG23" s="54">
        <v>854606</v>
      </c>
      <c r="GH23" s="54">
        <v>602929</v>
      </c>
      <c r="GI23" s="54">
        <v>312277</v>
      </c>
      <c r="GJ23" s="54">
        <v>152485</v>
      </c>
      <c r="GK23" s="54">
        <f>1065716+436183-GH23-GI23-GJ23</f>
        <v>434208</v>
      </c>
      <c r="GL23" s="54">
        <v>0</v>
      </c>
      <c r="GM23" s="54">
        <v>1501899</v>
      </c>
      <c r="GN23" s="54">
        <v>1819334</v>
      </c>
      <c r="GO23" s="54">
        <v>837169</v>
      </c>
      <c r="GP23" s="54">
        <v>612400</v>
      </c>
      <c r="GQ23" s="54">
        <f>3894008+2534142-GN23-GO23-GP23</f>
        <v>3159247</v>
      </c>
      <c r="GR23" s="54">
        <v>0</v>
      </c>
      <c r="GS23" s="54">
        <v>6428150</v>
      </c>
      <c r="GT23" s="54">
        <v>439909</v>
      </c>
      <c r="GU23" s="54">
        <v>93108</v>
      </c>
      <c r="GV23" s="54">
        <v>82079</v>
      </c>
      <c r="GW23" s="54">
        <f>1025907+717432-GT23-GU23-GV23</f>
        <v>1128243</v>
      </c>
      <c r="GX23" s="54">
        <v>0</v>
      </c>
      <c r="GY23" s="54">
        <v>1743339</v>
      </c>
      <c r="GZ23" s="54">
        <v>3745281</v>
      </c>
      <c r="HA23" s="54">
        <v>524408</v>
      </c>
      <c r="HB23" s="54">
        <v>200832</v>
      </c>
      <c r="HC23" s="54">
        <f>4746659+707614-GZ23-HA23-HB23</f>
        <v>983752</v>
      </c>
      <c r="HD23" s="54">
        <v>0</v>
      </c>
      <c r="HE23" s="54">
        <v>5454273</v>
      </c>
      <c r="HF23" s="54">
        <v>366188</v>
      </c>
      <c r="HG23" s="54">
        <v>347272</v>
      </c>
      <c r="HH23" s="54">
        <v>252268</v>
      </c>
      <c r="HI23" s="54">
        <f>968007+710988-HF23-HG23-HH23</f>
        <v>713267</v>
      </c>
      <c r="HJ23" s="54">
        <v>3125669</v>
      </c>
      <c r="HK23" s="54">
        <v>4804664</v>
      </c>
      <c r="HL23" s="54">
        <v>309876</v>
      </c>
      <c r="HM23" s="54">
        <v>171675</v>
      </c>
      <c r="HN23" s="54">
        <v>55101</v>
      </c>
      <c r="HO23" s="54">
        <f>762045+843770-HL23-HM23-HN23</f>
        <v>1069163</v>
      </c>
      <c r="HP23" s="54">
        <v>83964</v>
      </c>
      <c r="HQ23" s="54">
        <v>1689779</v>
      </c>
      <c r="HR23" s="54">
        <v>1251859</v>
      </c>
      <c r="HS23" s="54">
        <v>230708</v>
      </c>
      <c r="HT23" s="54">
        <v>52587</v>
      </c>
      <c r="HU23" s="54">
        <f>1825946+660411-HR23-HS23-HT23</f>
        <v>951203</v>
      </c>
      <c r="HV23" s="54">
        <v>15478295</v>
      </c>
      <c r="HW23" s="54">
        <v>17964652</v>
      </c>
      <c r="HX23" s="54">
        <v>695270</v>
      </c>
      <c r="HY23" s="54">
        <v>42154</v>
      </c>
      <c r="HZ23" s="54">
        <v>41500</v>
      </c>
      <c r="IA23" s="54">
        <f>737424+80000-HX23-HY23-HZ23</f>
        <v>38500</v>
      </c>
      <c r="IB23" s="54">
        <v>103338</v>
      </c>
      <c r="IC23" s="54">
        <v>920762</v>
      </c>
      <c r="ID23" s="54">
        <v>0</v>
      </c>
      <c r="IE23" s="54">
        <v>0</v>
      </c>
      <c r="IF23" s="54">
        <v>0</v>
      </c>
      <c r="IG23" s="54">
        <v>0</v>
      </c>
      <c r="IH23" s="54">
        <v>0</v>
      </c>
      <c r="II23" s="54">
        <v>0</v>
      </c>
      <c r="IJ23" s="54">
        <v>253696</v>
      </c>
      <c r="IK23" s="54">
        <v>23012</v>
      </c>
      <c r="IL23" s="54">
        <v>45914</v>
      </c>
      <c r="IM23" s="54">
        <f>475517+392635-IJ23-IK23-IL23</f>
        <v>545530</v>
      </c>
      <c r="IN23" s="54">
        <v>1353797</v>
      </c>
      <c r="IO23" s="54">
        <v>2221949</v>
      </c>
      <c r="IP23" s="54">
        <v>0</v>
      </c>
      <c r="IQ23" s="54">
        <v>0</v>
      </c>
      <c r="IR23" s="54">
        <v>0</v>
      </c>
      <c r="IS23" s="54">
        <f>2500</f>
        <v>2500</v>
      </c>
      <c r="IT23" s="54">
        <v>13100</v>
      </c>
      <c r="IU23" s="54">
        <v>15600</v>
      </c>
      <c r="IV23" s="54">
        <v>871868</v>
      </c>
      <c r="IW23" s="54">
        <v>102228</v>
      </c>
      <c r="IX23" s="54">
        <v>60891</v>
      </c>
      <c r="IY23" s="54">
        <f>1613324+821529-IV23-IW23-IX23</f>
        <v>1399866</v>
      </c>
      <c r="IZ23" s="54">
        <v>5531330</v>
      </c>
      <c r="JA23" s="54">
        <v>7966183</v>
      </c>
      <c r="JB23" s="54">
        <v>26463539</v>
      </c>
      <c r="JC23" s="54">
        <v>9293107</v>
      </c>
      <c r="JD23" s="54">
        <v>3043356</v>
      </c>
      <c r="JE23" s="54">
        <f>43961711+17259385-JB23-JC23-JD23</f>
        <v>22421094</v>
      </c>
      <c r="JF23" s="54">
        <v>45936735</v>
      </c>
      <c r="JG23" s="54">
        <v>107157831</v>
      </c>
      <c r="JH23" s="54" t="s">
        <v>485</v>
      </c>
      <c r="JI23" s="54">
        <v>0</v>
      </c>
      <c r="JJ23" s="54">
        <v>0</v>
      </c>
      <c r="JK23" s="54">
        <v>0</v>
      </c>
      <c r="JL23" s="54">
        <v>6299825</v>
      </c>
      <c r="JM23" s="54">
        <v>6299825</v>
      </c>
      <c r="JN23" s="54">
        <v>26463539</v>
      </c>
      <c r="JO23" s="54">
        <v>9293107</v>
      </c>
      <c r="JP23" s="54">
        <v>3043356</v>
      </c>
      <c r="JQ23" s="54">
        <f>43961711+17259385-JN23-JO23-JP23</f>
        <v>22421094</v>
      </c>
      <c r="JR23" s="54">
        <v>52236560</v>
      </c>
      <c r="JS23" s="54">
        <v>113457656</v>
      </c>
      <c r="JU23" s="5">
        <f t="shared" si="80"/>
        <v>20894721</v>
      </c>
      <c r="JV23" s="26">
        <f t="shared" si="81"/>
        <v>0</v>
      </c>
      <c r="JW23" s="5">
        <f t="shared" si="82"/>
        <v>836071</v>
      </c>
      <c r="JX23" s="26">
        <f t="shared" si="83"/>
        <v>0</v>
      </c>
      <c r="JY23" s="5">
        <f t="shared" si="84"/>
        <v>731998</v>
      </c>
      <c r="JZ23" s="26">
        <f t="shared" si="85"/>
        <v>0</v>
      </c>
      <c r="KA23" s="5">
        <f t="shared" si="86"/>
        <v>41995792</v>
      </c>
      <c r="KB23" s="26">
        <f t="shared" si="87"/>
        <v>0</v>
      </c>
      <c r="KC23" s="5">
        <f t="shared" si="88"/>
        <v>506000</v>
      </c>
      <c r="KD23" s="26">
        <f t="shared" si="89"/>
        <v>0</v>
      </c>
      <c r="KE23" s="5">
        <f t="shared" si="90"/>
        <v>1885600</v>
      </c>
      <c r="KF23" s="26">
        <f t="shared" si="91"/>
        <v>0</v>
      </c>
      <c r="KG23" s="5">
        <f t="shared" si="92"/>
        <v>0</v>
      </c>
      <c r="KH23" s="26">
        <f t="shared" si="93"/>
        <v>0</v>
      </c>
      <c r="KI23" s="5">
        <f t="shared" si="94"/>
        <v>0</v>
      </c>
      <c r="KJ23" s="26">
        <f t="shared" si="95"/>
        <v>0</v>
      </c>
      <c r="KK23" s="5">
        <f t="shared" si="96"/>
        <v>21361380</v>
      </c>
      <c r="KL23" s="26">
        <f t="shared" si="97"/>
        <v>0</v>
      </c>
      <c r="KM23" s="5">
        <f t="shared" si="98"/>
        <v>7984000</v>
      </c>
      <c r="KN23" s="26">
        <f t="shared" si="99"/>
        <v>0</v>
      </c>
      <c r="KO23" s="5">
        <f t="shared" si="100"/>
        <v>3699450</v>
      </c>
      <c r="KP23" s="26">
        <f t="shared" si="101"/>
        <v>0</v>
      </c>
      <c r="KQ23" s="5">
        <f t="shared" si="102"/>
        <v>8508091</v>
      </c>
      <c r="KR23" s="26">
        <f t="shared" si="103"/>
        <v>0</v>
      </c>
      <c r="KS23" s="5">
        <f t="shared" si="104"/>
        <v>2695756</v>
      </c>
      <c r="KT23" s="26">
        <f t="shared" si="105"/>
        <v>0</v>
      </c>
      <c r="KU23" s="5">
        <f t="shared" si="106"/>
        <v>9125784</v>
      </c>
      <c r="KV23" s="26">
        <f t="shared" si="107"/>
        <v>0</v>
      </c>
      <c r="KW23" s="5">
        <f t="shared" si="108"/>
        <v>1644214</v>
      </c>
      <c r="KX23" s="26">
        <f t="shared" si="109"/>
        <v>0</v>
      </c>
      <c r="KY23" s="5">
        <f t="shared" si="110"/>
        <v>123514257</v>
      </c>
      <c r="KZ23" s="26">
        <f t="shared" si="111"/>
        <v>0</v>
      </c>
      <c r="LA23" s="5">
        <f t="shared" si="112"/>
        <v>9249150</v>
      </c>
      <c r="LB23" s="26">
        <f t="shared" si="113"/>
        <v>0</v>
      </c>
      <c r="LC23" s="5">
        <f t="shared" si="114"/>
        <v>2597962</v>
      </c>
      <c r="LD23" s="26">
        <f t="shared" si="115"/>
        <v>0</v>
      </c>
      <c r="LE23" s="5">
        <f t="shared" si="116"/>
        <v>21424256</v>
      </c>
      <c r="LF23" s="26">
        <f t="shared" si="117"/>
        <v>0</v>
      </c>
      <c r="LG23" s="5">
        <f t="shared" si="118"/>
        <v>506000</v>
      </c>
      <c r="LH23" s="26">
        <f t="shared" si="119"/>
        <v>0</v>
      </c>
      <c r="LI23" s="5">
        <f t="shared" si="120"/>
        <v>21814607</v>
      </c>
      <c r="LJ23" s="26">
        <f t="shared" si="121"/>
        <v>0</v>
      </c>
      <c r="LK23" s="5">
        <f t="shared" si="122"/>
        <v>0</v>
      </c>
      <c r="LL23" s="26">
        <f t="shared" si="123"/>
        <v>0</v>
      </c>
      <c r="LM23" s="5">
        <f t="shared" si="124"/>
        <v>854606</v>
      </c>
      <c r="LN23" s="26">
        <f t="shared" si="125"/>
        <v>0</v>
      </c>
      <c r="LO23" s="5">
        <f t="shared" si="126"/>
        <v>1501899</v>
      </c>
      <c r="LP23" s="26">
        <f t="shared" si="127"/>
        <v>0</v>
      </c>
      <c r="LQ23" s="5">
        <f t="shared" si="128"/>
        <v>6428150</v>
      </c>
      <c r="LR23" s="26">
        <f t="shared" si="129"/>
        <v>0</v>
      </c>
      <c r="LS23" s="5">
        <f t="shared" si="130"/>
        <v>1743339</v>
      </c>
      <c r="LT23" s="26">
        <f t="shared" si="131"/>
        <v>0</v>
      </c>
      <c r="LU23" s="5">
        <f t="shared" si="132"/>
        <v>5454273</v>
      </c>
      <c r="LV23" s="26">
        <f t="shared" si="133"/>
        <v>0</v>
      </c>
      <c r="LW23" s="5">
        <f t="shared" si="134"/>
        <v>4804664</v>
      </c>
      <c r="LX23" s="26">
        <f t="shared" si="135"/>
        <v>0</v>
      </c>
      <c r="LY23" s="5">
        <f t="shared" si="136"/>
        <v>1689779</v>
      </c>
      <c r="LZ23" s="26">
        <f t="shared" si="137"/>
        <v>0</v>
      </c>
      <c r="MA23" s="5">
        <f t="shared" si="138"/>
        <v>17964652</v>
      </c>
      <c r="MB23" s="26">
        <f t="shared" si="139"/>
        <v>0</v>
      </c>
      <c r="MC23" s="5">
        <f t="shared" si="140"/>
        <v>920762</v>
      </c>
      <c r="MD23" s="26">
        <f t="shared" si="141"/>
        <v>0</v>
      </c>
      <c r="ME23" s="5">
        <f t="shared" si="142"/>
        <v>0</v>
      </c>
      <c r="MF23" s="26">
        <f t="shared" si="143"/>
        <v>0</v>
      </c>
      <c r="MG23" s="5">
        <f t="shared" si="144"/>
        <v>2221949</v>
      </c>
      <c r="MH23" s="26">
        <f t="shared" si="145"/>
        <v>0</v>
      </c>
      <c r="MI23" s="5">
        <f t="shared" si="146"/>
        <v>15600</v>
      </c>
      <c r="MJ23" s="26">
        <f t="shared" si="147"/>
        <v>0</v>
      </c>
      <c r="MK23" s="5">
        <f t="shared" si="148"/>
        <v>7966183</v>
      </c>
      <c r="ML23" s="26">
        <f t="shared" si="149"/>
        <v>0</v>
      </c>
      <c r="MM23" s="5">
        <f t="shared" si="150"/>
        <v>107157831</v>
      </c>
      <c r="MN23" s="26">
        <f t="shared" si="151"/>
        <v>0</v>
      </c>
      <c r="MO23" s="5">
        <f t="shared" si="152"/>
        <v>6299825</v>
      </c>
      <c r="MP23" s="26">
        <f t="shared" si="153"/>
        <v>0</v>
      </c>
      <c r="MQ23" s="5">
        <f t="shared" si="154"/>
        <v>113457656</v>
      </c>
      <c r="MR23" s="26">
        <f t="shared" si="155"/>
        <v>0</v>
      </c>
      <c r="MT23" s="5">
        <f t="shared" si="76"/>
        <v>0</v>
      </c>
      <c r="MV23" s="4">
        <f t="shared" si="77"/>
        <v>0</v>
      </c>
    </row>
    <row r="24" spans="1:360" s="13" customFormat="1" x14ac:dyDescent="0.15">
      <c r="A24" s="155" t="s">
        <v>431</v>
      </c>
      <c r="B24" s="25" t="s">
        <v>475</v>
      </c>
      <c r="C24" s="109">
        <v>176080</v>
      </c>
      <c r="D24" s="105">
        <v>2011</v>
      </c>
      <c r="E24" s="106">
        <v>1</v>
      </c>
      <c r="F24" s="106">
        <v>8</v>
      </c>
      <c r="G24" s="107">
        <v>6290</v>
      </c>
      <c r="H24" s="107">
        <v>7686</v>
      </c>
      <c r="I24" s="108">
        <v>436738708</v>
      </c>
      <c r="J24" s="108"/>
      <c r="K24" s="108">
        <v>0</v>
      </c>
      <c r="L24" s="108"/>
      <c r="M24" s="108">
        <v>8056143</v>
      </c>
      <c r="N24" s="108"/>
      <c r="O24" s="108">
        <v>0</v>
      </c>
      <c r="P24" s="108"/>
      <c r="Q24" s="108">
        <v>81955829</v>
      </c>
      <c r="R24" s="108"/>
      <c r="S24" s="108">
        <v>324594637</v>
      </c>
      <c r="T24" s="108"/>
      <c r="U24" s="108">
        <v>15456</v>
      </c>
      <c r="V24" s="108"/>
      <c r="W24" s="108">
        <v>28793</v>
      </c>
      <c r="X24" s="108"/>
      <c r="Y24" s="108">
        <v>19021</v>
      </c>
      <c r="Z24" s="108"/>
      <c r="AA24" s="108">
        <v>32371</v>
      </c>
      <c r="AB24" s="108"/>
      <c r="AC24" s="129">
        <v>10</v>
      </c>
      <c r="AD24" s="129">
        <v>10</v>
      </c>
      <c r="AE24" s="129">
        <v>0</v>
      </c>
      <c r="AF24" s="26">
        <v>2196072</v>
      </c>
      <c r="AG24" s="26">
        <v>1678956</v>
      </c>
      <c r="AH24" s="26">
        <v>195797</v>
      </c>
      <c r="AI24" s="26">
        <v>64437</v>
      </c>
      <c r="AJ24" s="26">
        <v>172077.19</v>
      </c>
      <c r="AK24" s="36">
        <v>6.75</v>
      </c>
      <c r="AL24" s="26">
        <v>145190.13</v>
      </c>
      <c r="AM24" s="36">
        <v>8</v>
      </c>
      <c r="AN24" s="26">
        <v>96499.36</v>
      </c>
      <c r="AO24" s="36">
        <v>6.25</v>
      </c>
      <c r="AP24" s="26">
        <v>75390.13</v>
      </c>
      <c r="AQ24" s="36">
        <v>8</v>
      </c>
      <c r="AR24" s="26">
        <v>60125.18</v>
      </c>
      <c r="AS24" s="36">
        <v>21.25</v>
      </c>
      <c r="AT24" s="26">
        <v>51106.400000000001</v>
      </c>
      <c r="AU24" s="36">
        <v>25</v>
      </c>
      <c r="AV24" s="26">
        <v>33495.129999999997</v>
      </c>
      <c r="AW24" s="36">
        <v>11.5</v>
      </c>
      <c r="AX24" s="26">
        <v>21399.67</v>
      </c>
      <c r="AY24" s="36">
        <v>18</v>
      </c>
      <c r="AZ24" s="54">
        <v>1179020</v>
      </c>
      <c r="BA24" s="62">
        <v>88646</v>
      </c>
      <c r="BB24" s="62">
        <v>2314</v>
      </c>
      <c r="BC24" s="62">
        <v>69141</v>
      </c>
      <c r="BD24" s="54">
        <v>22855</v>
      </c>
      <c r="BE24" s="62">
        <v>1361976</v>
      </c>
      <c r="BF24" s="62">
        <v>3153554</v>
      </c>
      <c r="BG24" s="54">
        <v>300319</v>
      </c>
      <c r="BH24" s="54">
        <v>343222</v>
      </c>
      <c r="BI24" s="54">
        <v>6628259</v>
      </c>
      <c r="BJ24" s="54">
        <v>0</v>
      </c>
      <c r="BK24" s="62">
        <v>10425354</v>
      </c>
      <c r="BL24" s="62">
        <v>1350000</v>
      </c>
      <c r="BM24" s="62">
        <v>235000</v>
      </c>
      <c r="BN24" s="62">
        <v>24000</v>
      </c>
      <c r="BO24" s="62">
        <v>5500</v>
      </c>
      <c r="BP24" s="54">
        <v>0</v>
      </c>
      <c r="BQ24" s="54">
        <v>1614500</v>
      </c>
      <c r="BR24" s="62">
        <v>985222</v>
      </c>
      <c r="BS24" s="62">
        <v>22946</v>
      </c>
      <c r="BT24" s="62">
        <v>10123</v>
      </c>
      <c r="BU24" s="62">
        <v>48753</v>
      </c>
      <c r="BV24" s="54">
        <v>281129</v>
      </c>
      <c r="BW24" s="62">
        <v>1348173</v>
      </c>
      <c r="BX24" s="62">
        <v>0</v>
      </c>
      <c r="BY24" s="54">
        <v>0</v>
      </c>
      <c r="BZ24" s="62">
        <v>0</v>
      </c>
      <c r="CA24" s="62">
        <v>0</v>
      </c>
      <c r="CB24" s="54">
        <v>0</v>
      </c>
      <c r="CC24" s="62">
        <v>0</v>
      </c>
      <c r="CD24" s="62">
        <v>0</v>
      </c>
      <c r="CE24" s="62">
        <v>0</v>
      </c>
      <c r="CF24" s="62">
        <v>0</v>
      </c>
      <c r="CG24" s="62">
        <v>0</v>
      </c>
      <c r="CH24" s="54">
        <v>0</v>
      </c>
      <c r="CI24" s="54">
        <v>0</v>
      </c>
      <c r="CJ24" s="62">
        <v>176110</v>
      </c>
      <c r="CK24" s="62">
        <v>69954</v>
      </c>
      <c r="CL24" s="62">
        <v>52500</v>
      </c>
      <c r="CM24" s="62">
        <v>531507</v>
      </c>
      <c r="CN24" s="54">
        <v>491545</v>
      </c>
      <c r="CO24" s="54">
        <v>1321616</v>
      </c>
      <c r="CP24" s="62">
        <v>0</v>
      </c>
      <c r="CQ24" s="54">
        <v>0</v>
      </c>
      <c r="CR24" s="54">
        <v>0</v>
      </c>
      <c r="CS24" s="54">
        <v>0</v>
      </c>
      <c r="CT24" s="54">
        <v>1254155</v>
      </c>
      <c r="CU24" s="54">
        <v>1254155</v>
      </c>
      <c r="CV24" s="54">
        <v>0</v>
      </c>
      <c r="CW24" s="62">
        <v>3000</v>
      </c>
      <c r="CX24" s="62">
        <v>0</v>
      </c>
      <c r="CY24" s="54">
        <v>0</v>
      </c>
      <c r="CZ24" s="54">
        <v>910776</v>
      </c>
      <c r="DA24" s="54">
        <v>913776</v>
      </c>
      <c r="DB24" s="54">
        <v>0</v>
      </c>
      <c r="DC24" s="54">
        <v>0</v>
      </c>
      <c r="DD24" s="62">
        <v>0</v>
      </c>
      <c r="DE24" s="54">
        <v>0</v>
      </c>
      <c r="DF24" s="54">
        <v>0</v>
      </c>
      <c r="DG24" s="54">
        <v>0</v>
      </c>
      <c r="DH24" s="54">
        <v>19563</v>
      </c>
      <c r="DI24" s="54">
        <v>13185</v>
      </c>
      <c r="DJ24" s="62">
        <v>0</v>
      </c>
      <c r="DK24" s="62">
        <v>3006</v>
      </c>
      <c r="DL24" s="62">
        <v>34411</v>
      </c>
      <c r="DM24" s="62">
        <v>70165</v>
      </c>
      <c r="DN24" s="54">
        <v>0</v>
      </c>
      <c r="DO24" s="62">
        <v>0</v>
      </c>
      <c r="DP24" s="62">
        <v>0</v>
      </c>
      <c r="DQ24" s="54">
        <v>100</v>
      </c>
      <c r="DR24" s="54">
        <v>331890</v>
      </c>
      <c r="DS24" s="54">
        <v>331990</v>
      </c>
      <c r="DT24" s="62">
        <v>0</v>
      </c>
      <c r="DU24" s="62">
        <v>0</v>
      </c>
      <c r="DV24" s="54">
        <v>0</v>
      </c>
      <c r="DW24" s="62">
        <v>0</v>
      </c>
      <c r="DX24" s="54">
        <v>0</v>
      </c>
      <c r="DY24" s="54">
        <v>0</v>
      </c>
      <c r="DZ24" s="62">
        <v>0</v>
      </c>
      <c r="EA24" s="54">
        <v>0</v>
      </c>
      <c r="EB24" s="62">
        <v>0</v>
      </c>
      <c r="EC24" s="54">
        <v>0</v>
      </c>
      <c r="ED24" s="54">
        <v>0</v>
      </c>
      <c r="EE24" s="62">
        <v>0</v>
      </c>
      <c r="EF24" s="62">
        <v>2750</v>
      </c>
      <c r="EG24" s="54">
        <v>1400</v>
      </c>
      <c r="EH24" s="62">
        <v>0</v>
      </c>
      <c r="EI24" s="54">
        <v>99169</v>
      </c>
      <c r="EJ24" s="54">
        <v>693398</v>
      </c>
      <c r="EK24" s="62">
        <v>796717</v>
      </c>
      <c r="EL24" s="62">
        <v>6866219</v>
      </c>
      <c r="EM24" s="62">
        <v>734450</v>
      </c>
      <c r="EN24" s="62">
        <v>432159</v>
      </c>
      <c r="EO24" s="62">
        <v>7385435</v>
      </c>
      <c r="EP24" s="54">
        <v>4020159</v>
      </c>
      <c r="EQ24" s="62">
        <v>19438422</v>
      </c>
      <c r="ER24" s="62">
        <v>1399758</v>
      </c>
      <c r="ES24" s="62">
        <v>311150</v>
      </c>
      <c r="ET24" s="62">
        <v>304498</v>
      </c>
      <c r="EU24" s="62">
        <v>1859622</v>
      </c>
      <c r="EV24" s="54">
        <v>43467</v>
      </c>
      <c r="EW24" s="54">
        <v>3918495</v>
      </c>
      <c r="EX24" s="62">
        <v>350000</v>
      </c>
      <c r="EY24" s="62">
        <v>8000</v>
      </c>
      <c r="EZ24" s="62">
        <v>5190</v>
      </c>
      <c r="FA24" s="62">
        <v>23372</v>
      </c>
      <c r="FB24" s="54">
        <v>0</v>
      </c>
      <c r="FC24" s="54">
        <v>386562</v>
      </c>
      <c r="FD24" s="62">
        <v>1399844</v>
      </c>
      <c r="FE24" s="62">
        <v>483933</v>
      </c>
      <c r="FF24" s="62">
        <v>329670</v>
      </c>
      <c r="FG24" s="54">
        <v>1214049</v>
      </c>
      <c r="FH24" s="54">
        <v>0</v>
      </c>
      <c r="FI24" s="54">
        <v>3427496</v>
      </c>
      <c r="FJ24" s="62">
        <v>0</v>
      </c>
      <c r="FK24" s="62">
        <v>0</v>
      </c>
      <c r="FL24" s="62">
        <v>0</v>
      </c>
      <c r="FM24" s="62">
        <v>0</v>
      </c>
      <c r="FN24" s="54">
        <v>0</v>
      </c>
      <c r="FO24" s="54">
        <v>0</v>
      </c>
      <c r="FP24" s="62">
        <v>56052</v>
      </c>
      <c r="FQ24" s="62">
        <v>33508</v>
      </c>
      <c r="FR24" s="62">
        <v>10996</v>
      </c>
      <c r="FS24" s="54">
        <v>0</v>
      </c>
      <c r="FT24" s="54">
        <v>1715954</v>
      </c>
      <c r="FU24" s="62">
        <v>1816510</v>
      </c>
      <c r="FV24" s="62">
        <v>0</v>
      </c>
      <c r="FW24" s="54">
        <v>0</v>
      </c>
      <c r="FX24" s="54">
        <v>0</v>
      </c>
      <c r="FY24" s="54">
        <v>0</v>
      </c>
      <c r="FZ24" s="54">
        <v>0</v>
      </c>
      <c r="GA24" s="62">
        <v>0</v>
      </c>
      <c r="GB24" s="62">
        <v>45979</v>
      </c>
      <c r="GC24" s="54">
        <v>4880</v>
      </c>
      <c r="GD24" s="54">
        <v>6823</v>
      </c>
      <c r="GE24" s="54">
        <v>8796</v>
      </c>
      <c r="GF24" s="54">
        <v>28940</v>
      </c>
      <c r="GG24" s="54">
        <v>95418</v>
      </c>
      <c r="GH24" s="54">
        <v>111456</v>
      </c>
      <c r="GI24" s="62">
        <v>52336</v>
      </c>
      <c r="GJ24" s="62">
        <v>45289</v>
      </c>
      <c r="GK24" s="62">
        <v>51153</v>
      </c>
      <c r="GL24" s="54">
        <v>0</v>
      </c>
      <c r="GM24" s="54">
        <v>260234</v>
      </c>
      <c r="GN24" s="62">
        <v>1029336</v>
      </c>
      <c r="GO24" s="62">
        <v>313699</v>
      </c>
      <c r="GP24" s="62">
        <v>160504</v>
      </c>
      <c r="GQ24" s="62">
        <v>708202</v>
      </c>
      <c r="GR24" s="54">
        <v>0</v>
      </c>
      <c r="GS24" s="54">
        <v>2211741</v>
      </c>
      <c r="GT24" s="62">
        <v>164017</v>
      </c>
      <c r="GU24" s="62">
        <v>29058</v>
      </c>
      <c r="GV24" s="62">
        <v>21677</v>
      </c>
      <c r="GW24" s="62">
        <v>233466</v>
      </c>
      <c r="GX24" s="54">
        <v>267626</v>
      </c>
      <c r="GY24" s="62">
        <v>715844</v>
      </c>
      <c r="GZ24" s="62">
        <v>168578</v>
      </c>
      <c r="HA24" s="62">
        <v>90374</v>
      </c>
      <c r="HB24" s="62">
        <v>49048</v>
      </c>
      <c r="HC24" s="62">
        <v>95862</v>
      </c>
      <c r="HD24" s="54">
        <v>11365</v>
      </c>
      <c r="HE24" s="54">
        <v>415227</v>
      </c>
      <c r="HF24" s="62">
        <v>21910</v>
      </c>
      <c r="HG24" s="62">
        <v>0</v>
      </c>
      <c r="HH24" s="62">
        <v>6000</v>
      </c>
      <c r="HI24" s="62">
        <v>0</v>
      </c>
      <c r="HJ24" s="54">
        <v>743427</v>
      </c>
      <c r="HK24" s="62">
        <v>771337</v>
      </c>
      <c r="HL24" s="62">
        <v>0</v>
      </c>
      <c r="HM24" s="62">
        <v>0</v>
      </c>
      <c r="HN24" s="54">
        <v>0</v>
      </c>
      <c r="HO24" s="62">
        <v>0</v>
      </c>
      <c r="HP24" s="54">
        <v>0</v>
      </c>
      <c r="HQ24" s="54">
        <v>0</v>
      </c>
      <c r="HR24" s="62">
        <v>136538</v>
      </c>
      <c r="HS24" s="62">
        <v>0</v>
      </c>
      <c r="HT24" s="62">
        <v>0</v>
      </c>
      <c r="HU24" s="62">
        <v>7048</v>
      </c>
      <c r="HV24" s="54">
        <v>96270</v>
      </c>
      <c r="HW24" s="62">
        <v>239856</v>
      </c>
      <c r="HX24" s="62">
        <v>0</v>
      </c>
      <c r="HY24" s="54">
        <v>0</v>
      </c>
      <c r="HZ24" s="54">
        <v>0</v>
      </c>
      <c r="IA24" s="54">
        <v>0</v>
      </c>
      <c r="IB24" s="54">
        <v>41905</v>
      </c>
      <c r="IC24" s="54">
        <v>41905</v>
      </c>
      <c r="ID24" s="54">
        <v>0</v>
      </c>
      <c r="IE24" s="54">
        <v>0</v>
      </c>
      <c r="IF24" s="54">
        <v>0</v>
      </c>
      <c r="IG24" s="54">
        <v>0</v>
      </c>
      <c r="IH24" s="54">
        <v>1254155</v>
      </c>
      <c r="II24" s="54">
        <v>1254155</v>
      </c>
      <c r="IJ24" s="62">
        <v>0</v>
      </c>
      <c r="IK24" s="62">
        <v>0</v>
      </c>
      <c r="IL24" s="62">
        <v>0</v>
      </c>
      <c r="IM24" s="62">
        <v>0</v>
      </c>
      <c r="IN24" s="54">
        <v>420998</v>
      </c>
      <c r="IO24" s="54">
        <v>420998</v>
      </c>
      <c r="IP24" s="54">
        <v>60</v>
      </c>
      <c r="IQ24" s="54">
        <v>1080</v>
      </c>
      <c r="IR24" s="62">
        <v>435</v>
      </c>
      <c r="IS24" s="62">
        <v>12688</v>
      </c>
      <c r="IT24" s="54">
        <v>92714</v>
      </c>
      <c r="IU24" s="62">
        <v>106977</v>
      </c>
      <c r="IV24" s="62">
        <v>45290</v>
      </c>
      <c r="IW24" s="62">
        <v>13354</v>
      </c>
      <c r="IX24" s="62">
        <v>4340</v>
      </c>
      <c r="IY24" s="62">
        <v>16343</v>
      </c>
      <c r="IZ24" s="54">
        <v>545118</v>
      </c>
      <c r="JA24" s="54">
        <v>624445</v>
      </c>
      <c r="JB24" s="62">
        <v>4928818</v>
      </c>
      <c r="JC24" s="62">
        <v>1341372</v>
      </c>
      <c r="JD24" s="62">
        <v>944470</v>
      </c>
      <c r="JE24" s="62">
        <v>4230601</v>
      </c>
      <c r="JF24" s="54">
        <v>5261939</v>
      </c>
      <c r="JG24" s="62">
        <v>16707200</v>
      </c>
      <c r="JH24" s="62">
        <v>333640</v>
      </c>
      <c r="JI24" s="54">
        <v>0</v>
      </c>
      <c r="JJ24" s="54">
        <v>0</v>
      </c>
      <c r="JK24" s="54">
        <v>0</v>
      </c>
      <c r="JL24" s="54">
        <v>1282311</v>
      </c>
      <c r="JM24" s="54">
        <v>1615951</v>
      </c>
      <c r="JN24" s="54">
        <v>4928818</v>
      </c>
      <c r="JO24" s="62">
        <v>1341372</v>
      </c>
      <c r="JP24" s="62">
        <v>944470</v>
      </c>
      <c r="JQ24" s="62">
        <v>4230601</v>
      </c>
      <c r="JR24" s="54">
        <v>5261939</v>
      </c>
      <c r="JS24" s="62">
        <v>16707200</v>
      </c>
      <c r="JT24" s="12"/>
      <c r="JU24" s="5">
        <f t="shared" si="80"/>
        <v>1361976</v>
      </c>
      <c r="JV24" s="26">
        <f t="shared" si="81"/>
        <v>0</v>
      </c>
      <c r="JW24" s="5">
        <f t="shared" si="82"/>
        <v>10425354</v>
      </c>
      <c r="JX24" s="26">
        <f t="shared" si="83"/>
        <v>0</v>
      </c>
      <c r="JY24" s="5">
        <f t="shared" si="84"/>
        <v>1614500</v>
      </c>
      <c r="JZ24" s="26">
        <f t="shared" si="85"/>
        <v>0</v>
      </c>
      <c r="KA24" s="5">
        <f t="shared" si="86"/>
        <v>1348173</v>
      </c>
      <c r="KB24" s="26">
        <f t="shared" si="87"/>
        <v>0</v>
      </c>
      <c r="KC24" s="5">
        <f t="shared" si="88"/>
        <v>0</v>
      </c>
      <c r="KD24" s="26">
        <f t="shared" si="89"/>
        <v>0</v>
      </c>
      <c r="KE24" s="5">
        <f t="shared" si="90"/>
        <v>0</v>
      </c>
      <c r="KF24" s="26">
        <f t="shared" si="91"/>
        <v>0</v>
      </c>
      <c r="KG24" s="5">
        <f t="shared" si="92"/>
        <v>1321616</v>
      </c>
      <c r="KH24" s="26">
        <f t="shared" si="93"/>
        <v>0</v>
      </c>
      <c r="KI24" s="5">
        <f t="shared" si="94"/>
        <v>1254155</v>
      </c>
      <c r="KJ24" s="26">
        <f t="shared" si="95"/>
        <v>0</v>
      </c>
      <c r="KK24" s="5">
        <f t="shared" si="96"/>
        <v>913776</v>
      </c>
      <c r="KL24" s="26">
        <f t="shared" si="97"/>
        <v>0</v>
      </c>
      <c r="KM24" s="5">
        <f t="shared" si="98"/>
        <v>0</v>
      </c>
      <c r="KN24" s="26">
        <f t="shared" si="99"/>
        <v>0</v>
      </c>
      <c r="KO24" s="5">
        <f t="shared" si="100"/>
        <v>70165</v>
      </c>
      <c r="KP24" s="26">
        <f t="shared" si="101"/>
        <v>0</v>
      </c>
      <c r="KQ24" s="5">
        <f t="shared" si="102"/>
        <v>331990</v>
      </c>
      <c r="KR24" s="26">
        <f t="shared" si="103"/>
        <v>0</v>
      </c>
      <c r="KS24" s="5">
        <f t="shared" si="104"/>
        <v>0</v>
      </c>
      <c r="KT24" s="26">
        <f t="shared" si="105"/>
        <v>0</v>
      </c>
      <c r="KU24" s="5">
        <f t="shared" si="106"/>
        <v>0</v>
      </c>
      <c r="KV24" s="26">
        <f t="shared" si="107"/>
        <v>0</v>
      </c>
      <c r="KW24" s="5">
        <f t="shared" si="108"/>
        <v>796717</v>
      </c>
      <c r="KX24" s="26">
        <f t="shared" si="109"/>
        <v>0</v>
      </c>
      <c r="KY24" s="5">
        <f t="shared" si="110"/>
        <v>19438422</v>
      </c>
      <c r="KZ24" s="26">
        <f t="shared" si="111"/>
        <v>0</v>
      </c>
      <c r="LA24" s="5">
        <f t="shared" si="112"/>
        <v>3918495</v>
      </c>
      <c r="LB24" s="26">
        <f t="shared" si="113"/>
        <v>0</v>
      </c>
      <c r="LC24" s="5">
        <f t="shared" si="114"/>
        <v>386562</v>
      </c>
      <c r="LD24" s="26">
        <f t="shared" si="115"/>
        <v>0</v>
      </c>
      <c r="LE24" s="5">
        <f t="shared" si="116"/>
        <v>3427496</v>
      </c>
      <c r="LF24" s="26">
        <f t="shared" si="117"/>
        <v>0</v>
      </c>
      <c r="LG24" s="5">
        <f t="shared" si="118"/>
        <v>0</v>
      </c>
      <c r="LH24" s="26">
        <f t="shared" si="119"/>
        <v>0</v>
      </c>
      <c r="LI24" s="5">
        <f t="shared" si="120"/>
        <v>1816510</v>
      </c>
      <c r="LJ24" s="26">
        <f t="shared" si="121"/>
        <v>0</v>
      </c>
      <c r="LK24" s="5">
        <f t="shared" si="122"/>
        <v>0</v>
      </c>
      <c r="LL24" s="26">
        <f t="shared" si="123"/>
        <v>0</v>
      </c>
      <c r="LM24" s="5">
        <f t="shared" si="124"/>
        <v>95418</v>
      </c>
      <c r="LN24" s="26">
        <f t="shared" si="125"/>
        <v>0</v>
      </c>
      <c r="LO24" s="5">
        <f t="shared" si="126"/>
        <v>260234</v>
      </c>
      <c r="LP24" s="26">
        <f t="shared" si="127"/>
        <v>0</v>
      </c>
      <c r="LQ24" s="5">
        <f t="shared" si="128"/>
        <v>2211741</v>
      </c>
      <c r="LR24" s="26">
        <f t="shared" si="129"/>
        <v>0</v>
      </c>
      <c r="LS24" s="5">
        <f t="shared" si="130"/>
        <v>715844</v>
      </c>
      <c r="LT24" s="26">
        <f t="shared" si="131"/>
        <v>0</v>
      </c>
      <c r="LU24" s="5">
        <f t="shared" si="132"/>
        <v>415227</v>
      </c>
      <c r="LV24" s="26">
        <f t="shared" si="133"/>
        <v>0</v>
      </c>
      <c r="LW24" s="5">
        <f t="shared" si="134"/>
        <v>771337</v>
      </c>
      <c r="LX24" s="26">
        <f t="shared" si="135"/>
        <v>0</v>
      </c>
      <c r="LY24" s="5">
        <f t="shared" si="136"/>
        <v>0</v>
      </c>
      <c r="LZ24" s="26">
        <f t="shared" si="137"/>
        <v>0</v>
      </c>
      <c r="MA24" s="5">
        <f t="shared" si="138"/>
        <v>239856</v>
      </c>
      <c r="MB24" s="26">
        <f t="shared" si="139"/>
        <v>0</v>
      </c>
      <c r="MC24" s="5">
        <f t="shared" si="140"/>
        <v>41905</v>
      </c>
      <c r="MD24" s="26">
        <f t="shared" si="141"/>
        <v>0</v>
      </c>
      <c r="ME24" s="5">
        <f t="shared" si="142"/>
        <v>1254155</v>
      </c>
      <c r="MF24" s="26">
        <f t="shared" si="143"/>
        <v>0</v>
      </c>
      <c r="MG24" s="5">
        <f t="shared" si="144"/>
        <v>420998</v>
      </c>
      <c r="MH24" s="26">
        <f t="shared" si="145"/>
        <v>0</v>
      </c>
      <c r="MI24" s="5">
        <f t="shared" si="146"/>
        <v>106977</v>
      </c>
      <c r="MJ24" s="26">
        <f t="shared" si="147"/>
        <v>0</v>
      </c>
      <c r="MK24" s="5">
        <f t="shared" si="148"/>
        <v>624445</v>
      </c>
      <c r="ML24" s="26">
        <f t="shared" si="149"/>
        <v>0</v>
      </c>
      <c r="MM24" s="5">
        <f t="shared" si="150"/>
        <v>16707200</v>
      </c>
      <c r="MN24" s="26">
        <f t="shared" si="151"/>
        <v>0</v>
      </c>
      <c r="MO24" s="5">
        <f t="shared" si="152"/>
        <v>1615951</v>
      </c>
      <c r="MP24" s="26">
        <f t="shared" si="153"/>
        <v>0</v>
      </c>
      <c r="MQ24" s="5">
        <f t="shared" si="154"/>
        <v>16707200</v>
      </c>
      <c r="MR24" s="26">
        <f t="shared" si="155"/>
        <v>0</v>
      </c>
      <c r="MS24" s="10"/>
      <c r="MT24" s="5">
        <f t="shared" si="76"/>
        <v>0</v>
      </c>
      <c r="MV24" s="4">
        <f t="shared" si="77"/>
        <v>0</v>
      </c>
    </row>
    <row r="25" spans="1:360" x14ac:dyDescent="0.15">
      <c r="A25" s="155" t="s">
        <v>513</v>
      </c>
      <c r="B25" s="25" t="s">
        <v>464</v>
      </c>
      <c r="C25" s="109">
        <v>133951</v>
      </c>
      <c r="D25" s="105">
        <v>2011</v>
      </c>
      <c r="E25" s="106">
        <v>1</v>
      </c>
      <c r="F25" s="106">
        <v>11</v>
      </c>
      <c r="G25" s="107">
        <v>14766</v>
      </c>
      <c r="H25" s="107">
        <v>18135</v>
      </c>
      <c r="I25" s="108">
        <v>703181580</v>
      </c>
      <c r="J25" s="108"/>
      <c r="K25" s="108">
        <v>2005824</v>
      </c>
      <c r="L25" s="108"/>
      <c r="M25" s="108">
        <v>12488955</v>
      </c>
      <c r="N25" s="108"/>
      <c r="O25" s="108">
        <v>34003984</v>
      </c>
      <c r="P25" s="108"/>
      <c r="Q25" s="108">
        <v>124242506</v>
      </c>
      <c r="R25" s="108"/>
      <c r="S25" s="108">
        <v>531568844</v>
      </c>
      <c r="T25" s="108"/>
      <c r="U25" s="108">
        <v>16932</v>
      </c>
      <c r="V25" s="108"/>
      <c r="W25" s="108">
        <v>29330</v>
      </c>
      <c r="X25" s="108"/>
      <c r="Y25" s="108">
        <v>21122</v>
      </c>
      <c r="Z25" s="108"/>
      <c r="AA25" s="108">
        <v>33520</v>
      </c>
      <c r="AB25" s="108"/>
      <c r="AC25" s="129">
        <v>7</v>
      </c>
      <c r="AD25" s="129">
        <v>10</v>
      </c>
      <c r="AE25" s="129">
        <v>0</v>
      </c>
      <c r="AF25" s="26">
        <v>2954613</v>
      </c>
      <c r="AG25" s="26">
        <v>2459338</v>
      </c>
      <c r="AH25" s="26">
        <v>331057</v>
      </c>
      <c r="AI25" s="26">
        <v>89817</v>
      </c>
      <c r="AJ25" s="26">
        <v>271107.78000000003</v>
      </c>
      <c r="AK25" s="36">
        <v>4.5</v>
      </c>
      <c r="AL25" s="26">
        <v>243997</v>
      </c>
      <c r="AM25" s="36">
        <v>5</v>
      </c>
      <c r="AN25" s="26">
        <v>92603.07</v>
      </c>
      <c r="AO25" s="36">
        <v>7.5</v>
      </c>
      <c r="AP25" s="26">
        <v>86815.38</v>
      </c>
      <c r="AQ25" s="36">
        <v>8</v>
      </c>
      <c r="AR25" s="26">
        <v>98732.23</v>
      </c>
      <c r="AS25" s="36">
        <v>15.95</v>
      </c>
      <c r="AT25" s="26">
        <v>87487.72</v>
      </c>
      <c r="AU25" s="36">
        <v>18</v>
      </c>
      <c r="AV25" s="26">
        <v>51021.71</v>
      </c>
      <c r="AW25" s="36">
        <v>8.1999999999999993</v>
      </c>
      <c r="AX25" s="26">
        <v>41837.800000000003</v>
      </c>
      <c r="AY25" s="36">
        <v>10</v>
      </c>
      <c r="AZ25" s="54">
        <v>637831</v>
      </c>
      <c r="BA25" s="54">
        <v>41559</v>
      </c>
      <c r="BB25" s="54">
        <v>4115</v>
      </c>
      <c r="BC25" s="54">
        <v>24814</v>
      </c>
      <c r="BD25" s="54">
        <v>0</v>
      </c>
      <c r="BE25" s="54">
        <v>708319</v>
      </c>
      <c r="BF25" s="54">
        <v>4836225</v>
      </c>
      <c r="BG25" s="54">
        <v>1338122</v>
      </c>
      <c r="BH25" s="54">
        <v>796353</v>
      </c>
      <c r="BI25" s="54">
        <v>3719354</v>
      </c>
      <c r="BJ25" s="54">
        <v>6241932</v>
      </c>
      <c r="BK25" s="54">
        <v>16931986</v>
      </c>
      <c r="BL25" s="54">
        <v>1730000</v>
      </c>
      <c r="BM25" s="54">
        <v>90000</v>
      </c>
      <c r="BN25" s="54">
        <v>14000</v>
      </c>
      <c r="BO25" s="54">
        <v>31500</v>
      </c>
      <c r="BP25" s="54">
        <v>0</v>
      </c>
      <c r="BQ25" s="54">
        <v>1865500</v>
      </c>
      <c r="BR25" s="54">
        <v>41216</v>
      </c>
      <c r="BS25" s="54">
        <v>70840</v>
      </c>
      <c r="BT25" s="54">
        <v>0</v>
      </c>
      <c r="BU25" s="54">
        <v>103066</v>
      </c>
      <c r="BV25" s="54">
        <v>200000</v>
      </c>
      <c r="BW25" s="54">
        <v>415122</v>
      </c>
      <c r="BX25" s="54">
        <v>0</v>
      </c>
      <c r="BY25" s="54">
        <v>0</v>
      </c>
      <c r="BZ25" s="54">
        <v>0</v>
      </c>
      <c r="CA25" s="54">
        <v>0</v>
      </c>
      <c r="CB25" s="54">
        <v>0</v>
      </c>
      <c r="CC25" s="54">
        <v>0</v>
      </c>
      <c r="CD25" s="54">
        <v>0</v>
      </c>
      <c r="CE25" s="54">
        <v>0</v>
      </c>
      <c r="CF25" s="54">
        <v>0</v>
      </c>
      <c r="CG25" s="54">
        <v>0</v>
      </c>
      <c r="CH25" s="54">
        <v>49579</v>
      </c>
      <c r="CI25" s="54">
        <v>49579</v>
      </c>
      <c r="CJ25" s="54">
        <v>185000</v>
      </c>
      <c r="CK25" s="54">
        <v>100000</v>
      </c>
      <c r="CL25" s="54">
        <v>77635</v>
      </c>
      <c r="CM25" s="54">
        <v>216728</v>
      </c>
      <c r="CN25" s="54">
        <v>1555308</v>
      </c>
      <c r="CO25" s="54">
        <v>2134671</v>
      </c>
      <c r="CP25" s="54">
        <v>0</v>
      </c>
      <c r="CQ25" s="54">
        <v>11970</v>
      </c>
      <c r="CR25" s="54">
        <v>8900</v>
      </c>
      <c r="CS25" s="54">
        <v>18970</v>
      </c>
      <c r="CT25" s="54">
        <v>0</v>
      </c>
      <c r="CU25" s="54">
        <v>39840</v>
      </c>
      <c r="CV25" s="54">
        <v>314670</v>
      </c>
      <c r="CW25" s="54">
        <v>1529</v>
      </c>
      <c r="CX25" s="54">
        <v>9533</v>
      </c>
      <c r="CY25" s="54">
        <v>49370</v>
      </c>
      <c r="CZ25" s="54">
        <v>879116</v>
      </c>
      <c r="DA25" s="54">
        <v>1254218</v>
      </c>
      <c r="DB25" s="54">
        <v>0</v>
      </c>
      <c r="DC25" s="54">
        <v>0</v>
      </c>
      <c r="DD25" s="54">
        <v>0</v>
      </c>
      <c r="DE25" s="54">
        <v>0</v>
      </c>
      <c r="DF25" s="54">
        <v>0</v>
      </c>
      <c r="DG25" s="54">
        <v>0</v>
      </c>
      <c r="DH25" s="54">
        <v>500</v>
      </c>
      <c r="DI25" s="54">
        <v>1452</v>
      </c>
      <c r="DJ25" s="54">
        <v>0</v>
      </c>
      <c r="DK25" s="54">
        <v>1019</v>
      </c>
      <c r="DL25" s="54">
        <v>1809</v>
      </c>
      <c r="DM25" s="54">
        <v>4780</v>
      </c>
      <c r="DN25" s="54">
        <v>12500</v>
      </c>
      <c r="DO25" s="54">
        <v>0</v>
      </c>
      <c r="DP25" s="54">
        <v>0</v>
      </c>
      <c r="DQ25" s="54">
        <v>34801</v>
      </c>
      <c r="DR25" s="54">
        <v>314997</v>
      </c>
      <c r="DS25" s="54">
        <v>362298</v>
      </c>
      <c r="DT25" s="54">
        <v>0</v>
      </c>
      <c r="DU25" s="54">
        <v>0</v>
      </c>
      <c r="DV25" s="54">
        <v>0</v>
      </c>
      <c r="DW25" s="54">
        <v>0</v>
      </c>
      <c r="DX25" s="54">
        <v>0</v>
      </c>
      <c r="DY25" s="54">
        <v>0</v>
      </c>
      <c r="DZ25" s="54">
        <v>0</v>
      </c>
      <c r="EA25" s="54">
        <v>2268</v>
      </c>
      <c r="EB25" s="54">
        <v>3554</v>
      </c>
      <c r="EC25" s="54">
        <v>53912</v>
      </c>
      <c r="ED25" s="54">
        <v>1420</v>
      </c>
      <c r="EE25" s="54">
        <v>61154</v>
      </c>
      <c r="EF25" s="54">
        <v>0</v>
      </c>
      <c r="EG25" s="54">
        <v>0</v>
      </c>
      <c r="EH25" s="54">
        <v>0</v>
      </c>
      <c r="EI25" s="54">
        <v>20876</v>
      </c>
      <c r="EJ25" s="54">
        <v>1611</v>
      </c>
      <c r="EK25" s="54">
        <v>22487</v>
      </c>
      <c r="EL25" s="54">
        <v>7757942</v>
      </c>
      <c r="EM25" s="54">
        <v>1657740</v>
      </c>
      <c r="EN25" s="54">
        <v>914090</v>
      </c>
      <c r="EO25" s="54">
        <v>4274410</v>
      </c>
      <c r="EP25" s="54">
        <v>9245772</v>
      </c>
      <c r="EQ25" s="54">
        <v>23849954</v>
      </c>
      <c r="ER25" s="54">
        <v>1967903</v>
      </c>
      <c r="ES25" s="54">
        <v>445273</v>
      </c>
      <c r="ET25" s="54">
        <v>363404</v>
      </c>
      <c r="EU25" s="54">
        <v>2637371</v>
      </c>
      <c r="EV25" s="54">
        <v>447198</v>
      </c>
      <c r="EW25" s="54">
        <v>5861149</v>
      </c>
      <c r="EX25" s="54">
        <v>700000</v>
      </c>
      <c r="EY25" s="54">
        <v>4000</v>
      </c>
      <c r="EZ25" s="54">
        <v>42217</v>
      </c>
      <c r="FA25" s="54">
        <v>29015</v>
      </c>
      <c r="FB25" s="54">
        <v>0</v>
      </c>
      <c r="FC25" s="54">
        <v>775232</v>
      </c>
      <c r="FD25" s="54">
        <v>1718655</v>
      </c>
      <c r="FE25" s="54">
        <v>645685</v>
      </c>
      <c r="FF25" s="54">
        <v>425182</v>
      </c>
      <c r="FG25" s="54">
        <v>1118143</v>
      </c>
      <c r="FH25" s="54">
        <v>0</v>
      </c>
      <c r="FI25" s="54">
        <v>3907665</v>
      </c>
      <c r="FJ25" s="54">
        <v>0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P25" s="54">
        <v>397954</v>
      </c>
      <c r="FQ25" s="54">
        <v>126586</v>
      </c>
      <c r="FR25" s="54">
        <v>39174</v>
      </c>
      <c r="FS25" s="54">
        <v>137437</v>
      </c>
      <c r="FT25" s="54">
        <v>3029572</v>
      </c>
      <c r="FU25" s="54">
        <v>3730723</v>
      </c>
      <c r="FV25" s="54">
        <v>0</v>
      </c>
      <c r="FW25" s="54">
        <v>0</v>
      </c>
      <c r="FX25" s="54">
        <v>0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D25" s="54">
        <v>0</v>
      </c>
      <c r="GE25" s="54">
        <v>0</v>
      </c>
      <c r="GF25" s="54">
        <v>7341</v>
      </c>
      <c r="GG25" s="54">
        <v>7341</v>
      </c>
      <c r="GH25" s="54">
        <v>183748</v>
      </c>
      <c r="GI25" s="54">
        <v>75969</v>
      </c>
      <c r="GJ25" s="54">
        <v>31043</v>
      </c>
      <c r="GK25" s="54">
        <v>130114</v>
      </c>
      <c r="GL25" s="54">
        <v>0</v>
      </c>
      <c r="GM25" s="54">
        <v>420874</v>
      </c>
      <c r="GN25" s="54">
        <v>950503</v>
      </c>
      <c r="GO25" s="54">
        <v>271742</v>
      </c>
      <c r="GP25" s="54">
        <v>161063</v>
      </c>
      <c r="GQ25" s="54">
        <v>913751</v>
      </c>
      <c r="GR25" s="54">
        <v>0</v>
      </c>
      <c r="GS25" s="54">
        <v>2297059</v>
      </c>
      <c r="GT25" s="54">
        <v>217242</v>
      </c>
      <c r="GU25" s="54">
        <v>53217</v>
      </c>
      <c r="GV25" s="54">
        <v>33589</v>
      </c>
      <c r="GW25" s="54">
        <v>222842</v>
      </c>
      <c r="GX25" s="54">
        <v>45285</v>
      </c>
      <c r="GY25" s="54">
        <v>572175</v>
      </c>
      <c r="GZ25" s="54">
        <v>413970</v>
      </c>
      <c r="HA25" s="54">
        <v>110722</v>
      </c>
      <c r="HB25" s="54">
        <v>79579</v>
      </c>
      <c r="HC25" s="54">
        <v>129675</v>
      </c>
      <c r="HD25" s="54">
        <v>2429</v>
      </c>
      <c r="HE25" s="54">
        <v>736375</v>
      </c>
      <c r="HF25" s="54">
        <v>110773</v>
      </c>
      <c r="HG25" s="54">
        <v>66452</v>
      </c>
      <c r="HH25" s="54">
        <v>12052</v>
      </c>
      <c r="HI25" s="54">
        <v>25972</v>
      </c>
      <c r="HJ25" s="54">
        <v>320027</v>
      </c>
      <c r="HK25" s="54">
        <v>535276</v>
      </c>
      <c r="HL25" s="54">
        <v>0</v>
      </c>
      <c r="HM25" s="54">
        <v>0</v>
      </c>
      <c r="HN25" s="54">
        <v>0</v>
      </c>
      <c r="HO25" s="54">
        <v>0</v>
      </c>
      <c r="HP25" s="54">
        <v>0</v>
      </c>
      <c r="HQ25" s="54">
        <v>0</v>
      </c>
      <c r="HR25" s="54">
        <v>58939</v>
      </c>
      <c r="HS25" s="54">
        <v>3764</v>
      </c>
      <c r="HT25" s="54">
        <v>3052</v>
      </c>
      <c r="HU25" s="54">
        <v>43459</v>
      </c>
      <c r="HV25" s="54">
        <v>3898329</v>
      </c>
      <c r="HW25" s="54">
        <v>4007543</v>
      </c>
      <c r="HX25" s="54">
        <v>0</v>
      </c>
      <c r="HY25" s="54">
        <v>0</v>
      </c>
      <c r="HZ25" s="54">
        <v>0</v>
      </c>
      <c r="IA25" s="54">
        <v>0</v>
      </c>
      <c r="IB25" s="54">
        <v>30952</v>
      </c>
      <c r="IC25" s="54">
        <v>30952</v>
      </c>
      <c r="ID25" s="54">
        <v>0</v>
      </c>
      <c r="IE25" s="54">
        <v>11970</v>
      </c>
      <c r="IF25" s="54">
        <v>8900</v>
      </c>
      <c r="IG25" s="54">
        <v>18970</v>
      </c>
      <c r="IH25" s="54">
        <v>0</v>
      </c>
      <c r="II25" s="54">
        <v>39840</v>
      </c>
      <c r="IJ25" s="54">
        <v>214638</v>
      </c>
      <c r="IK25" s="54">
        <v>30955</v>
      </c>
      <c r="IL25" s="54">
        <v>38525</v>
      </c>
      <c r="IM25" s="54">
        <v>116791</v>
      </c>
      <c r="IN25" s="54">
        <v>139965</v>
      </c>
      <c r="IO25" s="54">
        <v>540874</v>
      </c>
      <c r="IP25" s="54">
        <v>2500</v>
      </c>
      <c r="IQ25" s="54">
        <v>14320</v>
      </c>
      <c r="IR25" s="54">
        <v>9578</v>
      </c>
      <c r="IS25" s="54">
        <v>9487</v>
      </c>
      <c r="IT25" s="54">
        <v>95534</v>
      </c>
      <c r="IU25" s="54">
        <v>131419</v>
      </c>
      <c r="IV25" s="54">
        <v>287980</v>
      </c>
      <c r="IW25" s="54">
        <v>46493</v>
      </c>
      <c r="IX25" s="54">
        <v>17641</v>
      </c>
      <c r="IY25" s="54">
        <v>105697</v>
      </c>
      <c r="IZ25" s="54">
        <v>553833</v>
      </c>
      <c r="JA25" s="54">
        <v>1011644</v>
      </c>
      <c r="JB25" s="54">
        <v>7224805</v>
      </c>
      <c r="JC25" s="54">
        <v>1907148</v>
      </c>
      <c r="JD25" s="54">
        <v>1264999</v>
      </c>
      <c r="JE25" s="54">
        <v>5638724</v>
      </c>
      <c r="JF25" s="54">
        <v>8570465</v>
      </c>
      <c r="JG25" s="54">
        <v>24606141</v>
      </c>
      <c r="JH25" s="54">
        <v>0</v>
      </c>
      <c r="JI25" s="54">
        <v>0</v>
      </c>
      <c r="JJ25" s="54">
        <v>0</v>
      </c>
      <c r="JK25" s="54">
        <v>0</v>
      </c>
      <c r="JL25" s="54">
        <v>0</v>
      </c>
      <c r="JM25" s="54">
        <v>0</v>
      </c>
      <c r="JN25" s="54">
        <v>7224805</v>
      </c>
      <c r="JO25" s="54">
        <v>1907148</v>
      </c>
      <c r="JP25" s="54">
        <v>1264999</v>
      </c>
      <c r="JQ25" s="54">
        <v>5638724</v>
      </c>
      <c r="JR25" s="54">
        <v>8570465</v>
      </c>
      <c r="JS25" s="54">
        <v>24606141</v>
      </c>
      <c r="JT25" s="12"/>
      <c r="JU25" s="5">
        <f t="shared" si="80"/>
        <v>708319</v>
      </c>
      <c r="JV25" s="26">
        <f t="shared" si="81"/>
        <v>0</v>
      </c>
      <c r="JW25" s="5">
        <f t="shared" si="82"/>
        <v>16931986</v>
      </c>
      <c r="JX25" s="26">
        <f t="shared" si="83"/>
        <v>0</v>
      </c>
      <c r="JY25" s="5">
        <f t="shared" si="84"/>
        <v>1865500</v>
      </c>
      <c r="JZ25" s="26">
        <f t="shared" si="85"/>
        <v>0</v>
      </c>
      <c r="KA25" s="5">
        <f t="shared" si="86"/>
        <v>415122</v>
      </c>
      <c r="KB25" s="26">
        <f t="shared" si="87"/>
        <v>0</v>
      </c>
      <c r="KC25" s="5">
        <f t="shared" si="88"/>
        <v>0</v>
      </c>
      <c r="KD25" s="26">
        <f t="shared" si="89"/>
        <v>0</v>
      </c>
      <c r="KE25" s="5">
        <f t="shared" si="90"/>
        <v>49579</v>
      </c>
      <c r="KF25" s="26">
        <f t="shared" si="91"/>
        <v>0</v>
      </c>
      <c r="KG25" s="5">
        <f t="shared" si="92"/>
        <v>2134671</v>
      </c>
      <c r="KH25" s="26">
        <f t="shared" si="93"/>
        <v>0</v>
      </c>
      <c r="KI25" s="5">
        <f t="shared" si="94"/>
        <v>39840</v>
      </c>
      <c r="KJ25" s="26">
        <f t="shared" si="95"/>
        <v>0</v>
      </c>
      <c r="KK25" s="5">
        <f t="shared" si="96"/>
        <v>1254218</v>
      </c>
      <c r="KL25" s="26">
        <f t="shared" si="97"/>
        <v>0</v>
      </c>
      <c r="KM25" s="5">
        <f t="shared" si="98"/>
        <v>0</v>
      </c>
      <c r="KN25" s="26">
        <f t="shared" si="99"/>
        <v>0</v>
      </c>
      <c r="KO25" s="5">
        <f t="shared" si="100"/>
        <v>4780</v>
      </c>
      <c r="KP25" s="26">
        <f t="shared" si="101"/>
        <v>0</v>
      </c>
      <c r="KQ25" s="5">
        <f t="shared" si="102"/>
        <v>362298</v>
      </c>
      <c r="KR25" s="26">
        <f t="shared" si="103"/>
        <v>0</v>
      </c>
      <c r="KS25" s="5">
        <f t="shared" si="104"/>
        <v>0</v>
      </c>
      <c r="KT25" s="26">
        <f t="shared" si="105"/>
        <v>0</v>
      </c>
      <c r="KU25" s="5">
        <f t="shared" si="106"/>
        <v>61154</v>
      </c>
      <c r="KV25" s="26">
        <f t="shared" si="107"/>
        <v>0</v>
      </c>
      <c r="KW25" s="5">
        <f t="shared" si="108"/>
        <v>22487</v>
      </c>
      <c r="KX25" s="26">
        <f t="shared" si="109"/>
        <v>0</v>
      </c>
      <c r="KY25" s="5">
        <f t="shared" si="110"/>
        <v>23849954</v>
      </c>
      <c r="KZ25" s="26">
        <f t="shared" si="111"/>
        <v>0</v>
      </c>
      <c r="LA25" s="5">
        <f t="shared" si="112"/>
        <v>5861149</v>
      </c>
      <c r="LB25" s="26">
        <f t="shared" si="113"/>
        <v>0</v>
      </c>
      <c r="LC25" s="5">
        <f t="shared" si="114"/>
        <v>775232</v>
      </c>
      <c r="LD25" s="26">
        <f t="shared" si="115"/>
        <v>0</v>
      </c>
      <c r="LE25" s="5">
        <f t="shared" si="116"/>
        <v>3907665</v>
      </c>
      <c r="LF25" s="26">
        <f t="shared" si="117"/>
        <v>0</v>
      </c>
      <c r="LG25" s="5">
        <f t="shared" si="118"/>
        <v>0</v>
      </c>
      <c r="LH25" s="26">
        <f t="shared" si="119"/>
        <v>0</v>
      </c>
      <c r="LI25" s="5">
        <f t="shared" si="120"/>
        <v>3730723</v>
      </c>
      <c r="LJ25" s="26">
        <f t="shared" si="121"/>
        <v>0</v>
      </c>
      <c r="LK25" s="5">
        <f t="shared" si="122"/>
        <v>0</v>
      </c>
      <c r="LL25" s="26">
        <f t="shared" si="123"/>
        <v>0</v>
      </c>
      <c r="LM25" s="5">
        <f t="shared" si="124"/>
        <v>7341</v>
      </c>
      <c r="LN25" s="26">
        <f t="shared" si="125"/>
        <v>0</v>
      </c>
      <c r="LO25" s="5">
        <f t="shared" si="126"/>
        <v>420874</v>
      </c>
      <c r="LP25" s="26">
        <f t="shared" si="127"/>
        <v>0</v>
      </c>
      <c r="LQ25" s="5">
        <f t="shared" si="128"/>
        <v>2297059</v>
      </c>
      <c r="LR25" s="26">
        <f t="shared" si="129"/>
        <v>0</v>
      </c>
      <c r="LS25" s="5">
        <f t="shared" si="130"/>
        <v>572175</v>
      </c>
      <c r="LT25" s="26">
        <f t="shared" si="131"/>
        <v>0</v>
      </c>
      <c r="LU25" s="5">
        <f t="shared" si="132"/>
        <v>736375</v>
      </c>
      <c r="LV25" s="26">
        <f t="shared" si="133"/>
        <v>0</v>
      </c>
      <c r="LW25" s="5">
        <f t="shared" si="134"/>
        <v>535276</v>
      </c>
      <c r="LX25" s="26">
        <f t="shared" si="135"/>
        <v>0</v>
      </c>
      <c r="LY25" s="5">
        <f t="shared" si="136"/>
        <v>0</v>
      </c>
      <c r="LZ25" s="26">
        <f t="shared" si="137"/>
        <v>0</v>
      </c>
      <c r="MA25" s="5">
        <f t="shared" si="138"/>
        <v>4007543</v>
      </c>
      <c r="MB25" s="26">
        <f t="shared" si="139"/>
        <v>0</v>
      </c>
      <c r="MC25" s="5">
        <f t="shared" si="140"/>
        <v>30952</v>
      </c>
      <c r="MD25" s="26">
        <f t="shared" si="141"/>
        <v>0</v>
      </c>
      <c r="ME25" s="5">
        <f t="shared" si="142"/>
        <v>39840</v>
      </c>
      <c r="MF25" s="26">
        <f t="shared" si="143"/>
        <v>0</v>
      </c>
      <c r="MG25" s="5">
        <f t="shared" si="144"/>
        <v>540874</v>
      </c>
      <c r="MH25" s="26">
        <f t="shared" si="145"/>
        <v>0</v>
      </c>
      <c r="MI25" s="5">
        <f t="shared" si="146"/>
        <v>131419</v>
      </c>
      <c r="MJ25" s="26">
        <f t="shared" si="147"/>
        <v>0</v>
      </c>
      <c r="MK25" s="5">
        <f t="shared" si="148"/>
        <v>1011644</v>
      </c>
      <c r="ML25" s="26">
        <f t="shared" si="149"/>
        <v>0</v>
      </c>
      <c r="MM25" s="5">
        <f t="shared" si="150"/>
        <v>24606141</v>
      </c>
      <c r="MN25" s="26">
        <f t="shared" si="151"/>
        <v>0</v>
      </c>
      <c r="MO25" s="5">
        <f t="shared" si="152"/>
        <v>0</v>
      </c>
      <c r="MP25" s="26">
        <f t="shared" si="153"/>
        <v>0</v>
      </c>
      <c r="MQ25" s="5">
        <f t="shared" si="154"/>
        <v>24606141</v>
      </c>
      <c r="MR25" s="26">
        <f t="shared" si="155"/>
        <v>0</v>
      </c>
      <c r="MT25" s="5">
        <f t="shared" si="76"/>
        <v>0</v>
      </c>
      <c r="MV25" s="4">
        <f t="shared" si="77"/>
        <v>0</v>
      </c>
    </row>
    <row r="26" spans="1:360" x14ac:dyDescent="0.15">
      <c r="A26" s="157" t="s">
        <v>282</v>
      </c>
      <c r="B26" s="25" t="s">
        <v>407</v>
      </c>
      <c r="C26" s="109">
        <v>134097</v>
      </c>
      <c r="D26" s="105">
        <v>2011</v>
      </c>
      <c r="E26" s="106">
        <v>1</v>
      </c>
      <c r="F26" s="106">
        <v>1</v>
      </c>
      <c r="G26" s="107">
        <v>14021</v>
      </c>
      <c r="H26" s="107">
        <v>16984</v>
      </c>
      <c r="I26" s="108">
        <v>941520911</v>
      </c>
      <c r="J26" s="108"/>
      <c r="K26" s="108">
        <v>0</v>
      </c>
      <c r="L26" s="108"/>
      <c r="M26" s="108">
        <v>19095595</v>
      </c>
      <c r="N26" s="108"/>
      <c r="O26" s="108">
        <v>0</v>
      </c>
      <c r="P26" s="108"/>
      <c r="Q26" s="108">
        <v>243866436</v>
      </c>
      <c r="R26" s="108"/>
      <c r="S26" s="108">
        <v>734732344</v>
      </c>
      <c r="T26" s="108"/>
      <c r="U26" s="108">
        <v>15558</v>
      </c>
      <c r="V26" s="108"/>
      <c r="W26" s="108">
        <v>30002</v>
      </c>
      <c r="X26" s="108"/>
      <c r="Y26" s="108">
        <v>18920</v>
      </c>
      <c r="Z26" s="108"/>
      <c r="AA26" s="108">
        <v>35330</v>
      </c>
      <c r="AB26" s="108"/>
      <c r="AC26" s="129">
        <v>9</v>
      </c>
      <c r="AD26" s="129">
        <v>10</v>
      </c>
      <c r="AE26" s="129">
        <v>0</v>
      </c>
      <c r="AF26" s="26">
        <v>4826139</v>
      </c>
      <c r="AG26" s="26">
        <v>3304821</v>
      </c>
      <c r="AH26" s="26">
        <v>749499</v>
      </c>
      <c r="AI26" s="26">
        <v>407484</v>
      </c>
      <c r="AJ26" s="26">
        <v>853676</v>
      </c>
      <c r="AK26" s="36">
        <v>6</v>
      </c>
      <c r="AL26" s="26">
        <v>731723</v>
      </c>
      <c r="AM26" s="36">
        <v>7</v>
      </c>
      <c r="AN26" s="26">
        <v>260398</v>
      </c>
      <c r="AO26" s="36">
        <v>7</v>
      </c>
      <c r="AP26" s="26">
        <v>227848</v>
      </c>
      <c r="AQ26" s="36">
        <v>8</v>
      </c>
      <c r="AR26" s="26">
        <v>249739</v>
      </c>
      <c r="AS26" s="36">
        <v>21</v>
      </c>
      <c r="AT26" s="26">
        <v>204786</v>
      </c>
      <c r="AU26" s="36">
        <v>25</v>
      </c>
      <c r="AV26" s="26">
        <v>99448</v>
      </c>
      <c r="AW26" s="36">
        <v>16</v>
      </c>
      <c r="AX26" s="26">
        <v>77072</v>
      </c>
      <c r="AY26" s="36">
        <v>20</v>
      </c>
      <c r="AZ26" s="54">
        <v>15847234</v>
      </c>
      <c r="BA26" s="54">
        <v>1216287</v>
      </c>
      <c r="BB26" s="54">
        <v>50626</v>
      </c>
      <c r="BC26" s="54">
        <v>866023</v>
      </c>
      <c r="BD26" s="54">
        <v>0</v>
      </c>
      <c r="BE26" s="54">
        <v>17980170</v>
      </c>
      <c r="BF26" s="54">
        <v>0</v>
      </c>
      <c r="BG26" s="54">
        <v>0</v>
      </c>
      <c r="BH26" s="54">
        <v>2162509</v>
      </c>
      <c r="BI26" s="54">
        <v>5365497</v>
      </c>
      <c r="BJ26" s="54">
        <v>0</v>
      </c>
      <c r="BK26" s="54">
        <v>7528006</v>
      </c>
      <c r="BL26" s="54">
        <v>500000</v>
      </c>
      <c r="BM26" s="54">
        <v>25000</v>
      </c>
      <c r="BN26" s="54">
        <v>0</v>
      </c>
      <c r="BO26" s="54">
        <v>50000</v>
      </c>
      <c r="BP26" s="54">
        <v>0</v>
      </c>
      <c r="BQ26" s="64">
        <v>575000</v>
      </c>
      <c r="BR26" s="54">
        <v>12704978</v>
      </c>
      <c r="BS26" s="54">
        <v>893463</v>
      </c>
      <c r="BT26" s="54">
        <v>144065</v>
      </c>
      <c r="BU26" s="54">
        <v>832241</v>
      </c>
      <c r="BV26" s="54">
        <v>4727373</v>
      </c>
      <c r="BW26" s="54">
        <v>19302120</v>
      </c>
      <c r="BX26" s="54">
        <v>0</v>
      </c>
      <c r="BY26" s="54">
        <v>0</v>
      </c>
      <c r="BZ26" s="54">
        <v>0</v>
      </c>
      <c r="CA26" s="54">
        <v>0</v>
      </c>
      <c r="CB26" s="54">
        <v>0</v>
      </c>
      <c r="CC26" s="54">
        <v>0</v>
      </c>
      <c r="CD26" s="54">
        <v>0</v>
      </c>
      <c r="CE26" s="54">
        <v>0</v>
      </c>
      <c r="CF26" s="54">
        <v>0</v>
      </c>
      <c r="CG26" s="54">
        <v>0</v>
      </c>
      <c r="CH26" s="54">
        <v>0</v>
      </c>
      <c r="CI26" s="54">
        <v>0</v>
      </c>
      <c r="CJ26" s="54">
        <v>0</v>
      </c>
      <c r="CK26" s="54">
        <v>0</v>
      </c>
      <c r="CL26" s="54">
        <v>0</v>
      </c>
      <c r="CM26" s="54">
        <v>0</v>
      </c>
      <c r="CN26" s="54">
        <v>0</v>
      </c>
      <c r="CO26" s="54">
        <v>0</v>
      </c>
      <c r="CP26" s="54">
        <v>0</v>
      </c>
      <c r="CQ26" s="54">
        <v>0</v>
      </c>
      <c r="CR26" s="54">
        <v>0</v>
      </c>
      <c r="CS26" s="54">
        <v>0</v>
      </c>
      <c r="CT26" s="54">
        <v>0</v>
      </c>
      <c r="CU26" s="54">
        <v>0</v>
      </c>
      <c r="CV26" s="54">
        <v>5364743</v>
      </c>
      <c r="CW26" s="54">
        <v>2241526</v>
      </c>
      <c r="CX26" s="54">
        <v>84278</v>
      </c>
      <c r="CY26" s="54">
        <v>261534</v>
      </c>
      <c r="CZ26" s="54">
        <v>5873161</v>
      </c>
      <c r="DA26" s="54">
        <v>13825242</v>
      </c>
      <c r="DB26" s="54">
        <v>0</v>
      </c>
      <c r="DC26" s="54">
        <v>0</v>
      </c>
      <c r="DD26" s="54">
        <v>0</v>
      </c>
      <c r="DE26" s="54">
        <v>0</v>
      </c>
      <c r="DF26" s="54">
        <v>379167</v>
      </c>
      <c r="DG26" s="54">
        <v>379167</v>
      </c>
      <c r="DH26" s="54">
        <v>821666</v>
      </c>
      <c r="DI26" s="54">
        <v>0</v>
      </c>
      <c r="DJ26" s="54">
        <v>0</v>
      </c>
      <c r="DK26" s="54">
        <v>137695</v>
      </c>
      <c r="DL26" s="54">
        <v>0</v>
      </c>
      <c r="DM26" s="54">
        <v>959361</v>
      </c>
      <c r="DN26" s="54">
        <v>1440459</v>
      </c>
      <c r="DO26" s="54">
        <v>205819</v>
      </c>
      <c r="DP26" s="54">
        <v>188526</v>
      </c>
      <c r="DQ26" s="54">
        <v>1145396</v>
      </c>
      <c r="DR26" s="54">
        <v>9288169</v>
      </c>
      <c r="DS26" s="54">
        <v>12268369</v>
      </c>
      <c r="DT26" s="54">
        <v>0</v>
      </c>
      <c r="DU26" s="54">
        <v>0</v>
      </c>
      <c r="DV26" s="54">
        <v>0</v>
      </c>
      <c r="DW26" s="54">
        <v>0</v>
      </c>
      <c r="DX26" s="54">
        <v>0</v>
      </c>
      <c r="DY26" s="54">
        <v>0</v>
      </c>
      <c r="DZ26" s="54">
        <v>0</v>
      </c>
      <c r="EA26" s="54">
        <v>0</v>
      </c>
      <c r="EB26" s="54">
        <v>0</v>
      </c>
      <c r="EC26" s="54">
        <v>0</v>
      </c>
      <c r="ED26" s="54">
        <v>4124714</v>
      </c>
      <c r="EE26" s="54">
        <v>4124714</v>
      </c>
      <c r="EF26" s="54">
        <v>313600</v>
      </c>
      <c r="EG26" s="54">
        <v>45105</v>
      </c>
      <c r="EH26" s="54">
        <v>23609</v>
      </c>
      <c r="EI26" s="54">
        <f>563005+77811-EF26-EG26-EH26</f>
        <v>258502</v>
      </c>
      <c r="EJ26" s="54">
        <v>992823</v>
      </c>
      <c r="EK26" s="54">
        <v>1633639</v>
      </c>
      <c r="EL26" s="54">
        <v>36992680</v>
      </c>
      <c r="EM26" s="54">
        <v>4627200</v>
      </c>
      <c r="EN26" s="54">
        <v>2653613</v>
      </c>
      <c r="EO26" s="54">
        <v>8916888</v>
      </c>
      <c r="EP26" s="54">
        <v>25385407</v>
      </c>
      <c r="EQ26" s="54">
        <v>78575788</v>
      </c>
      <c r="ER26" s="54">
        <v>2718652</v>
      </c>
      <c r="ES26" s="54">
        <v>512892</v>
      </c>
      <c r="ET26" s="54">
        <v>522470</v>
      </c>
      <c r="EU26" s="54">
        <v>4376946</v>
      </c>
      <c r="EV26" s="54">
        <v>900760</v>
      </c>
      <c r="EW26" s="54">
        <v>9031720</v>
      </c>
      <c r="EX26" s="54">
        <v>1250000</v>
      </c>
      <c r="EY26" s="54">
        <v>398000</v>
      </c>
      <c r="EZ26" s="54">
        <v>88658</v>
      </c>
      <c r="FA26" s="54">
        <v>245353</v>
      </c>
      <c r="FB26" s="54">
        <v>0</v>
      </c>
      <c r="FC26" s="54">
        <v>1982011</v>
      </c>
      <c r="FD26" s="54">
        <v>6010913</v>
      </c>
      <c r="FE26" s="54">
        <v>2486534</v>
      </c>
      <c r="FF26" s="54">
        <v>1218515</v>
      </c>
      <c r="FG26" s="54">
        <v>3889999</v>
      </c>
      <c r="FH26" s="54">
        <v>0</v>
      </c>
      <c r="FI26" s="54">
        <v>13605961</v>
      </c>
      <c r="FJ26" s="54">
        <v>0</v>
      </c>
      <c r="FK26" s="54">
        <v>0</v>
      </c>
      <c r="FL26" s="54">
        <v>0</v>
      </c>
      <c r="FM26" s="54">
        <v>0</v>
      </c>
      <c r="FN26" s="54">
        <v>0</v>
      </c>
      <c r="FO26" s="54">
        <v>0</v>
      </c>
      <c r="FP26" s="54">
        <v>813812</v>
      </c>
      <c r="FQ26" s="54">
        <v>164502</v>
      </c>
      <c r="FR26" s="54">
        <v>117510</v>
      </c>
      <c r="FS26" s="54">
        <v>530373</v>
      </c>
      <c r="FT26" s="54">
        <v>10423114</v>
      </c>
      <c r="FU26" s="54">
        <v>12049311</v>
      </c>
      <c r="FV26" s="54">
        <v>0</v>
      </c>
      <c r="FW26" s="54">
        <v>0</v>
      </c>
      <c r="FX26" s="54">
        <v>0</v>
      </c>
      <c r="FY26" s="54">
        <v>0</v>
      </c>
      <c r="FZ26" s="54">
        <v>0</v>
      </c>
      <c r="GA26" s="54">
        <v>0</v>
      </c>
      <c r="GB26" s="54">
        <v>31479</v>
      </c>
      <c r="GC26" s="54">
        <v>31973</v>
      </c>
      <c r="GD26" s="54">
        <v>22045</v>
      </c>
      <c r="GE26" s="54">
        <v>24194</v>
      </c>
      <c r="GF26" s="54">
        <v>239736</v>
      </c>
      <c r="GG26" s="54">
        <v>349427</v>
      </c>
      <c r="GH26" s="54">
        <v>433236</v>
      </c>
      <c r="GI26" s="54">
        <v>119182</v>
      </c>
      <c r="GJ26" s="54">
        <v>159903</v>
      </c>
      <c r="GK26" s="54">
        <v>444662</v>
      </c>
      <c r="GL26" s="54">
        <v>0</v>
      </c>
      <c r="GM26" s="54">
        <v>1156983</v>
      </c>
      <c r="GN26" s="54">
        <v>1393422</v>
      </c>
      <c r="GO26" s="54">
        <v>836088</v>
      </c>
      <c r="GP26" s="54">
        <v>676131</v>
      </c>
      <c r="GQ26" s="54">
        <v>2130658</v>
      </c>
      <c r="GR26" s="54">
        <v>747588</v>
      </c>
      <c r="GS26" s="54">
        <v>5783887</v>
      </c>
      <c r="GT26" s="54">
        <v>773413</v>
      </c>
      <c r="GU26" s="54">
        <v>176162</v>
      </c>
      <c r="GV26" s="54">
        <v>174877</v>
      </c>
      <c r="GW26" s="54">
        <v>1272399</v>
      </c>
      <c r="GX26" s="54">
        <v>766550</v>
      </c>
      <c r="GY26" s="54">
        <v>3163401</v>
      </c>
      <c r="GZ26" s="54">
        <v>3265865</v>
      </c>
      <c r="HA26" s="54">
        <v>731507</v>
      </c>
      <c r="HB26" s="54">
        <v>110546</v>
      </c>
      <c r="HC26" s="54">
        <v>222292</v>
      </c>
      <c r="HD26" s="54">
        <v>569673</v>
      </c>
      <c r="HE26" s="54">
        <v>4899883</v>
      </c>
      <c r="HF26" s="54">
        <v>9598</v>
      </c>
      <c r="HG26" s="54">
        <v>0</v>
      </c>
      <c r="HH26" s="54">
        <v>0</v>
      </c>
      <c r="HI26" s="54">
        <v>19233</v>
      </c>
      <c r="HJ26" s="54">
        <v>1425383</v>
      </c>
      <c r="HK26" s="54">
        <v>1454214</v>
      </c>
      <c r="HL26" s="54">
        <v>0</v>
      </c>
      <c r="HM26" s="54">
        <v>0</v>
      </c>
      <c r="HN26" s="54">
        <v>0</v>
      </c>
      <c r="HO26" s="54">
        <v>0</v>
      </c>
      <c r="HP26" s="54">
        <v>0</v>
      </c>
      <c r="HQ26" s="54">
        <v>0</v>
      </c>
      <c r="HR26" s="54">
        <v>940423</v>
      </c>
      <c r="HS26" s="54">
        <v>285100</v>
      </c>
      <c r="HT26" s="54">
        <v>219548</v>
      </c>
      <c r="HU26" s="54">
        <v>280820</v>
      </c>
      <c r="HV26" s="54">
        <v>19134215</v>
      </c>
      <c r="HW26" s="54">
        <v>20860106</v>
      </c>
      <c r="HX26" s="54">
        <v>50890</v>
      </c>
      <c r="HY26" s="54">
        <v>4386</v>
      </c>
      <c r="HZ26" s="54">
        <v>4488</v>
      </c>
      <c r="IA26" s="54">
        <v>0</v>
      </c>
      <c r="IB26" s="54">
        <v>274392</v>
      </c>
      <c r="IC26" s="54">
        <v>334156</v>
      </c>
      <c r="ID26" s="54">
        <v>0</v>
      </c>
      <c r="IE26" s="54">
        <v>0</v>
      </c>
      <c r="IF26" s="54">
        <v>0</v>
      </c>
      <c r="IG26" s="54">
        <v>0</v>
      </c>
      <c r="IH26" s="54">
        <v>0</v>
      </c>
      <c r="II26" s="54">
        <v>0</v>
      </c>
      <c r="IJ26" s="54">
        <v>172919</v>
      </c>
      <c r="IK26" s="54">
        <v>1690</v>
      </c>
      <c r="IL26" s="54">
        <v>4415</v>
      </c>
      <c r="IM26" s="54">
        <v>90610</v>
      </c>
      <c r="IN26" s="54">
        <v>894632</v>
      </c>
      <c r="IO26" s="54">
        <v>1164266</v>
      </c>
      <c r="IP26" s="54">
        <v>3149</v>
      </c>
      <c r="IQ26" s="54">
        <v>2268</v>
      </c>
      <c r="IR26" s="54">
        <v>8267</v>
      </c>
      <c r="IS26" s="54">
        <v>12619</v>
      </c>
      <c r="IT26" s="54">
        <v>24249</v>
      </c>
      <c r="IU26" s="54">
        <v>50552</v>
      </c>
      <c r="IV26" s="54">
        <v>822038</v>
      </c>
      <c r="IW26" s="54">
        <v>209375</v>
      </c>
      <c r="IX26" s="54">
        <v>131727</v>
      </c>
      <c r="IY26" s="54">
        <v>778342</v>
      </c>
      <c r="IZ26" s="54">
        <v>9122444</v>
      </c>
      <c r="JA26" s="54">
        <v>11063926</v>
      </c>
      <c r="JB26" s="54">
        <v>18689809</v>
      </c>
      <c r="JC26" s="54">
        <v>5959659</v>
      </c>
      <c r="JD26" s="54">
        <v>3459100</v>
      </c>
      <c r="JE26" s="54">
        <v>14318500</v>
      </c>
      <c r="JF26" s="54">
        <v>44522736</v>
      </c>
      <c r="JG26" s="54">
        <v>86949804</v>
      </c>
      <c r="JH26" s="54">
        <v>0</v>
      </c>
      <c r="JI26" s="54">
        <v>0</v>
      </c>
      <c r="JJ26" s="54">
        <v>0</v>
      </c>
      <c r="JK26" s="54">
        <v>0</v>
      </c>
      <c r="JL26" s="54">
        <v>0</v>
      </c>
      <c r="JM26" s="54">
        <v>0</v>
      </c>
      <c r="JN26" s="54">
        <v>18689809</v>
      </c>
      <c r="JO26" s="54">
        <v>5959659</v>
      </c>
      <c r="JP26" s="54">
        <v>3459100</v>
      </c>
      <c r="JQ26" s="54">
        <v>14318500</v>
      </c>
      <c r="JR26" s="54">
        <v>44522736</v>
      </c>
      <c r="JS26" s="54">
        <v>86949804</v>
      </c>
      <c r="JU26" s="5">
        <f t="shared" si="80"/>
        <v>17980170</v>
      </c>
      <c r="JV26" s="26">
        <f t="shared" si="81"/>
        <v>0</v>
      </c>
      <c r="JW26" s="5">
        <f t="shared" si="82"/>
        <v>7528006</v>
      </c>
      <c r="JX26" s="26">
        <f t="shared" si="83"/>
        <v>0</v>
      </c>
      <c r="JY26" s="5">
        <f t="shared" si="84"/>
        <v>575000</v>
      </c>
      <c r="JZ26" s="26">
        <f t="shared" si="85"/>
        <v>0</v>
      </c>
      <c r="KA26" s="5">
        <f t="shared" si="86"/>
        <v>19302120</v>
      </c>
      <c r="KB26" s="26">
        <f t="shared" si="87"/>
        <v>0</v>
      </c>
      <c r="KC26" s="5">
        <f t="shared" si="88"/>
        <v>0</v>
      </c>
      <c r="KD26" s="26">
        <f t="shared" si="89"/>
        <v>0</v>
      </c>
      <c r="KE26" s="5">
        <f t="shared" si="90"/>
        <v>0</v>
      </c>
      <c r="KF26" s="26">
        <f t="shared" si="91"/>
        <v>0</v>
      </c>
      <c r="KG26" s="5">
        <f t="shared" si="92"/>
        <v>0</v>
      </c>
      <c r="KH26" s="26">
        <f t="shared" si="93"/>
        <v>0</v>
      </c>
      <c r="KI26" s="5">
        <f t="shared" si="94"/>
        <v>0</v>
      </c>
      <c r="KJ26" s="26">
        <f t="shared" si="95"/>
        <v>0</v>
      </c>
      <c r="KK26" s="5">
        <f t="shared" si="96"/>
        <v>13825242</v>
      </c>
      <c r="KL26" s="26">
        <f t="shared" si="97"/>
        <v>0</v>
      </c>
      <c r="KM26" s="5">
        <f t="shared" si="98"/>
        <v>379167</v>
      </c>
      <c r="KN26" s="26">
        <f t="shared" si="99"/>
        <v>0</v>
      </c>
      <c r="KO26" s="5">
        <f t="shared" si="100"/>
        <v>959361</v>
      </c>
      <c r="KP26" s="26">
        <f t="shared" si="101"/>
        <v>0</v>
      </c>
      <c r="KQ26" s="5">
        <f t="shared" si="102"/>
        <v>12268369</v>
      </c>
      <c r="KR26" s="26">
        <f t="shared" si="103"/>
        <v>0</v>
      </c>
      <c r="KS26" s="5">
        <f t="shared" si="104"/>
        <v>0</v>
      </c>
      <c r="KT26" s="26">
        <f t="shared" si="105"/>
        <v>0</v>
      </c>
      <c r="KU26" s="5">
        <f t="shared" si="106"/>
        <v>4124714</v>
      </c>
      <c r="KV26" s="26">
        <f t="shared" si="107"/>
        <v>0</v>
      </c>
      <c r="KW26" s="5">
        <f t="shared" si="108"/>
        <v>1633639</v>
      </c>
      <c r="KX26" s="26">
        <f t="shared" si="109"/>
        <v>0</v>
      </c>
      <c r="KY26" s="5">
        <f t="shared" si="110"/>
        <v>78575788</v>
      </c>
      <c r="KZ26" s="26">
        <f t="shared" si="111"/>
        <v>0</v>
      </c>
      <c r="LA26" s="5">
        <f t="shared" si="112"/>
        <v>9031720</v>
      </c>
      <c r="LB26" s="26">
        <f t="shared" si="113"/>
        <v>0</v>
      </c>
      <c r="LC26" s="5">
        <f t="shared" si="114"/>
        <v>1982011</v>
      </c>
      <c r="LD26" s="26">
        <f t="shared" si="115"/>
        <v>0</v>
      </c>
      <c r="LE26" s="5">
        <f t="shared" si="116"/>
        <v>13605961</v>
      </c>
      <c r="LF26" s="26">
        <f t="shared" si="117"/>
        <v>0</v>
      </c>
      <c r="LG26" s="5">
        <f t="shared" si="118"/>
        <v>0</v>
      </c>
      <c r="LH26" s="26">
        <f t="shared" si="119"/>
        <v>0</v>
      </c>
      <c r="LI26" s="5">
        <f t="shared" si="120"/>
        <v>12049311</v>
      </c>
      <c r="LJ26" s="26">
        <f t="shared" si="121"/>
        <v>0</v>
      </c>
      <c r="LK26" s="5">
        <f t="shared" si="122"/>
        <v>0</v>
      </c>
      <c r="LL26" s="26">
        <f t="shared" si="123"/>
        <v>0</v>
      </c>
      <c r="LM26" s="5">
        <f t="shared" si="124"/>
        <v>349427</v>
      </c>
      <c r="LN26" s="26">
        <f t="shared" si="125"/>
        <v>0</v>
      </c>
      <c r="LO26" s="5">
        <f t="shared" si="126"/>
        <v>1156983</v>
      </c>
      <c r="LP26" s="26">
        <f t="shared" si="127"/>
        <v>0</v>
      </c>
      <c r="LQ26" s="5">
        <f t="shared" si="128"/>
        <v>5783887</v>
      </c>
      <c r="LR26" s="26">
        <f t="shared" si="129"/>
        <v>0</v>
      </c>
      <c r="LS26" s="5">
        <f t="shared" si="130"/>
        <v>3163401</v>
      </c>
      <c r="LT26" s="26">
        <f t="shared" si="131"/>
        <v>0</v>
      </c>
      <c r="LU26" s="5">
        <f t="shared" si="132"/>
        <v>4899883</v>
      </c>
      <c r="LV26" s="26">
        <f t="shared" si="133"/>
        <v>0</v>
      </c>
      <c r="LW26" s="5">
        <f t="shared" si="134"/>
        <v>1454214</v>
      </c>
      <c r="LX26" s="26">
        <f t="shared" si="135"/>
        <v>0</v>
      </c>
      <c r="LY26" s="5">
        <f t="shared" si="136"/>
        <v>0</v>
      </c>
      <c r="LZ26" s="26">
        <f t="shared" si="137"/>
        <v>0</v>
      </c>
      <c r="MA26" s="5">
        <f t="shared" si="138"/>
        <v>20860106</v>
      </c>
      <c r="MB26" s="26">
        <f t="shared" si="139"/>
        <v>0</v>
      </c>
      <c r="MC26" s="5">
        <f t="shared" si="140"/>
        <v>334156</v>
      </c>
      <c r="MD26" s="26">
        <f t="shared" si="141"/>
        <v>0</v>
      </c>
      <c r="ME26" s="5">
        <f t="shared" si="142"/>
        <v>0</v>
      </c>
      <c r="MF26" s="26">
        <f t="shared" si="143"/>
        <v>0</v>
      </c>
      <c r="MG26" s="5">
        <f t="shared" si="144"/>
        <v>1164266</v>
      </c>
      <c r="MH26" s="26">
        <f t="shared" si="145"/>
        <v>0</v>
      </c>
      <c r="MI26" s="5">
        <f t="shared" si="146"/>
        <v>50552</v>
      </c>
      <c r="MJ26" s="26">
        <f t="shared" si="147"/>
        <v>0</v>
      </c>
      <c r="MK26" s="5">
        <f t="shared" si="148"/>
        <v>11063926</v>
      </c>
      <c r="ML26" s="26">
        <f t="shared" si="149"/>
        <v>0</v>
      </c>
      <c r="MM26" s="5">
        <f t="shared" si="150"/>
        <v>86949804</v>
      </c>
      <c r="MN26" s="26">
        <f t="shared" si="151"/>
        <v>0</v>
      </c>
      <c r="MO26" s="5">
        <f t="shared" si="152"/>
        <v>0</v>
      </c>
      <c r="MP26" s="26">
        <f t="shared" si="153"/>
        <v>0</v>
      </c>
      <c r="MQ26" s="5">
        <f t="shared" si="154"/>
        <v>86949804</v>
      </c>
      <c r="MR26" s="26">
        <f t="shared" si="155"/>
        <v>0</v>
      </c>
      <c r="MT26" s="5">
        <f t="shared" si="76"/>
        <v>0</v>
      </c>
      <c r="MV26" s="4">
        <f t="shared" si="77"/>
        <v>0</v>
      </c>
    </row>
    <row r="27" spans="1:360" x14ac:dyDescent="0.15">
      <c r="A27" s="157" t="s">
        <v>283</v>
      </c>
      <c r="B27" s="25" t="s">
        <v>475</v>
      </c>
      <c r="C27" s="113">
        <v>174066</v>
      </c>
      <c r="D27" s="105">
        <v>2011</v>
      </c>
      <c r="E27" s="106">
        <v>1</v>
      </c>
      <c r="F27" s="106">
        <v>10</v>
      </c>
      <c r="G27" s="107">
        <v>6625</v>
      </c>
      <c r="H27" s="107">
        <v>8901</v>
      </c>
      <c r="I27" s="108">
        <v>390494312</v>
      </c>
      <c r="J27" s="108"/>
      <c r="K27" s="108">
        <v>6626438</v>
      </c>
      <c r="L27" s="108"/>
      <c r="M27" s="108">
        <v>18089322</v>
      </c>
      <c r="N27" s="108"/>
      <c r="O27" s="108">
        <v>73246409</v>
      </c>
      <c r="P27" s="108"/>
      <c r="Q27" s="108">
        <v>174012994</v>
      </c>
      <c r="R27" s="108"/>
      <c r="S27" s="108">
        <v>278669027</v>
      </c>
      <c r="T27" s="108"/>
      <c r="U27" s="108">
        <v>14179</v>
      </c>
      <c r="V27" s="108"/>
      <c r="W27" s="108">
        <v>25339</v>
      </c>
      <c r="X27" s="108"/>
      <c r="Y27" s="108">
        <v>20153</v>
      </c>
      <c r="Z27" s="108"/>
      <c r="AA27" s="108">
        <v>31313</v>
      </c>
      <c r="AB27" s="108"/>
      <c r="AC27" s="129">
        <v>7</v>
      </c>
      <c r="AD27" s="129">
        <v>12</v>
      </c>
      <c r="AE27" s="129">
        <v>0</v>
      </c>
      <c r="AF27" s="26">
        <v>2300598</v>
      </c>
      <c r="AG27" s="26">
        <v>2414345</v>
      </c>
      <c r="AH27" s="26">
        <v>183423</v>
      </c>
      <c r="AI27" s="26">
        <v>102951</v>
      </c>
      <c r="AJ27" s="26">
        <v>446352.91</v>
      </c>
      <c r="AK27" s="36">
        <v>5.5</v>
      </c>
      <c r="AL27" s="26">
        <v>409156.83</v>
      </c>
      <c r="AM27" s="36">
        <v>6</v>
      </c>
      <c r="AN27" s="26">
        <v>141819.13</v>
      </c>
      <c r="AO27" s="36">
        <v>11.5</v>
      </c>
      <c r="AP27" s="26">
        <v>163092</v>
      </c>
      <c r="AQ27" s="36">
        <v>10</v>
      </c>
      <c r="AR27" s="26">
        <v>140023.5</v>
      </c>
      <c r="AS27" s="36">
        <v>16</v>
      </c>
      <c r="AT27" s="26">
        <v>124465.33</v>
      </c>
      <c r="AU27" s="36">
        <v>18</v>
      </c>
      <c r="AV27" s="26">
        <v>72500.37</v>
      </c>
      <c r="AW27" s="36">
        <v>13.5</v>
      </c>
      <c r="AX27" s="26">
        <v>61172.19</v>
      </c>
      <c r="AY27" s="36">
        <v>16</v>
      </c>
      <c r="AZ27" s="54">
        <v>6049168</v>
      </c>
      <c r="BA27" s="54">
        <v>1618674</v>
      </c>
      <c r="BB27" s="54">
        <v>85756</v>
      </c>
      <c r="BC27" s="54">
        <v>394382</v>
      </c>
      <c r="BD27" s="54">
        <v>7910</v>
      </c>
      <c r="BE27" s="54">
        <v>8155890</v>
      </c>
      <c r="BF27" s="54">
        <v>0</v>
      </c>
      <c r="BG27" s="54">
        <v>0</v>
      </c>
      <c r="BH27" s="54">
        <v>234480</v>
      </c>
      <c r="BI27" s="54">
        <f>380025+1240687-BF27-BG27-BH27</f>
        <v>1386232</v>
      </c>
      <c r="BJ27" s="54">
        <v>0</v>
      </c>
      <c r="BK27" s="54">
        <v>1620712</v>
      </c>
      <c r="BL27" s="54">
        <v>210000</v>
      </c>
      <c r="BM27" s="54">
        <v>125000</v>
      </c>
      <c r="BN27" s="54">
        <v>0</v>
      </c>
      <c r="BO27" s="54">
        <v>25030</v>
      </c>
      <c r="BP27" s="54">
        <v>0</v>
      </c>
      <c r="BQ27" s="54">
        <v>360030</v>
      </c>
      <c r="BR27" s="54">
        <v>2371732</v>
      </c>
      <c r="BS27" s="54">
        <v>280372</v>
      </c>
      <c r="BT27" s="54">
        <v>365671</v>
      </c>
      <c r="BU27" s="54">
        <v>2640048</v>
      </c>
      <c r="BV27" s="54">
        <v>1513627</v>
      </c>
      <c r="BW27" s="54">
        <v>7171450</v>
      </c>
      <c r="BX27" s="54">
        <v>0</v>
      </c>
      <c r="BY27" s="54">
        <v>0</v>
      </c>
      <c r="BZ27" s="54">
        <v>0</v>
      </c>
      <c r="CA27" s="54">
        <v>0</v>
      </c>
      <c r="CB27" s="54">
        <v>0</v>
      </c>
      <c r="CC27" s="54">
        <v>0</v>
      </c>
      <c r="CD27" s="54">
        <v>0</v>
      </c>
      <c r="CE27" s="54">
        <v>0</v>
      </c>
      <c r="CF27" s="54">
        <v>0</v>
      </c>
      <c r="CG27" s="54">
        <v>0</v>
      </c>
      <c r="CH27" s="54">
        <v>0</v>
      </c>
      <c r="CI27" s="54">
        <v>0</v>
      </c>
      <c r="CJ27" s="54">
        <v>0</v>
      </c>
      <c r="CK27" s="54">
        <v>0</v>
      </c>
      <c r="CL27" s="54">
        <v>121859</v>
      </c>
      <c r="CM27" s="54">
        <v>528141</v>
      </c>
      <c r="CN27" s="54">
        <v>5191972</v>
      </c>
      <c r="CO27" s="54">
        <v>5841972</v>
      </c>
      <c r="CP27" s="54">
        <v>0</v>
      </c>
      <c r="CQ27" s="54">
        <v>0</v>
      </c>
      <c r="CR27" s="54">
        <v>0</v>
      </c>
      <c r="CS27" s="54">
        <v>0</v>
      </c>
      <c r="CT27" s="54">
        <v>936314</v>
      </c>
      <c r="CU27" s="54">
        <v>936314</v>
      </c>
      <c r="CV27" s="54">
        <v>822961</v>
      </c>
      <c r="CW27" s="54">
        <v>337585</v>
      </c>
      <c r="CX27" s="54">
        <v>50825</v>
      </c>
      <c r="CY27" s="54">
        <v>36635</v>
      </c>
      <c r="CZ27" s="54">
        <v>1177927</v>
      </c>
      <c r="DA27" s="54">
        <v>2425933</v>
      </c>
      <c r="DB27" s="54">
        <v>0</v>
      </c>
      <c r="DC27" s="54">
        <v>0</v>
      </c>
      <c r="DD27" s="54">
        <v>0</v>
      </c>
      <c r="DE27" s="54">
        <v>0</v>
      </c>
      <c r="DF27" s="54">
        <v>0</v>
      </c>
      <c r="DG27" s="54">
        <v>0</v>
      </c>
      <c r="DH27" s="54">
        <v>550140</v>
      </c>
      <c r="DI27" s="54">
        <v>0</v>
      </c>
      <c r="DJ27" s="54">
        <v>0</v>
      </c>
      <c r="DK27" s="54">
        <v>27465</v>
      </c>
      <c r="DL27" s="54">
        <v>35543</v>
      </c>
      <c r="DM27" s="54">
        <v>613148</v>
      </c>
      <c r="DN27" s="54">
        <v>0</v>
      </c>
      <c r="DO27" s="54">
        <v>0</v>
      </c>
      <c r="DP27" s="54">
        <v>0</v>
      </c>
      <c r="DQ27" s="54">
        <v>0</v>
      </c>
      <c r="DR27" s="54">
        <v>2408172</v>
      </c>
      <c r="DS27" s="54">
        <v>2408172</v>
      </c>
      <c r="DT27" s="54">
        <v>0</v>
      </c>
      <c r="DU27" s="54">
        <v>0</v>
      </c>
      <c r="DV27" s="54">
        <v>0</v>
      </c>
      <c r="DW27" s="54">
        <v>0</v>
      </c>
      <c r="DX27" s="54">
        <v>0</v>
      </c>
      <c r="DY27" s="54">
        <v>0</v>
      </c>
      <c r="DZ27" s="54">
        <v>0</v>
      </c>
      <c r="EA27" s="54">
        <v>0</v>
      </c>
      <c r="EB27" s="54">
        <v>0</v>
      </c>
      <c r="EC27" s="54">
        <v>0</v>
      </c>
      <c r="ED27" s="54">
        <v>160959</v>
      </c>
      <c r="EE27" s="54">
        <v>160959</v>
      </c>
      <c r="EF27" s="54">
        <v>55928</v>
      </c>
      <c r="EG27" s="54">
        <v>0</v>
      </c>
      <c r="EH27" s="54">
        <v>0</v>
      </c>
      <c r="EI27" s="54">
        <v>1152</v>
      </c>
      <c r="EJ27" s="54">
        <v>438820</v>
      </c>
      <c r="EK27" s="54">
        <v>495900</v>
      </c>
      <c r="EL27" s="54">
        <v>10059929</v>
      </c>
      <c r="EM27" s="54">
        <v>2361631</v>
      </c>
      <c r="EN27" s="54">
        <v>858591</v>
      </c>
      <c r="EO27" s="54">
        <f>13698701+4620535-EL27-EM27-EN27</f>
        <v>5039085</v>
      </c>
      <c r="EP27" s="54">
        <v>11871244</v>
      </c>
      <c r="EQ27" s="54">
        <v>30190480</v>
      </c>
      <c r="ER27" s="54">
        <v>1485067</v>
      </c>
      <c r="ES27" s="54">
        <v>276372</v>
      </c>
      <c r="ET27" s="54">
        <v>358171</v>
      </c>
      <c r="EU27" s="54">
        <v>2595333</v>
      </c>
      <c r="EV27" s="54">
        <v>60198</v>
      </c>
      <c r="EW27" s="54">
        <v>4775141</v>
      </c>
      <c r="EX27" s="54">
        <v>780000</v>
      </c>
      <c r="EY27" s="54">
        <v>75000</v>
      </c>
      <c r="EZ27" s="54">
        <v>0</v>
      </c>
      <c r="FA27" s="54">
        <v>40230</v>
      </c>
      <c r="FB27" s="54">
        <v>0</v>
      </c>
      <c r="FC27" s="54">
        <v>895230</v>
      </c>
      <c r="FD27" s="54">
        <v>2791666</v>
      </c>
      <c r="FE27" s="54">
        <v>969568</v>
      </c>
      <c r="FF27" s="54">
        <v>553113</v>
      </c>
      <c r="FG27" s="54">
        <v>2990645</v>
      </c>
      <c r="FH27" s="54">
        <v>0</v>
      </c>
      <c r="FI27" s="54">
        <v>7304992</v>
      </c>
      <c r="FJ27" s="54">
        <v>0</v>
      </c>
      <c r="FK27" s="54">
        <v>0</v>
      </c>
      <c r="FL27" s="54">
        <v>0</v>
      </c>
      <c r="FM27" s="54">
        <v>0</v>
      </c>
      <c r="FN27" s="54">
        <v>0</v>
      </c>
      <c r="FO27" s="54">
        <v>0</v>
      </c>
      <c r="FP27" s="54">
        <v>145711</v>
      </c>
      <c r="FQ27" s="54">
        <v>31824</v>
      </c>
      <c r="FR27" s="54">
        <v>33273</v>
      </c>
      <c r="FS27" s="54">
        <v>168338</v>
      </c>
      <c r="FT27" s="54">
        <v>4391667</v>
      </c>
      <c r="FU27" s="54">
        <v>4770813</v>
      </c>
      <c r="FV27" s="54">
        <v>0</v>
      </c>
      <c r="FW27" s="54">
        <v>0</v>
      </c>
      <c r="FX27" s="54">
        <v>0</v>
      </c>
      <c r="FY27" s="54">
        <v>0</v>
      </c>
      <c r="FZ27" s="54">
        <v>0</v>
      </c>
      <c r="GA27" s="54">
        <v>0</v>
      </c>
      <c r="GB27" s="54">
        <v>0</v>
      </c>
      <c r="GC27" s="54">
        <v>0</v>
      </c>
      <c r="GD27" s="54">
        <v>0</v>
      </c>
      <c r="GE27" s="54">
        <v>0</v>
      </c>
      <c r="GF27" s="54">
        <v>0</v>
      </c>
      <c r="GG27" s="54">
        <v>0</v>
      </c>
      <c r="GH27" s="54">
        <v>99629</v>
      </c>
      <c r="GI27" s="54">
        <v>49251</v>
      </c>
      <c r="GJ27" s="54">
        <v>40625</v>
      </c>
      <c r="GK27" s="54">
        <v>96869</v>
      </c>
      <c r="GL27" s="54">
        <v>0</v>
      </c>
      <c r="GM27" s="54">
        <v>286374</v>
      </c>
      <c r="GN27" s="54">
        <v>334286</v>
      </c>
      <c r="GO27" s="54">
        <v>152271</v>
      </c>
      <c r="GP27" s="54">
        <v>197429</v>
      </c>
      <c r="GQ27" s="54">
        <v>1269397</v>
      </c>
      <c r="GR27" s="54">
        <v>0</v>
      </c>
      <c r="GS27" s="54">
        <v>1953383</v>
      </c>
      <c r="GT27" s="54">
        <v>188757</v>
      </c>
      <c r="GU27" s="54">
        <v>27415</v>
      </c>
      <c r="GV27" s="54">
        <v>26978</v>
      </c>
      <c r="GW27" s="54">
        <v>321046</v>
      </c>
      <c r="GX27" s="54">
        <v>108927</v>
      </c>
      <c r="GY27" s="54">
        <v>673123</v>
      </c>
      <c r="GZ27" s="54">
        <v>880339</v>
      </c>
      <c r="HA27" s="54">
        <v>157588</v>
      </c>
      <c r="HB27" s="54">
        <v>95526</v>
      </c>
      <c r="HC27" s="54">
        <v>321212</v>
      </c>
      <c r="HD27" s="54">
        <v>175448</v>
      </c>
      <c r="HE27" s="54">
        <v>1630113</v>
      </c>
      <c r="HF27" s="54">
        <v>44365</v>
      </c>
      <c r="HG27" s="54">
        <v>17194</v>
      </c>
      <c r="HH27" s="54">
        <v>13995</v>
      </c>
      <c r="HI27" s="54">
        <v>33837</v>
      </c>
      <c r="HJ27" s="54">
        <v>1095446</v>
      </c>
      <c r="HK27" s="54">
        <v>1204837</v>
      </c>
      <c r="HL27" s="54">
        <v>0</v>
      </c>
      <c r="HM27" s="54">
        <v>0</v>
      </c>
      <c r="HN27" s="54">
        <v>0</v>
      </c>
      <c r="HO27" s="54">
        <v>0</v>
      </c>
      <c r="HP27" s="54">
        <v>0</v>
      </c>
      <c r="HQ27" s="54">
        <v>0</v>
      </c>
      <c r="HR27" s="54">
        <v>150991</v>
      </c>
      <c r="HS27" s="54">
        <v>0</v>
      </c>
      <c r="HT27" s="54">
        <v>200</v>
      </c>
      <c r="HU27" s="54">
        <v>106581</v>
      </c>
      <c r="HV27" s="54">
        <v>1171883</v>
      </c>
      <c r="HW27" s="54">
        <v>1429655</v>
      </c>
      <c r="HX27" s="54">
        <v>0</v>
      </c>
      <c r="HY27" s="54">
        <v>0</v>
      </c>
      <c r="HZ27" s="54" t="s">
        <v>480</v>
      </c>
      <c r="IA27" s="54">
        <v>0</v>
      </c>
      <c r="IB27" s="54">
        <v>89431</v>
      </c>
      <c r="IC27" s="54">
        <v>89431</v>
      </c>
      <c r="ID27" s="54">
        <v>0</v>
      </c>
      <c r="IE27" s="54">
        <v>0</v>
      </c>
      <c r="IF27" s="54">
        <v>0</v>
      </c>
      <c r="IG27" s="54">
        <v>0</v>
      </c>
      <c r="IH27" s="54">
        <v>936314</v>
      </c>
      <c r="II27" s="54">
        <v>936314</v>
      </c>
      <c r="IJ27" s="54">
        <v>0</v>
      </c>
      <c r="IK27" s="54">
        <v>0</v>
      </c>
      <c r="IL27" s="54">
        <v>0</v>
      </c>
      <c r="IM27" s="54">
        <v>0</v>
      </c>
      <c r="IN27" s="54">
        <v>734263</v>
      </c>
      <c r="IO27" s="54">
        <v>734263</v>
      </c>
      <c r="IP27" s="54">
        <v>0</v>
      </c>
      <c r="IQ27" s="54">
        <v>0</v>
      </c>
      <c r="IR27" s="54">
        <v>580</v>
      </c>
      <c r="IS27" s="54">
        <v>5239</v>
      </c>
      <c r="IT27" s="54">
        <v>416728</v>
      </c>
      <c r="IU27" s="54">
        <v>422547</v>
      </c>
      <c r="IV27" s="54">
        <v>139712</v>
      </c>
      <c r="IW27" s="54">
        <v>11872</v>
      </c>
      <c r="IX27" s="54">
        <v>6544</v>
      </c>
      <c r="IY27" s="54">
        <f>175060+56801-IV27-IW27-IX27</f>
        <v>73733</v>
      </c>
      <c r="IZ27" s="54">
        <v>1500890</v>
      </c>
      <c r="JA27" s="54">
        <v>1732751</v>
      </c>
      <c r="JB27" s="54">
        <v>7040523</v>
      </c>
      <c r="JC27" s="54">
        <v>1768355</v>
      </c>
      <c r="JD27" s="54">
        <v>1326434</v>
      </c>
      <c r="JE27" s="54">
        <f>11041755+7116017-JB27-JC27-JD27</f>
        <v>8022460</v>
      </c>
      <c r="JF27" s="54">
        <v>10681195</v>
      </c>
      <c r="JG27" s="54">
        <v>28838967</v>
      </c>
      <c r="JH27" s="54" t="s">
        <v>485</v>
      </c>
      <c r="JI27" s="54">
        <v>0</v>
      </c>
      <c r="JJ27" s="54">
        <v>0</v>
      </c>
      <c r="JK27" s="54">
        <v>0</v>
      </c>
      <c r="JL27" s="54">
        <v>0</v>
      </c>
      <c r="JM27" s="54">
        <v>0</v>
      </c>
      <c r="JN27" s="54">
        <v>7040523</v>
      </c>
      <c r="JO27" s="54">
        <v>1768355</v>
      </c>
      <c r="JP27" s="54">
        <v>1326434</v>
      </c>
      <c r="JQ27" s="54">
        <f>11041755+7116017-JN27-JO27-JP27</f>
        <v>8022460</v>
      </c>
      <c r="JR27" s="54">
        <v>10681195</v>
      </c>
      <c r="JS27" s="54">
        <v>28838967</v>
      </c>
      <c r="JU27" s="5">
        <f t="shared" si="80"/>
        <v>8155890</v>
      </c>
      <c r="JV27" s="26">
        <f t="shared" si="81"/>
        <v>0</v>
      </c>
      <c r="JW27" s="5">
        <f t="shared" si="82"/>
        <v>1620712</v>
      </c>
      <c r="JX27" s="26">
        <f t="shared" si="83"/>
        <v>0</v>
      </c>
      <c r="JY27" s="5">
        <f t="shared" si="84"/>
        <v>360030</v>
      </c>
      <c r="JZ27" s="26">
        <f t="shared" si="85"/>
        <v>0</v>
      </c>
      <c r="KA27" s="5">
        <f t="shared" si="86"/>
        <v>7171450</v>
      </c>
      <c r="KB27" s="26">
        <f t="shared" si="87"/>
        <v>0</v>
      </c>
      <c r="KC27" s="5">
        <f t="shared" si="88"/>
        <v>0</v>
      </c>
      <c r="KD27" s="26">
        <f t="shared" si="89"/>
        <v>0</v>
      </c>
      <c r="KE27" s="5">
        <f t="shared" si="90"/>
        <v>0</v>
      </c>
      <c r="KF27" s="26">
        <f t="shared" si="91"/>
        <v>0</v>
      </c>
      <c r="KG27" s="5">
        <f t="shared" si="92"/>
        <v>5841972</v>
      </c>
      <c r="KH27" s="26">
        <f t="shared" si="93"/>
        <v>0</v>
      </c>
      <c r="KI27" s="5">
        <f t="shared" si="94"/>
        <v>936314</v>
      </c>
      <c r="KJ27" s="26">
        <f t="shared" si="95"/>
        <v>0</v>
      </c>
      <c r="KK27" s="5">
        <f t="shared" si="96"/>
        <v>2425933</v>
      </c>
      <c r="KL27" s="26">
        <f t="shared" si="97"/>
        <v>0</v>
      </c>
      <c r="KM27" s="5">
        <f t="shared" si="98"/>
        <v>0</v>
      </c>
      <c r="KN27" s="26">
        <f t="shared" si="99"/>
        <v>0</v>
      </c>
      <c r="KO27" s="5">
        <f t="shared" si="100"/>
        <v>613148</v>
      </c>
      <c r="KP27" s="26">
        <f t="shared" si="101"/>
        <v>0</v>
      </c>
      <c r="KQ27" s="5">
        <f t="shared" si="102"/>
        <v>2408172</v>
      </c>
      <c r="KR27" s="26">
        <f t="shared" si="103"/>
        <v>0</v>
      </c>
      <c r="KS27" s="5">
        <f t="shared" si="104"/>
        <v>0</v>
      </c>
      <c r="KT27" s="26">
        <f t="shared" si="105"/>
        <v>0</v>
      </c>
      <c r="KU27" s="5">
        <f t="shared" si="106"/>
        <v>160959</v>
      </c>
      <c r="KV27" s="26">
        <f t="shared" si="107"/>
        <v>0</v>
      </c>
      <c r="KW27" s="5">
        <f t="shared" si="108"/>
        <v>495900</v>
      </c>
      <c r="KX27" s="26">
        <f t="shared" si="109"/>
        <v>0</v>
      </c>
      <c r="KY27" s="5">
        <f t="shared" si="110"/>
        <v>30190480</v>
      </c>
      <c r="KZ27" s="26">
        <f t="shared" si="111"/>
        <v>0</v>
      </c>
      <c r="LA27" s="5">
        <f t="shared" si="112"/>
        <v>4775141</v>
      </c>
      <c r="LB27" s="26">
        <f t="shared" si="113"/>
        <v>0</v>
      </c>
      <c r="LC27" s="5">
        <f t="shared" si="114"/>
        <v>895230</v>
      </c>
      <c r="LD27" s="26">
        <f t="shared" si="115"/>
        <v>0</v>
      </c>
      <c r="LE27" s="5">
        <f t="shared" si="116"/>
        <v>7304992</v>
      </c>
      <c r="LF27" s="26">
        <f t="shared" si="117"/>
        <v>0</v>
      </c>
      <c r="LG27" s="5">
        <f t="shared" si="118"/>
        <v>0</v>
      </c>
      <c r="LH27" s="26">
        <f t="shared" si="119"/>
        <v>0</v>
      </c>
      <c r="LI27" s="5">
        <f t="shared" si="120"/>
        <v>4770813</v>
      </c>
      <c r="LJ27" s="26">
        <f t="shared" si="121"/>
        <v>0</v>
      </c>
      <c r="LK27" s="5">
        <f t="shared" si="122"/>
        <v>0</v>
      </c>
      <c r="LL27" s="26">
        <f t="shared" si="123"/>
        <v>0</v>
      </c>
      <c r="LM27" s="5">
        <f t="shared" si="124"/>
        <v>0</v>
      </c>
      <c r="LN27" s="26">
        <f t="shared" si="125"/>
        <v>0</v>
      </c>
      <c r="LO27" s="5">
        <f t="shared" si="126"/>
        <v>286374</v>
      </c>
      <c r="LP27" s="26">
        <f t="shared" si="127"/>
        <v>0</v>
      </c>
      <c r="LQ27" s="5">
        <f t="shared" si="128"/>
        <v>1953383</v>
      </c>
      <c r="LR27" s="26">
        <f t="shared" si="129"/>
        <v>0</v>
      </c>
      <c r="LS27" s="5">
        <f t="shared" si="130"/>
        <v>673123</v>
      </c>
      <c r="LT27" s="26">
        <f t="shared" si="131"/>
        <v>0</v>
      </c>
      <c r="LU27" s="5">
        <f t="shared" si="132"/>
        <v>1630113</v>
      </c>
      <c r="LV27" s="26">
        <f t="shared" si="133"/>
        <v>0</v>
      </c>
      <c r="LW27" s="5">
        <f t="shared" si="134"/>
        <v>1204837</v>
      </c>
      <c r="LX27" s="26">
        <f t="shared" si="135"/>
        <v>0</v>
      </c>
      <c r="LY27" s="5">
        <f t="shared" si="136"/>
        <v>0</v>
      </c>
      <c r="LZ27" s="26">
        <f t="shared" si="137"/>
        <v>0</v>
      </c>
      <c r="MA27" s="5">
        <f t="shared" si="138"/>
        <v>1429655</v>
      </c>
      <c r="MB27" s="26">
        <f t="shared" si="139"/>
        <v>0</v>
      </c>
      <c r="MC27" s="5">
        <f t="shared" si="140"/>
        <v>89431</v>
      </c>
      <c r="MD27" s="26">
        <f t="shared" si="141"/>
        <v>0</v>
      </c>
      <c r="ME27" s="5">
        <f t="shared" si="142"/>
        <v>936314</v>
      </c>
      <c r="MF27" s="26">
        <f t="shared" si="143"/>
        <v>0</v>
      </c>
      <c r="MG27" s="5">
        <f t="shared" si="144"/>
        <v>734263</v>
      </c>
      <c r="MH27" s="26">
        <f t="shared" si="145"/>
        <v>0</v>
      </c>
      <c r="MI27" s="5">
        <f t="shared" si="146"/>
        <v>422547</v>
      </c>
      <c r="MJ27" s="26">
        <f t="shared" si="147"/>
        <v>0</v>
      </c>
      <c r="MK27" s="5">
        <f t="shared" si="148"/>
        <v>1732751</v>
      </c>
      <c r="ML27" s="26">
        <f t="shared" si="149"/>
        <v>0</v>
      </c>
      <c r="MM27" s="5">
        <f t="shared" si="150"/>
        <v>28838967</v>
      </c>
      <c r="MN27" s="26">
        <f t="shared" si="151"/>
        <v>0</v>
      </c>
      <c r="MO27" s="5">
        <f t="shared" si="152"/>
        <v>0</v>
      </c>
      <c r="MP27" s="26">
        <f t="shared" si="153"/>
        <v>0</v>
      </c>
      <c r="MQ27" s="5">
        <f t="shared" si="154"/>
        <v>28838967</v>
      </c>
      <c r="MR27" s="26">
        <f t="shared" si="155"/>
        <v>0</v>
      </c>
      <c r="MT27" s="5">
        <f t="shared" si="76"/>
        <v>0</v>
      </c>
      <c r="MV27" s="4">
        <f t="shared" si="77"/>
        <v>0</v>
      </c>
    </row>
    <row r="28" spans="1:360" x14ac:dyDescent="0.15">
      <c r="A28" s="156" t="s">
        <v>309</v>
      </c>
      <c r="B28" s="25" t="s">
        <v>405</v>
      </c>
      <c r="C28" s="109">
        <v>139959</v>
      </c>
      <c r="D28" s="105">
        <v>2011</v>
      </c>
      <c r="E28" s="106">
        <v>1</v>
      </c>
      <c r="F28" s="106">
        <v>5</v>
      </c>
      <c r="G28" s="107">
        <v>10218</v>
      </c>
      <c r="H28" s="107">
        <v>14081</v>
      </c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>
        <v>17816</v>
      </c>
      <c r="V28" s="108"/>
      <c r="W28" s="108">
        <v>35024</v>
      </c>
      <c r="X28" s="108"/>
      <c r="Y28" s="108">
        <v>19736</v>
      </c>
      <c r="Z28" s="108"/>
      <c r="AA28" s="108">
        <v>37946</v>
      </c>
      <c r="AB28" s="108"/>
      <c r="AC28" s="130">
        <v>9</v>
      </c>
      <c r="AD28" s="130">
        <v>12</v>
      </c>
      <c r="AE28" s="130">
        <v>0</v>
      </c>
      <c r="AF28" s="26">
        <v>3416200</v>
      </c>
      <c r="AG28" s="26">
        <v>3987166</v>
      </c>
      <c r="AH28" s="26">
        <v>1038220</v>
      </c>
      <c r="AI28" s="26">
        <v>501523</v>
      </c>
      <c r="AJ28" s="26">
        <v>978595</v>
      </c>
      <c r="AK28" s="36">
        <v>8</v>
      </c>
      <c r="AL28" s="26">
        <v>838795.71</v>
      </c>
      <c r="AM28" s="36">
        <v>7</v>
      </c>
      <c r="AN28" s="26">
        <v>228068.11</v>
      </c>
      <c r="AO28" s="36">
        <v>9</v>
      </c>
      <c r="AP28" s="26">
        <v>205261.1</v>
      </c>
      <c r="AQ28" s="36">
        <v>10</v>
      </c>
      <c r="AR28" s="26">
        <v>210529</v>
      </c>
      <c r="AS28" s="36">
        <v>21</v>
      </c>
      <c r="AT28" s="26">
        <v>170042.65</v>
      </c>
      <c r="AU28" s="36">
        <v>26</v>
      </c>
      <c r="AV28" s="26">
        <v>83294.600000000006</v>
      </c>
      <c r="AW28" s="36">
        <v>20</v>
      </c>
      <c r="AX28" s="26">
        <v>66635.679999999993</v>
      </c>
      <c r="AY28" s="36">
        <v>25</v>
      </c>
      <c r="AZ28" s="54">
        <v>18579959</v>
      </c>
      <c r="BA28" s="54">
        <v>915502</v>
      </c>
      <c r="BB28" s="54">
        <v>101874</v>
      </c>
      <c r="BC28" s="54">
        <v>558780</v>
      </c>
      <c r="BD28" s="54">
        <v>591512</v>
      </c>
      <c r="BE28" s="54">
        <v>20747627</v>
      </c>
      <c r="BF28" s="54">
        <v>152257</v>
      </c>
      <c r="BG28" s="54">
        <v>152257</v>
      </c>
      <c r="BH28" s="54">
        <v>152257</v>
      </c>
      <c r="BI28" s="54">
        <v>2740616</v>
      </c>
      <c r="BJ28" s="54">
        <v>0</v>
      </c>
      <c r="BK28" s="54">
        <v>3197387</v>
      </c>
      <c r="BL28" s="54">
        <v>825000</v>
      </c>
      <c r="BM28" s="54">
        <v>0</v>
      </c>
      <c r="BN28" s="54">
        <v>0</v>
      </c>
      <c r="BO28" s="54">
        <v>0</v>
      </c>
      <c r="BP28" s="54">
        <v>0</v>
      </c>
      <c r="BQ28" s="54">
        <v>825000</v>
      </c>
      <c r="BR28" s="54">
        <v>27600640</v>
      </c>
      <c r="BS28" s="54">
        <v>832977</v>
      </c>
      <c r="BT28" s="54">
        <v>42828</v>
      </c>
      <c r="BU28" s="54">
        <v>92491</v>
      </c>
      <c r="BV28" s="54">
        <v>71002</v>
      </c>
      <c r="BW28" s="54">
        <v>28639938</v>
      </c>
      <c r="BX28" s="54">
        <v>0</v>
      </c>
      <c r="BY28" s="54">
        <v>0</v>
      </c>
      <c r="BZ28" s="54">
        <v>0</v>
      </c>
      <c r="CA28" s="54">
        <v>0</v>
      </c>
      <c r="CB28" s="54">
        <v>0</v>
      </c>
      <c r="CC28" s="54">
        <v>0</v>
      </c>
      <c r="CD28" s="54">
        <v>0</v>
      </c>
      <c r="CE28" s="54">
        <v>0</v>
      </c>
      <c r="CF28" s="54">
        <v>0</v>
      </c>
      <c r="CG28" s="54">
        <v>0</v>
      </c>
      <c r="CH28" s="54">
        <v>0</v>
      </c>
      <c r="CI28" s="54">
        <v>0</v>
      </c>
      <c r="CJ28" s="54">
        <v>0</v>
      </c>
      <c r="CK28" s="54">
        <v>0</v>
      </c>
      <c r="CL28" s="54">
        <v>0</v>
      </c>
      <c r="CM28" s="54">
        <v>0</v>
      </c>
      <c r="CN28" s="54">
        <v>0</v>
      </c>
      <c r="CO28" s="54">
        <v>0</v>
      </c>
      <c r="CP28" s="54">
        <v>0</v>
      </c>
      <c r="CQ28" s="54">
        <v>0</v>
      </c>
      <c r="CR28" s="54">
        <v>0</v>
      </c>
      <c r="CS28" s="54">
        <v>0</v>
      </c>
      <c r="CT28" s="54">
        <v>0</v>
      </c>
      <c r="CU28" s="54">
        <v>0</v>
      </c>
      <c r="CV28" s="54">
        <v>14105075</v>
      </c>
      <c r="CW28" s="54">
        <v>5099965</v>
      </c>
      <c r="CX28" s="54">
        <v>62474</v>
      </c>
      <c r="CY28" s="54">
        <v>1208999</v>
      </c>
      <c r="CZ28" s="54">
        <v>0</v>
      </c>
      <c r="DA28" s="54">
        <v>20476513</v>
      </c>
      <c r="DB28" s="54">
        <v>6372107</v>
      </c>
      <c r="DC28" s="54">
        <v>749659</v>
      </c>
      <c r="DD28" s="54">
        <v>19728</v>
      </c>
      <c r="DE28" s="54">
        <v>355102</v>
      </c>
      <c r="DF28" s="54">
        <v>0</v>
      </c>
      <c r="DG28" s="54">
        <v>7496596</v>
      </c>
      <c r="DH28" s="54">
        <v>1017335</v>
      </c>
      <c r="DI28" s="54">
        <v>135645</v>
      </c>
      <c r="DJ28" s="54">
        <v>40693</v>
      </c>
      <c r="DK28" s="54">
        <v>162774</v>
      </c>
      <c r="DL28" s="54">
        <v>0</v>
      </c>
      <c r="DM28" s="54">
        <v>1356447</v>
      </c>
      <c r="DN28" s="54">
        <v>6232250</v>
      </c>
      <c r="DO28" s="54">
        <v>830966</v>
      </c>
      <c r="DP28" s="54">
        <v>24440</v>
      </c>
      <c r="DQ28" s="54">
        <v>1222010</v>
      </c>
      <c r="DR28" s="54">
        <v>0</v>
      </c>
      <c r="DS28" s="54">
        <v>8309666</v>
      </c>
      <c r="DT28" s="54">
        <v>3552</v>
      </c>
      <c r="DU28" s="54">
        <v>1392</v>
      </c>
      <c r="DV28" s="54">
        <v>900</v>
      </c>
      <c r="DW28" s="54">
        <v>9516</v>
      </c>
      <c r="DX28" s="54">
        <v>211800</v>
      </c>
      <c r="DY28" s="54">
        <v>227160</v>
      </c>
      <c r="DZ28" s="54">
        <v>0</v>
      </c>
      <c r="EA28" s="54">
        <v>0</v>
      </c>
      <c r="EB28" s="54">
        <v>0</v>
      </c>
      <c r="EC28" s="54">
        <v>0</v>
      </c>
      <c r="ED28" s="54">
        <v>575889</v>
      </c>
      <c r="EE28" s="54">
        <v>575889</v>
      </c>
      <c r="EF28" s="54">
        <v>0</v>
      </c>
      <c r="EG28" s="54">
        <v>0</v>
      </c>
      <c r="EH28" s="54">
        <v>0</v>
      </c>
      <c r="EI28" s="54">
        <v>432</v>
      </c>
      <c r="EJ28" s="54">
        <v>488412</v>
      </c>
      <c r="EK28" s="54">
        <v>488844</v>
      </c>
      <c r="EL28" s="54">
        <v>74888175</v>
      </c>
      <c r="EM28" s="54">
        <v>8718363</v>
      </c>
      <c r="EN28" s="54">
        <v>445194</v>
      </c>
      <c r="EO28" s="54">
        <v>6350720</v>
      </c>
      <c r="EP28" s="54">
        <v>1938615</v>
      </c>
      <c r="EQ28" s="54">
        <v>92341067</v>
      </c>
      <c r="ER28" s="54">
        <v>1822562</v>
      </c>
      <c r="ES28" s="54">
        <v>234596</v>
      </c>
      <c r="ET28" s="54">
        <v>331982</v>
      </c>
      <c r="EU28" s="54">
        <v>4994226</v>
      </c>
      <c r="EV28" s="54">
        <v>0</v>
      </c>
      <c r="EW28" s="54">
        <v>7383366</v>
      </c>
      <c r="EX28" s="54">
        <v>1700000</v>
      </c>
      <c r="EY28" s="54">
        <v>395000</v>
      </c>
      <c r="EZ28" s="54">
        <v>28000</v>
      </c>
      <c r="FA28" s="54">
        <v>74340</v>
      </c>
      <c r="FB28" s="54">
        <v>0</v>
      </c>
      <c r="FC28" s="54">
        <v>2197340</v>
      </c>
      <c r="FD28" s="54">
        <v>5972670</v>
      </c>
      <c r="FE28" s="54">
        <v>2120364</v>
      </c>
      <c r="FF28" s="54">
        <v>1058624</v>
      </c>
      <c r="FG28" s="54">
        <v>4859526</v>
      </c>
      <c r="FH28" s="54">
        <v>0</v>
      </c>
      <c r="FI28" s="54">
        <v>14011184</v>
      </c>
      <c r="FJ28" s="54">
        <v>0</v>
      </c>
      <c r="FK28" s="54">
        <v>0</v>
      </c>
      <c r="FL28" s="54">
        <v>0</v>
      </c>
      <c r="FM28" s="54">
        <v>0</v>
      </c>
      <c r="FN28" s="54">
        <v>0</v>
      </c>
      <c r="FO28" s="54">
        <v>0</v>
      </c>
      <c r="FP28" s="54">
        <v>2239364</v>
      </c>
      <c r="FQ28" s="54">
        <v>346377</v>
      </c>
      <c r="FR28" s="54">
        <v>302325</v>
      </c>
      <c r="FS28" s="54">
        <v>1880473</v>
      </c>
      <c r="FT28" s="54">
        <v>8073582</v>
      </c>
      <c r="FU28" s="54">
        <v>12842121</v>
      </c>
      <c r="FV28" s="54">
        <v>0</v>
      </c>
      <c r="FW28" s="54">
        <v>0</v>
      </c>
      <c r="FX28" s="54">
        <v>0</v>
      </c>
      <c r="FY28" s="54">
        <v>0</v>
      </c>
      <c r="FZ28" s="54">
        <v>0</v>
      </c>
      <c r="GA28" s="54">
        <v>0</v>
      </c>
      <c r="GB28" s="54">
        <v>67414</v>
      </c>
      <c r="GC28" s="54">
        <v>442228</v>
      </c>
      <c r="GD28" s="54">
        <v>0</v>
      </c>
      <c r="GE28" s="54">
        <v>195625</v>
      </c>
      <c r="GF28" s="54">
        <v>0</v>
      </c>
      <c r="GG28" s="54">
        <v>705267</v>
      </c>
      <c r="GH28" s="54">
        <v>623224</v>
      </c>
      <c r="GI28" s="54">
        <v>216171</v>
      </c>
      <c r="GJ28" s="54">
        <v>151178</v>
      </c>
      <c r="GK28" s="54">
        <v>550170</v>
      </c>
      <c r="GL28" s="54">
        <v>0</v>
      </c>
      <c r="GM28" s="54">
        <v>1540743</v>
      </c>
      <c r="GN28" s="54">
        <v>1283834</v>
      </c>
      <c r="GO28" s="54">
        <v>359679</v>
      </c>
      <c r="GP28" s="54">
        <v>372300</v>
      </c>
      <c r="GQ28" s="54">
        <v>1392051</v>
      </c>
      <c r="GR28" s="54">
        <v>0</v>
      </c>
      <c r="GS28" s="54">
        <v>3407864</v>
      </c>
      <c r="GT28" s="54">
        <v>506218</v>
      </c>
      <c r="GU28" s="54">
        <v>34965</v>
      </c>
      <c r="GV28" s="54">
        <v>37888</v>
      </c>
      <c r="GW28" s="54">
        <v>555960</v>
      </c>
      <c r="GX28" s="54">
        <v>0</v>
      </c>
      <c r="GY28" s="54">
        <v>1135031</v>
      </c>
      <c r="GZ28" s="54">
        <v>3440556</v>
      </c>
      <c r="HA28" s="54">
        <v>386304</v>
      </c>
      <c r="HB28" s="54">
        <v>219099</v>
      </c>
      <c r="HC28" s="54">
        <v>511979</v>
      </c>
      <c r="HD28" s="54">
        <v>3292341</v>
      </c>
      <c r="HE28" s="54">
        <v>7850279</v>
      </c>
      <c r="HF28" s="54">
        <v>0</v>
      </c>
      <c r="HG28" s="54">
        <v>0</v>
      </c>
      <c r="HH28" s="54">
        <v>0</v>
      </c>
      <c r="HI28" s="54">
        <v>0</v>
      </c>
      <c r="HJ28" s="54">
        <v>1536917</v>
      </c>
      <c r="HK28" s="54">
        <v>1536917</v>
      </c>
      <c r="HL28" s="54">
        <v>0</v>
      </c>
      <c r="HM28" s="54">
        <v>0</v>
      </c>
      <c r="HN28" s="54">
        <v>0</v>
      </c>
      <c r="HO28" s="54">
        <v>0</v>
      </c>
      <c r="HP28" s="54">
        <v>0</v>
      </c>
      <c r="HQ28" s="54">
        <v>0</v>
      </c>
      <c r="HR28" s="54">
        <v>3419814</v>
      </c>
      <c r="HS28" s="54">
        <v>597396</v>
      </c>
      <c r="HT28" s="54">
        <v>594588</v>
      </c>
      <c r="HU28" s="54">
        <v>2870203</v>
      </c>
      <c r="HV28" s="54">
        <v>12188376</v>
      </c>
      <c r="HW28" s="54">
        <v>19670377</v>
      </c>
      <c r="HX28" s="54">
        <v>0</v>
      </c>
      <c r="HY28" s="54">
        <v>0</v>
      </c>
      <c r="HZ28" s="54">
        <v>0</v>
      </c>
      <c r="IA28" s="54">
        <v>0</v>
      </c>
      <c r="IB28" s="54">
        <v>903467</v>
      </c>
      <c r="IC28" s="54">
        <v>903467</v>
      </c>
      <c r="ID28" s="54">
        <v>0</v>
      </c>
      <c r="IE28" s="54">
        <v>0</v>
      </c>
      <c r="IF28" s="54">
        <v>0</v>
      </c>
      <c r="IG28" s="54">
        <v>0</v>
      </c>
      <c r="IH28" s="54">
        <v>0</v>
      </c>
      <c r="II28" s="54">
        <v>0</v>
      </c>
      <c r="IJ28" s="54">
        <v>0</v>
      </c>
      <c r="IK28" s="54">
        <v>0</v>
      </c>
      <c r="IL28" s="54">
        <v>0</v>
      </c>
      <c r="IM28" s="54">
        <v>0</v>
      </c>
      <c r="IN28" s="54">
        <v>1348330</v>
      </c>
      <c r="IO28" s="54">
        <v>1348330</v>
      </c>
      <c r="IP28" s="54">
        <v>0</v>
      </c>
      <c r="IQ28" s="54">
        <v>0</v>
      </c>
      <c r="IR28" s="54">
        <v>0</v>
      </c>
      <c r="IS28" s="54">
        <v>13467</v>
      </c>
      <c r="IT28" s="54">
        <v>105422</v>
      </c>
      <c r="IU28" s="54">
        <v>118889</v>
      </c>
      <c r="IV28" s="54">
        <v>448500</v>
      </c>
      <c r="IW28" s="54">
        <v>49938</v>
      </c>
      <c r="IX28" s="54">
        <v>16512</v>
      </c>
      <c r="IY28" s="54">
        <v>374782</v>
      </c>
      <c r="IZ28" s="54">
        <v>4074715</v>
      </c>
      <c r="JA28" s="54">
        <v>4964447</v>
      </c>
      <c r="JB28" s="54">
        <v>21524156</v>
      </c>
      <c r="JC28" s="54">
        <v>5183018</v>
      </c>
      <c r="JD28" s="54">
        <v>3112496</v>
      </c>
      <c r="JE28" s="54">
        <v>18272802</v>
      </c>
      <c r="JF28" s="54">
        <v>31523150</v>
      </c>
      <c r="JG28" s="54">
        <v>79615622</v>
      </c>
      <c r="JH28" s="54">
        <v>0</v>
      </c>
      <c r="JI28" s="54">
        <v>0</v>
      </c>
      <c r="JJ28" s="54">
        <v>0</v>
      </c>
      <c r="JK28" s="54">
        <v>0</v>
      </c>
      <c r="JL28" s="54">
        <v>0</v>
      </c>
      <c r="JM28" s="54">
        <v>0</v>
      </c>
      <c r="JN28" s="54">
        <v>21524156</v>
      </c>
      <c r="JO28" s="54">
        <v>5183018</v>
      </c>
      <c r="JP28" s="54">
        <v>3112496</v>
      </c>
      <c r="JQ28" s="54">
        <v>18272802</v>
      </c>
      <c r="JR28" s="54">
        <v>31523150</v>
      </c>
      <c r="JS28" s="54">
        <v>79615622</v>
      </c>
      <c r="JU28" s="5">
        <f t="shared" si="80"/>
        <v>20747627</v>
      </c>
      <c r="JV28" s="26">
        <f t="shared" si="81"/>
        <v>0</v>
      </c>
      <c r="JW28" s="5">
        <f t="shared" si="82"/>
        <v>3197387</v>
      </c>
      <c r="JX28" s="26">
        <f t="shared" si="83"/>
        <v>0</v>
      </c>
      <c r="JY28" s="5">
        <f t="shared" si="84"/>
        <v>825000</v>
      </c>
      <c r="JZ28" s="26">
        <f t="shared" si="85"/>
        <v>0</v>
      </c>
      <c r="KA28" s="5">
        <f t="shared" si="86"/>
        <v>28639938</v>
      </c>
      <c r="KB28" s="26">
        <f t="shared" si="87"/>
        <v>0</v>
      </c>
      <c r="KC28" s="5">
        <f t="shared" si="88"/>
        <v>0</v>
      </c>
      <c r="KD28" s="26">
        <f t="shared" si="89"/>
        <v>0</v>
      </c>
      <c r="KE28" s="5">
        <f t="shared" si="90"/>
        <v>0</v>
      </c>
      <c r="KF28" s="26">
        <f t="shared" si="91"/>
        <v>0</v>
      </c>
      <c r="KG28" s="5">
        <f t="shared" si="92"/>
        <v>0</v>
      </c>
      <c r="KH28" s="26">
        <f t="shared" si="93"/>
        <v>0</v>
      </c>
      <c r="KI28" s="5">
        <f t="shared" si="94"/>
        <v>0</v>
      </c>
      <c r="KJ28" s="26">
        <f t="shared" si="95"/>
        <v>0</v>
      </c>
      <c r="KK28" s="5">
        <f t="shared" si="96"/>
        <v>20476513</v>
      </c>
      <c r="KL28" s="26">
        <f t="shared" si="97"/>
        <v>0</v>
      </c>
      <c r="KM28" s="5">
        <f t="shared" si="98"/>
        <v>7496596</v>
      </c>
      <c r="KN28" s="26">
        <f t="shared" si="99"/>
        <v>0</v>
      </c>
      <c r="KO28" s="5">
        <f t="shared" si="100"/>
        <v>1356447</v>
      </c>
      <c r="KP28" s="26">
        <f t="shared" si="101"/>
        <v>0</v>
      </c>
      <c r="KQ28" s="5">
        <f t="shared" si="102"/>
        <v>8309666</v>
      </c>
      <c r="KR28" s="26">
        <f t="shared" si="103"/>
        <v>0</v>
      </c>
      <c r="KS28" s="5">
        <f t="shared" si="104"/>
        <v>227160</v>
      </c>
      <c r="KT28" s="26">
        <f t="shared" si="105"/>
        <v>0</v>
      </c>
      <c r="KU28" s="5">
        <f t="shared" si="106"/>
        <v>575889</v>
      </c>
      <c r="KV28" s="26">
        <f t="shared" si="107"/>
        <v>0</v>
      </c>
      <c r="KW28" s="5">
        <f t="shared" si="108"/>
        <v>488844</v>
      </c>
      <c r="KX28" s="26">
        <f t="shared" si="109"/>
        <v>0</v>
      </c>
      <c r="KY28" s="5">
        <f t="shared" si="110"/>
        <v>92341067</v>
      </c>
      <c r="KZ28" s="26">
        <f t="shared" si="111"/>
        <v>0</v>
      </c>
      <c r="LA28" s="5">
        <f t="shared" si="112"/>
        <v>7383366</v>
      </c>
      <c r="LB28" s="26">
        <f t="shared" si="113"/>
        <v>0</v>
      </c>
      <c r="LC28" s="5">
        <f t="shared" si="114"/>
        <v>2197340</v>
      </c>
      <c r="LD28" s="26">
        <f t="shared" si="115"/>
        <v>0</v>
      </c>
      <c r="LE28" s="5">
        <f t="shared" si="116"/>
        <v>14011184</v>
      </c>
      <c r="LF28" s="26">
        <f t="shared" si="117"/>
        <v>0</v>
      </c>
      <c r="LG28" s="5">
        <f t="shared" si="118"/>
        <v>0</v>
      </c>
      <c r="LH28" s="26">
        <f t="shared" si="119"/>
        <v>0</v>
      </c>
      <c r="LI28" s="5">
        <f t="shared" si="120"/>
        <v>12842121</v>
      </c>
      <c r="LJ28" s="26">
        <f t="shared" si="121"/>
        <v>0</v>
      </c>
      <c r="LK28" s="5">
        <f t="shared" si="122"/>
        <v>0</v>
      </c>
      <c r="LL28" s="26">
        <f t="shared" si="123"/>
        <v>0</v>
      </c>
      <c r="LM28" s="5">
        <f t="shared" si="124"/>
        <v>705267</v>
      </c>
      <c r="LN28" s="26">
        <f t="shared" si="125"/>
        <v>0</v>
      </c>
      <c r="LO28" s="5">
        <f t="shared" si="126"/>
        <v>1540743</v>
      </c>
      <c r="LP28" s="26">
        <f t="shared" si="127"/>
        <v>0</v>
      </c>
      <c r="LQ28" s="5">
        <f t="shared" si="128"/>
        <v>3407864</v>
      </c>
      <c r="LR28" s="26">
        <f t="shared" si="129"/>
        <v>0</v>
      </c>
      <c r="LS28" s="5">
        <f t="shared" si="130"/>
        <v>1135031</v>
      </c>
      <c r="LT28" s="26">
        <f t="shared" si="131"/>
        <v>0</v>
      </c>
      <c r="LU28" s="5">
        <f t="shared" si="132"/>
        <v>7850279</v>
      </c>
      <c r="LV28" s="26">
        <f t="shared" si="133"/>
        <v>0</v>
      </c>
      <c r="LW28" s="5">
        <f t="shared" si="134"/>
        <v>1536917</v>
      </c>
      <c r="LX28" s="26">
        <f t="shared" si="135"/>
        <v>0</v>
      </c>
      <c r="LY28" s="5">
        <f t="shared" si="136"/>
        <v>0</v>
      </c>
      <c r="LZ28" s="26">
        <f t="shared" si="137"/>
        <v>0</v>
      </c>
      <c r="MA28" s="5">
        <f t="shared" si="138"/>
        <v>19670377</v>
      </c>
      <c r="MB28" s="26">
        <f t="shared" si="139"/>
        <v>0</v>
      </c>
      <c r="MC28" s="5">
        <f t="shared" si="140"/>
        <v>903467</v>
      </c>
      <c r="MD28" s="26">
        <f t="shared" si="141"/>
        <v>0</v>
      </c>
      <c r="ME28" s="5">
        <f t="shared" si="142"/>
        <v>0</v>
      </c>
      <c r="MF28" s="26">
        <f t="shared" si="143"/>
        <v>0</v>
      </c>
      <c r="MG28" s="5">
        <f t="shared" si="144"/>
        <v>1348330</v>
      </c>
      <c r="MH28" s="26">
        <f t="shared" si="145"/>
        <v>0</v>
      </c>
      <c r="MI28" s="5">
        <f t="shared" si="146"/>
        <v>118889</v>
      </c>
      <c r="MJ28" s="26">
        <f t="shared" si="147"/>
        <v>0</v>
      </c>
      <c r="MK28" s="5">
        <f t="shared" si="148"/>
        <v>4964447</v>
      </c>
      <c r="ML28" s="26">
        <f t="shared" si="149"/>
        <v>0</v>
      </c>
      <c r="MM28" s="5">
        <f t="shared" si="150"/>
        <v>79615622</v>
      </c>
      <c r="MN28" s="26">
        <f t="shared" si="151"/>
        <v>0</v>
      </c>
      <c r="MO28" s="5">
        <f t="shared" si="152"/>
        <v>0</v>
      </c>
      <c r="MP28" s="26">
        <f t="shared" si="153"/>
        <v>0</v>
      </c>
      <c r="MQ28" s="5">
        <f t="shared" si="154"/>
        <v>79615622</v>
      </c>
      <c r="MR28" s="26">
        <f t="shared" si="155"/>
        <v>0</v>
      </c>
      <c r="MT28" s="5">
        <f t="shared" si="76"/>
        <v>0</v>
      </c>
      <c r="MV28" s="4">
        <f t="shared" si="77"/>
        <v>0</v>
      </c>
    </row>
    <row r="29" spans="1:360" x14ac:dyDescent="0.15">
      <c r="A29" s="155" t="s">
        <v>310</v>
      </c>
      <c r="B29" s="25" t="s">
        <v>406</v>
      </c>
      <c r="C29" s="105">
        <v>139755</v>
      </c>
      <c r="D29" s="105">
        <v>2011</v>
      </c>
      <c r="E29" s="106">
        <v>1</v>
      </c>
      <c r="F29" s="106">
        <v>1</v>
      </c>
      <c r="G29" s="107">
        <v>9475</v>
      </c>
      <c r="H29" s="107">
        <v>4275</v>
      </c>
      <c r="I29" s="108">
        <v>1138694378</v>
      </c>
      <c r="J29" s="108"/>
      <c r="K29" s="108">
        <v>8518485</v>
      </c>
      <c r="L29" s="108"/>
      <c r="M29" s="108">
        <v>26462243</v>
      </c>
      <c r="N29" s="108"/>
      <c r="O29" s="108">
        <v>183434989</v>
      </c>
      <c r="P29" s="108"/>
      <c r="Q29" s="108">
        <v>492780483</v>
      </c>
      <c r="R29" s="108"/>
      <c r="S29" s="108">
        <v>1067697007</v>
      </c>
      <c r="T29" s="108"/>
      <c r="U29" s="108">
        <v>18462</v>
      </c>
      <c r="V29" s="108"/>
      <c r="W29" s="108">
        <v>36672</v>
      </c>
      <c r="X29" s="108"/>
      <c r="Y29" s="108">
        <v>20082</v>
      </c>
      <c r="Z29" s="108"/>
      <c r="AA29" s="108">
        <v>38292</v>
      </c>
      <c r="AB29" s="108"/>
      <c r="AC29" s="130">
        <v>9</v>
      </c>
      <c r="AD29" s="130">
        <v>8</v>
      </c>
      <c r="AE29" s="130">
        <v>0</v>
      </c>
      <c r="AF29" s="26">
        <v>4436289</v>
      </c>
      <c r="AG29" s="26">
        <v>2613741</v>
      </c>
      <c r="AH29" s="26">
        <v>1173904</v>
      </c>
      <c r="AI29" s="26">
        <v>315695</v>
      </c>
      <c r="AJ29" s="26">
        <v>750032</v>
      </c>
      <c r="AK29" s="36">
        <v>6.5</v>
      </c>
      <c r="AL29" s="26">
        <v>696495</v>
      </c>
      <c r="AM29" s="36">
        <v>7</v>
      </c>
      <c r="AN29" s="26">
        <v>194930</v>
      </c>
      <c r="AO29" s="36">
        <v>5.5</v>
      </c>
      <c r="AP29" s="26">
        <v>176886</v>
      </c>
      <c r="AQ29" s="36">
        <v>6</v>
      </c>
      <c r="AR29" s="26">
        <v>188991</v>
      </c>
      <c r="AS29" s="36">
        <v>18</v>
      </c>
      <c r="AT29" s="26">
        <v>170092</v>
      </c>
      <c r="AU29" s="36">
        <v>20</v>
      </c>
      <c r="AV29" s="26">
        <v>87998</v>
      </c>
      <c r="AW29" s="36">
        <v>10</v>
      </c>
      <c r="AX29" s="26">
        <v>73331</v>
      </c>
      <c r="AY29" s="36">
        <v>12</v>
      </c>
      <c r="AZ29" s="54">
        <v>7769919</v>
      </c>
      <c r="BA29" s="54">
        <v>1889276</v>
      </c>
      <c r="BB29" s="54">
        <v>73740</v>
      </c>
      <c r="BC29" s="54">
        <v>220371</v>
      </c>
      <c r="BD29" s="54">
        <v>0</v>
      </c>
      <c r="BE29" s="54">
        <v>9953306</v>
      </c>
      <c r="BF29" s="54">
        <v>0</v>
      </c>
      <c r="BG29" s="54">
        <v>0</v>
      </c>
      <c r="BH29" s="54">
        <v>0</v>
      </c>
      <c r="BI29" s="54">
        <v>0</v>
      </c>
      <c r="BJ29" s="54">
        <v>4786859</v>
      </c>
      <c r="BK29" s="54">
        <v>4786859</v>
      </c>
      <c r="BL29" s="54">
        <v>450000</v>
      </c>
      <c r="BM29" s="54">
        <v>151500</v>
      </c>
      <c r="BN29" s="54">
        <v>0</v>
      </c>
      <c r="BO29" s="54">
        <v>0</v>
      </c>
      <c r="BP29" s="54">
        <v>0</v>
      </c>
      <c r="BQ29" s="54">
        <v>601500</v>
      </c>
      <c r="BR29" s="54">
        <v>6529198</v>
      </c>
      <c r="BS29" s="54">
        <v>1551164</v>
      </c>
      <c r="BT29" s="54">
        <v>0</v>
      </c>
      <c r="BU29" s="54">
        <v>1551164</v>
      </c>
      <c r="BV29" s="54">
        <v>4775147</v>
      </c>
      <c r="BW29" s="54">
        <v>14406673</v>
      </c>
      <c r="BX29" s="54">
        <v>0</v>
      </c>
      <c r="BY29" s="54">
        <v>0</v>
      </c>
      <c r="BZ29" s="54">
        <v>0</v>
      </c>
      <c r="CA29" s="54">
        <v>0</v>
      </c>
      <c r="CB29" s="54">
        <v>0</v>
      </c>
      <c r="CC29" s="54">
        <v>0</v>
      </c>
      <c r="CD29" s="54">
        <v>0</v>
      </c>
      <c r="CE29" s="54">
        <v>0</v>
      </c>
      <c r="CF29" s="54">
        <v>0</v>
      </c>
      <c r="CG29" s="54">
        <v>0</v>
      </c>
      <c r="CH29" s="54">
        <v>0</v>
      </c>
      <c r="CI29" s="54">
        <v>0</v>
      </c>
      <c r="CJ29" s="54">
        <v>301525</v>
      </c>
      <c r="CK29" s="54">
        <v>57235</v>
      </c>
      <c r="CL29" s="54">
        <v>202401</v>
      </c>
      <c r="CM29" s="54">
        <v>764051</v>
      </c>
      <c r="CN29" s="54">
        <v>342000</v>
      </c>
      <c r="CO29" s="54">
        <v>1667212</v>
      </c>
      <c r="CP29" s="54">
        <v>0</v>
      </c>
      <c r="CQ29" s="54">
        <v>0</v>
      </c>
      <c r="CR29" s="54">
        <v>0</v>
      </c>
      <c r="CS29" s="54">
        <v>0</v>
      </c>
      <c r="CT29" s="54">
        <v>0</v>
      </c>
      <c r="CU29" s="54">
        <v>0</v>
      </c>
      <c r="CV29" s="54">
        <v>6053808</v>
      </c>
      <c r="CW29" s="54">
        <v>4483496</v>
      </c>
      <c r="CX29" s="54">
        <v>99293</v>
      </c>
      <c r="CY29" s="54">
        <v>23862</v>
      </c>
      <c r="CZ29" s="54">
        <v>1112338</v>
      </c>
      <c r="DA29" s="54">
        <v>11772797</v>
      </c>
      <c r="DB29" s="54">
        <v>0</v>
      </c>
      <c r="DC29" s="54">
        <v>0</v>
      </c>
      <c r="DD29" s="54">
        <v>0</v>
      </c>
      <c r="DE29" s="54">
        <v>0</v>
      </c>
      <c r="DF29" s="54">
        <v>2111000</v>
      </c>
      <c r="DG29" s="54">
        <v>2111000</v>
      </c>
      <c r="DH29" s="54">
        <v>961009</v>
      </c>
      <c r="DI29" s="54">
        <v>150588</v>
      </c>
      <c r="DJ29" s="54">
        <v>16488</v>
      </c>
      <c r="DK29" s="54">
        <v>38818</v>
      </c>
      <c r="DL29" s="54">
        <v>0</v>
      </c>
      <c r="DM29" s="54">
        <v>1166903</v>
      </c>
      <c r="DN29" s="54">
        <v>177244</v>
      </c>
      <c r="DO29" s="54">
        <v>43935</v>
      </c>
      <c r="DP29" s="54">
        <v>48189</v>
      </c>
      <c r="DQ29" s="54">
        <v>182705</v>
      </c>
      <c r="DR29" s="54">
        <v>3339516</v>
      </c>
      <c r="DS29" s="54">
        <v>3791589</v>
      </c>
      <c r="DT29" s="54">
        <v>0</v>
      </c>
      <c r="DU29" s="54">
        <v>0</v>
      </c>
      <c r="DV29" s="54">
        <v>0</v>
      </c>
      <c r="DW29" s="54">
        <v>0</v>
      </c>
      <c r="DX29" s="54">
        <v>0</v>
      </c>
      <c r="DY29" s="54">
        <v>0</v>
      </c>
      <c r="DZ29" s="54">
        <v>314317</v>
      </c>
      <c r="EA29" s="54">
        <v>216075</v>
      </c>
      <c r="EB29" s="54">
        <v>24877</v>
      </c>
      <c r="EC29" s="54">
        <v>1247154</v>
      </c>
      <c r="ED29" s="54">
        <v>3500780</v>
      </c>
      <c r="EE29" s="54">
        <v>5303203</v>
      </c>
      <c r="EF29" s="54">
        <v>0</v>
      </c>
      <c r="EG29" s="54">
        <v>0</v>
      </c>
      <c r="EH29" s="54">
        <v>0</v>
      </c>
      <c r="EI29" s="54">
        <v>0</v>
      </c>
      <c r="EJ29" s="54">
        <v>246549</v>
      </c>
      <c r="EK29" s="54">
        <v>246549</v>
      </c>
      <c r="EL29" s="54">
        <v>22557020</v>
      </c>
      <c r="EM29" s="54">
        <v>8543269</v>
      </c>
      <c r="EN29" s="54">
        <v>464988</v>
      </c>
      <c r="EO29" s="54">
        <v>2574943</v>
      </c>
      <c r="EP29" s="54">
        <v>20214189</v>
      </c>
      <c r="EQ29" s="54">
        <v>54354409</v>
      </c>
      <c r="ER29" s="54">
        <v>2851141</v>
      </c>
      <c r="ES29" s="54">
        <v>423952</v>
      </c>
      <c r="ET29" s="54">
        <v>698086</v>
      </c>
      <c r="EU29" s="54">
        <v>3076851</v>
      </c>
      <c r="EV29" s="54">
        <v>234131</v>
      </c>
      <c r="EW29" s="54">
        <v>7284161</v>
      </c>
      <c r="EX29" s="54">
        <v>550000</v>
      </c>
      <c r="EY29" s="54">
        <v>283656</v>
      </c>
      <c r="EZ29" s="54">
        <v>39500</v>
      </c>
      <c r="FA29" s="54">
        <v>27789</v>
      </c>
      <c r="FB29" s="54">
        <v>0</v>
      </c>
      <c r="FC29" s="54">
        <v>900945</v>
      </c>
      <c r="FD29" s="54">
        <v>4798304</v>
      </c>
      <c r="FE29" s="54">
        <v>1982326</v>
      </c>
      <c r="FF29" s="54">
        <v>816584</v>
      </c>
      <c r="FG29" s="54">
        <v>2631955</v>
      </c>
      <c r="FH29" s="54">
        <v>0</v>
      </c>
      <c r="FI29" s="54">
        <v>10229169</v>
      </c>
      <c r="FJ29" s="54">
        <v>0</v>
      </c>
      <c r="FK29" s="54">
        <v>0</v>
      </c>
      <c r="FL29" s="54">
        <v>0</v>
      </c>
      <c r="FM29" s="54">
        <v>0</v>
      </c>
      <c r="FN29" s="54">
        <v>0</v>
      </c>
      <c r="FO29" s="54">
        <v>0</v>
      </c>
      <c r="FP29" s="54">
        <v>521772</v>
      </c>
      <c r="FQ29" s="54">
        <v>211595</v>
      </c>
      <c r="FR29" s="54">
        <v>358561</v>
      </c>
      <c r="FS29" s="54">
        <v>39197</v>
      </c>
      <c r="FT29" s="54">
        <v>7578175</v>
      </c>
      <c r="FU29" s="54">
        <v>8709300</v>
      </c>
      <c r="FV29" s="54">
        <v>0</v>
      </c>
      <c r="FW29" s="54">
        <v>0</v>
      </c>
      <c r="FX29" s="54">
        <v>0</v>
      </c>
      <c r="FY29" s="54">
        <v>0</v>
      </c>
      <c r="FZ29" s="54">
        <v>0</v>
      </c>
      <c r="GA29" s="54">
        <v>0</v>
      </c>
      <c r="GB29" s="54">
        <v>0</v>
      </c>
      <c r="GC29" s="54">
        <v>226562</v>
      </c>
      <c r="GD29" s="54">
        <v>1139939</v>
      </c>
      <c r="GE29" s="54">
        <v>27789</v>
      </c>
      <c r="GF29" s="54">
        <v>0</v>
      </c>
      <c r="GG29" s="54">
        <v>1394290</v>
      </c>
      <c r="GH29" s="54">
        <v>883430</v>
      </c>
      <c r="GI29" s="54">
        <v>166789</v>
      </c>
      <c r="GJ29" s="54">
        <v>180432</v>
      </c>
      <c r="GK29" s="54">
        <v>258948</v>
      </c>
      <c r="GL29" s="54">
        <v>3103</v>
      </c>
      <c r="GM29" s="54">
        <v>1492702</v>
      </c>
      <c r="GN29" s="54">
        <v>1636509</v>
      </c>
      <c r="GO29" s="54">
        <v>480877</v>
      </c>
      <c r="GP29" s="54">
        <v>399382</v>
      </c>
      <c r="GQ29" s="54">
        <v>908782</v>
      </c>
      <c r="GR29" s="54">
        <v>0</v>
      </c>
      <c r="GS29" s="54">
        <v>3425550</v>
      </c>
      <c r="GT29" s="54">
        <v>379023</v>
      </c>
      <c r="GU29" s="54">
        <v>50828</v>
      </c>
      <c r="GV29" s="54">
        <v>99250</v>
      </c>
      <c r="GW29" s="54">
        <v>416217</v>
      </c>
      <c r="GX29" s="54">
        <v>193754</v>
      </c>
      <c r="GY29" s="54">
        <v>1139072</v>
      </c>
      <c r="GZ29" s="54">
        <v>1492657</v>
      </c>
      <c r="HA29" s="54">
        <v>488766</v>
      </c>
      <c r="HB29" s="54">
        <v>140707</v>
      </c>
      <c r="HC29" s="54">
        <v>157196</v>
      </c>
      <c r="HD29" s="54">
        <v>266540</v>
      </c>
      <c r="HE29" s="54">
        <v>2545866</v>
      </c>
      <c r="HF29" s="54">
        <v>284482</v>
      </c>
      <c r="HG29" s="54">
        <v>23139</v>
      </c>
      <c r="HH29" s="54">
        <v>17760</v>
      </c>
      <c r="HI29" s="54">
        <v>4584</v>
      </c>
      <c r="HJ29" s="54">
        <v>954621</v>
      </c>
      <c r="HK29" s="54">
        <v>1284586</v>
      </c>
      <c r="HL29" s="54">
        <v>0</v>
      </c>
      <c r="HM29" s="54">
        <v>0</v>
      </c>
      <c r="HN29" s="54">
        <v>0</v>
      </c>
      <c r="HO29" s="54">
        <v>0</v>
      </c>
      <c r="HP29" s="54">
        <v>0</v>
      </c>
      <c r="HQ29" s="54">
        <v>0</v>
      </c>
      <c r="HR29" s="54">
        <v>795488</v>
      </c>
      <c r="HS29" s="54">
        <v>226156</v>
      </c>
      <c r="HT29" s="54">
        <v>226156</v>
      </c>
      <c r="HU29" s="54">
        <v>702141</v>
      </c>
      <c r="HV29" s="54">
        <v>10247871</v>
      </c>
      <c r="HW29" s="54">
        <v>12197812</v>
      </c>
      <c r="HX29" s="54">
        <v>0</v>
      </c>
      <c r="HY29" s="54">
        <v>0</v>
      </c>
      <c r="HZ29" s="54">
        <v>0</v>
      </c>
      <c r="IA29" s="54">
        <v>0</v>
      </c>
      <c r="IB29" s="54">
        <v>226588</v>
      </c>
      <c r="IC29" s="54">
        <v>226588</v>
      </c>
      <c r="ID29" s="54">
        <v>0</v>
      </c>
      <c r="IE29" s="54">
        <v>0</v>
      </c>
      <c r="IF29" s="54">
        <v>0</v>
      </c>
      <c r="IG29" s="54">
        <v>0</v>
      </c>
      <c r="IH29" s="54">
        <v>0</v>
      </c>
      <c r="II29" s="54">
        <v>0</v>
      </c>
      <c r="IJ29" s="54">
        <v>0</v>
      </c>
      <c r="IK29" s="54">
        <v>0</v>
      </c>
      <c r="IL29" s="54">
        <v>0</v>
      </c>
      <c r="IM29" s="54">
        <v>0</v>
      </c>
      <c r="IN29" s="54">
        <v>623221</v>
      </c>
      <c r="IO29" s="54">
        <v>623221</v>
      </c>
      <c r="IP29" s="54">
        <v>7692</v>
      </c>
      <c r="IQ29" s="54">
        <v>1150</v>
      </c>
      <c r="IR29" s="54">
        <v>7445</v>
      </c>
      <c r="IS29" s="54">
        <v>34192</v>
      </c>
      <c r="IT29" s="54">
        <v>25196</v>
      </c>
      <c r="IU29" s="54">
        <v>75675</v>
      </c>
      <c r="IV29" s="54">
        <v>122805</v>
      </c>
      <c r="IW29" s="54">
        <v>59314</v>
      </c>
      <c r="IX29" s="54">
        <v>70646</v>
      </c>
      <c r="IY29" s="54">
        <v>93114</v>
      </c>
      <c r="IZ29" s="54">
        <v>3218235</v>
      </c>
      <c r="JA29" s="54">
        <v>3564114</v>
      </c>
      <c r="JB29" s="54">
        <v>14323303</v>
      </c>
      <c r="JC29" s="54">
        <v>4625110</v>
      </c>
      <c r="JD29" s="54">
        <v>4194448</v>
      </c>
      <c r="JE29" s="54">
        <v>8350966</v>
      </c>
      <c r="JF29" s="54">
        <v>23571435</v>
      </c>
      <c r="JG29" s="54">
        <v>55065262</v>
      </c>
      <c r="JH29" s="54">
        <v>0</v>
      </c>
      <c r="JI29" s="54">
        <v>0</v>
      </c>
      <c r="JJ29" s="54">
        <v>0</v>
      </c>
      <c r="JK29" s="54">
        <v>0</v>
      </c>
      <c r="JL29" s="54">
        <v>0</v>
      </c>
      <c r="JM29" s="54">
        <v>0</v>
      </c>
      <c r="JN29" s="54">
        <v>14323303</v>
      </c>
      <c r="JO29" s="54" t="s">
        <v>478</v>
      </c>
      <c r="JP29" s="54">
        <v>4194448</v>
      </c>
      <c r="JQ29" s="54">
        <v>8350966</v>
      </c>
      <c r="JR29" s="54">
        <v>23571435</v>
      </c>
      <c r="JS29" s="54">
        <v>50440152</v>
      </c>
      <c r="JU29" s="5">
        <f t="shared" si="80"/>
        <v>9953306</v>
      </c>
      <c r="JV29" s="26">
        <f t="shared" si="81"/>
        <v>0</v>
      </c>
      <c r="JW29" s="5">
        <f t="shared" si="82"/>
        <v>4786859</v>
      </c>
      <c r="JX29" s="26">
        <f t="shared" si="83"/>
        <v>0</v>
      </c>
      <c r="JY29" s="5">
        <f t="shared" si="84"/>
        <v>601500</v>
      </c>
      <c r="JZ29" s="26">
        <f t="shared" si="85"/>
        <v>0</v>
      </c>
      <c r="KA29" s="5">
        <f t="shared" si="86"/>
        <v>14406673</v>
      </c>
      <c r="KB29" s="26">
        <f t="shared" si="87"/>
        <v>0</v>
      </c>
      <c r="KC29" s="5">
        <f t="shared" si="88"/>
        <v>0</v>
      </c>
      <c r="KD29" s="26">
        <f t="shared" si="89"/>
        <v>0</v>
      </c>
      <c r="KE29" s="5">
        <f t="shared" si="90"/>
        <v>0</v>
      </c>
      <c r="KF29" s="26">
        <f t="shared" si="91"/>
        <v>0</v>
      </c>
      <c r="KG29" s="5">
        <f t="shared" si="92"/>
        <v>1667212</v>
      </c>
      <c r="KH29" s="26">
        <f t="shared" si="93"/>
        <v>0</v>
      </c>
      <c r="KI29" s="5">
        <f t="shared" si="94"/>
        <v>0</v>
      </c>
      <c r="KJ29" s="26">
        <f t="shared" si="95"/>
        <v>0</v>
      </c>
      <c r="KK29" s="5">
        <f t="shared" si="96"/>
        <v>11772797</v>
      </c>
      <c r="KL29" s="26">
        <f t="shared" si="97"/>
        <v>0</v>
      </c>
      <c r="KM29" s="5">
        <f t="shared" si="98"/>
        <v>2111000</v>
      </c>
      <c r="KN29" s="26">
        <f t="shared" si="99"/>
        <v>0</v>
      </c>
      <c r="KO29" s="5">
        <f t="shared" si="100"/>
        <v>1166903</v>
      </c>
      <c r="KP29" s="26">
        <f t="shared" si="101"/>
        <v>0</v>
      </c>
      <c r="KQ29" s="5">
        <f t="shared" si="102"/>
        <v>3791589</v>
      </c>
      <c r="KR29" s="26">
        <f t="shared" si="103"/>
        <v>0</v>
      </c>
      <c r="KS29" s="5">
        <f t="shared" si="104"/>
        <v>0</v>
      </c>
      <c r="KT29" s="26">
        <f t="shared" si="105"/>
        <v>0</v>
      </c>
      <c r="KU29" s="5">
        <f t="shared" si="106"/>
        <v>5303203</v>
      </c>
      <c r="KV29" s="26">
        <f t="shared" si="107"/>
        <v>0</v>
      </c>
      <c r="KW29" s="5">
        <f t="shared" si="108"/>
        <v>246549</v>
      </c>
      <c r="KX29" s="26">
        <f t="shared" si="109"/>
        <v>0</v>
      </c>
      <c r="KY29" s="5">
        <f t="shared" si="110"/>
        <v>54354409</v>
      </c>
      <c r="KZ29" s="26">
        <f t="shared" si="111"/>
        <v>0</v>
      </c>
      <c r="LA29" s="5">
        <f t="shared" si="112"/>
        <v>7284161</v>
      </c>
      <c r="LB29" s="26">
        <f t="shared" si="113"/>
        <v>0</v>
      </c>
      <c r="LC29" s="5">
        <f t="shared" si="114"/>
        <v>900945</v>
      </c>
      <c r="LD29" s="26">
        <f t="shared" si="115"/>
        <v>0</v>
      </c>
      <c r="LE29" s="5">
        <f t="shared" si="116"/>
        <v>10229169</v>
      </c>
      <c r="LF29" s="26">
        <f t="shared" si="117"/>
        <v>0</v>
      </c>
      <c r="LG29" s="5">
        <f t="shared" si="118"/>
        <v>0</v>
      </c>
      <c r="LH29" s="26">
        <f t="shared" si="119"/>
        <v>0</v>
      </c>
      <c r="LI29" s="5">
        <f t="shared" si="120"/>
        <v>8709300</v>
      </c>
      <c r="LJ29" s="26">
        <f t="shared" si="121"/>
        <v>0</v>
      </c>
      <c r="LK29" s="5">
        <f t="shared" si="122"/>
        <v>0</v>
      </c>
      <c r="LL29" s="26">
        <f t="shared" si="123"/>
        <v>0</v>
      </c>
      <c r="LM29" s="5">
        <f t="shared" si="124"/>
        <v>1394290</v>
      </c>
      <c r="LN29" s="26">
        <f t="shared" si="125"/>
        <v>0</v>
      </c>
      <c r="LO29" s="5">
        <f t="shared" si="126"/>
        <v>1492702</v>
      </c>
      <c r="LP29" s="26">
        <f t="shared" si="127"/>
        <v>0</v>
      </c>
      <c r="LQ29" s="5">
        <f t="shared" si="128"/>
        <v>3425550</v>
      </c>
      <c r="LR29" s="26">
        <f t="shared" si="129"/>
        <v>0</v>
      </c>
      <c r="LS29" s="5">
        <f t="shared" si="130"/>
        <v>1139072</v>
      </c>
      <c r="LT29" s="26">
        <f t="shared" si="131"/>
        <v>0</v>
      </c>
      <c r="LU29" s="5">
        <f t="shared" si="132"/>
        <v>2545866</v>
      </c>
      <c r="LV29" s="26">
        <f t="shared" si="133"/>
        <v>0</v>
      </c>
      <c r="LW29" s="5">
        <f t="shared" si="134"/>
        <v>1284586</v>
      </c>
      <c r="LX29" s="26">
        <f t="shared" si="135"/>
        <v>0</v>
      </c>
      <c r="LY29" s="5">
        <f t="shared" si="136"/>
        <v>0</v>
      </c>
      <c r="LZ29" s="26">
        <f t="shared" si="137"/>
        <v>0</v>
      </c>
      <c r="MA29" s="5">
        <f t="shared" si="138"/>
        <v>12197812</v>
      </c>
      <c r="MB29" s="26">
        <f t="shared" si="139"/>
        <v>0</v>
      </c>
      <c r="MC29" s="5">
        <f t="shared" si="140"/>
        <v>226588</v>
      </c>
      <c r="MD29" s="26">
        <f t="shared" si="141"/>
        <v>0</v>
      </c>
      <c r="ME29" s="5">
        <f t="shared" si="142"/>
        <v>0</v>
      </c>
      <c r="MF29" s="26">
        <f t="shared" si="143"/>
        <v>0</v>
      </c>
      <c r="MG29" s="5">
        <f t="shared" si="144"/>
        <v>623221</v>
      </c>
      <c r="MH29" s="26">
        <f t="shared" si="145"/>
        <v>0</v>
      </c>
      <c r="MI29" s="5">
        <f t="shared" si="146"/>
        <v>75675</v>
      </c>
      <c r="MJ29" s="26">
        <f t="shared" si="147"/>
        <v>0</v>
      </c>
      <c r="MK29" s="5">
        <f t="shared" si="148"/>
        <v>3564114</v>
      </c>
      <c r="ML29" s="26">
        <f t="shared" si="149"/>
        <v>0</v>
      </c>
      <c r="MM29" s="5">
        <f t="shared" si="150"/>
        <v>55065262</v>
      </c>
      <c r="MN29" s="26">
        <f t="shared" si="151"/>
        <v>0</v>
      </c>
      <c r="MO29" s="5">
        <f t="shared" si="152"/>
        <v>0</v>
      </c>
      <c r="MP29" s="26">
        <f t="shared" si="153"/>
        <v>0</v>
      </c>
      <c r="MQ29" s="5">
        <f t="shared" si="154"/>
        <v>50440152</v>
      </c>
      <c r="MR29" s="26">
        <f t="shared" si="155"/>
        <v>0</v>
      </c>
      <c r="MT29" s="5">
        <f t="shared" si="76"/>
        <v>0</v>
      </c>
      <c r="MV29" s="4">
        <f t="shared" si="77"/>
        <v>0</v>
      </c>
    </row>
    <row r="30" spans="1:360" x14ac:dyDescent="0.15">
      <c r="A30" s="155" t="s">
        <v>311</v>
      </c>
      <c r="B30" s="25" t="s">
        <v>458</v>
      </c>
      <c r="C30" s="109">
        <v>141574</v>
      </c>
      <c r="D30" s="105">
        <v>2011</v>
      </c>
      <c r="E30" s="106">
        <v>1</v>
      </c>
      <c r="F30" s="106">
        <v>10</v>
      </c>
      <c r="G30" s="107">
        <v>5190</v>
      </c>
      <c r="H30" s="107">
        <v>5965</v>
      </c>
      <c r="I30" s="108">
        <v>1443894000</v>
      </c>
      <c r="J30" s="108"/>
      <c r="K30" s="108">
        <v>0</v>
      </c>
      <c r="L30" s="108"/>
      <c r="M30" s="108">
        <v>0</v>
      </c>
      <c r="N30" s="108"/>
      <c r="O30" s="108">
        <v>0</v>
      </c>
      <c r="P30" s="108"/>
      <c r="Q30" s="108">
        <v>344315000</v>
      </c>
      <c r="R30" s="108"/>
      <c r="S30" s="108">
        <v>1443894000</v>
      </c>
      <c r="T30" s="108"/>
      <c r="U30" s="108">
        <v>17681</v>
      </c>
      <c r="V30" s="108"/>
      <c r="W30" s="108">
        <v>31121</v>
      </c>
      <c r="X30" s="108"/>
      <c r="Y30" s="108">
        <v>23506</v>
      </c>
      <c r="Z30" s="108"/>
      <c r="AA30" s="108">
        <v>36946</v>
      </c>
      <c r="AB30" s="108"/>
      <c r="AC30" s="129">
        <v>7</v>
      </c>
      <c r="AD30" s="129">
        <v>11</v>
      </c>
      <c r="AE30" s="129">
        <v>1</v>
      </c>
      <c r="AF30" s="26">
        <v>3266344</v>
      </c>
      <c r="AG30" s="26">
        <v>2800243</v>
      </c>
      <c r="AH30" s="26">
        <v>348782</v>
      </c>
      <c r="AI30" s="26">
        <v>213698</v>
      </c>
      <c r="AJ30" s="26">
        <v>319211.15999999997</v>
      </c>
      <c r="AK30" s="36">
        <v>6.63</v>
      </c>
      <c r="AL30" s="26">
        <v>264546.25</v>
      </c>
      <c r="AM30" s="36">
        <v>8</v>
      </c>
      <c r="AN30" s="26">
        <v>119085.64</v>
      </c>
      <c r="AO30" s="36">
        <v>9.4</v>
      </c>
      <c r="AP30" s="26">
        <v>111940.5</v>
      </c>
      <c r="AQ30" s="36">
        <v>10</v>
      </c>
      <c r="AR30" s="26">
        <v>124760.8</v>
      </c>
      <c r="AS30" s="36">
        <v>18.7</v>
      </c>
      <c r="AT30" s="26">
        <v>97209.46</v>
      </c>
      <c r="AU30" s="36">
        <v>24</v>
      </c>
      <c r="AV30" s="26">
        <v>60343.65</v>
      </c>
      <c r="AW30" s="36">
        <v>15.35</v>
      </c>
      <c r="AX30" s="26">
        <v>48751.32</v>
      </c>
      <c r="AY30" s="36">
        <v>19</v>
      </c>
      <c r="AZ30" s="54">
        <v>4839840</v>
      </c>
      <c r="BA30" s="54">
        <v>1063927</v>
      </c>
      <c r="BB30" s="54">
        <v>51261</v>
      </c>
      <c r="BC30" s="54">
        <v>1471767</v>
      </c>
      <c r="BD30" s="54">
        <v>0</v>
      </c>
      <c r="BE30" s="54">
        <v>7426795</v>
      </c>
      <c r="BF30" s="54">
        <v>0</v>
      </c>
      <c r="BG30" s="54">
        <v>0</v>
      </c>
      <c r="BH30" s="54">
        <v>0</v>
      </c>
      <c r="BI30" s="54">
        <v>0</v>
      </c>
      <c r="BJ30" s="54">
        <v>818206</v>
      </c>
      <c r="BK30" s="54">
        <v>818206</v>
      </c>
      <c r="BL30" s="54">
        <v>850000</v>
      </c>
      <c r="BM30" s="54">
        <v>0</v>
      </c>
      <c r="BN30" s="54">
        <v>0</v>
      </c>
      <c r="BO30" s="54">
        <v>2000</v>
      </c>
      <c r="BP30" s="54">
        <v>0</v>
      </c>
      <c r="BQ30" s="54">
        <v>852000</v>
      </c>
      <c r="BR30" s="54">
        <v>412018</v>
      </c>
      <c r="BS30" s="54">
        <v>142010</v>
      </c>
      <c r="BT30" s="54">
        <v>29304</v>
      </c>
      <c r="BU30" s="54">
        <v>506172</v>
      </c>
      <c r="BV30" s="54">
        <v>3565269</v>
      </c>
      <c r="BW30" s="54">
        <v>4654773</v>
      </c>
      <c r="BX30" s="54">
        <v>0</v>
      </c>
      <c r="BY30" s="54">
        <v>0</v>
      </c>
      <c r="BZ30" s="54">
        <v>0</v>
      </c>
      <c r="CA30" s="54">
        <v>0</v>
      </c>
      <c r="CB30" s="54">
        <v>0</v>
      </c>
      <c r="CC30" s="54">
        <v>0</v>
      </c>
      <c r="CD30" s="54">
        <v>0</v>
      </c>
      <c r="CE30" s="54">
        <v>0</v>
      </c>
      <c r="CF30" s="54">
        <v>0</v>
      </c>
      <c r="CG30" s="54">
        <v>0</v>
      </c>
      <c r="CH30" s="54">
        <v>0</v>
      </c>
      <c r="CI30" s="54">
        <v>0</v>
      </c>
      <c r="CJ30" s="54">
        <v>871596</v>
      </c>
      <c r="CK30" s="54">
        <v>195795</v>
      </c>
      <c r="CL30" s="54">
        <v>187368</v>
      </c>
      <c r="CM30" s="54">
        <v>2355272</v>
      </c>
      <c r="CN30" s="54">
        <v>2481911</v>
      </c>
      <c r="CO30" s="54">
        <v>6091942</v>
      </c>
      <c r="CP30" s="54">
        <v>0</v>
      </c>
      <c r="CQ30" s="54">
        <v>0</v>
      </c>
      <c r="CR30" s="54">
        <v>0</v>
      </c>
      <c r="CS30" s="54">
        <v>0</v>
      </c>
      <c r="CT30" s="54">
        <v>5076260</v>
      </c>
      <c r="CU30" s="54">
        <v>5076260</v>
      </c>
      <c r="CV30" s="54">
        <v>400000</v>
      </c>
      <c r="CW30" s="54">
        <v>0</v>
      </c>
      <c r="CX30" s="54">
        <v>0</v>
      </c>
      <c r="CY30" s="54">
        <v>30708</v>
      </c>
      <c r="CZ30" s="54">
        <v>2594425</v>
      </c>
      <c r="DA30" s="54">
        <v>3025133</v>
      </c>
      <c r="DB30" s="54">
        <v>0</v>
      </c>
      <c r="DC30" s="54">
        <v>15000</v>
      </c>
      <c r="DD30" s="54">
        <v>0</v>
      </c>
      <c r="DE30" s="54">
        <v>0</v>
      </c>
      <c r="DF30" s="54">
        <v>2823041</v>
      </c>
      <c r="DG30" s="54">
        <v>2838041</v>
      </c>
      <c r="DH30" s="54">
        <v>0</v>
      </c>
      <c r="DI30" s="54">
        <v>0</v>
      </c>
      <c r="DJ30" s="54">
        <v>0</v>
      </c>
      <c r="DK30" s="54">
        <v>0</v>
      </c>
      <c r="DL30" s="54">
        <v>687629</v>
      </c>
      <c r="DM30" s="54">
        <v>687629</v>
      </c>
      <c r="DN30" s="54">
        <v>171395</v>
      </c>
      <c r="DO30" s="54">
        <v>13233</v>
      </c>
      <c r="DP30" s="54">
        <v>15886</v>
      </c>
      <c r="DQ30" s="54">
        <v>185941</v>
      </c>
      <c r="DR30" s="54">
        <v>3151919</v>
      </c>
      <c r="DS30" s="54">
        <v>3538374</v>
      </c>
      <c r="DT30" s="54">
        <v>35373</v>
      </c>
      <c r="DU30" s="54">
        <v>19727</v>
      </c>
      <c r="DV30" s="54">
        <v>10053</v>
      </c>
      <c r="DW30" s="54">
        <v>260896</v>
      </c>
      <c r="DX30" s="54">
        <v>10131</v>
      </c>
      <c r="DY30" s="54">
        <v>336180</v>
      </c>
      <c r="DZ30" s="54">
        <v>-6725</v>
      </c>
      <c r="EA30" s="54">
        <v>-1731</v>
      </c>
      <c r="EB30" s="54">
        <v>-1106</v>
      </c>
      <c r="EC30" s="54">
        <v>-5750</v>
      </c>
      <c r="ED30" s="54">
        <v>471645</v>
      </c>
      <c r="EE30" s="54">
        <v>456333</v>
      </c>
      <c r="EF30" s="54">
        <v>228364</v>
      </c>
      <c r="EG30" s="54">
        <v>72685</v>
      </c>
      <c r="EH30" s="54">
        <v>14391</v>
      </c>
      <c r="EI30" s="54">
        <v>193908</v>
      </c>
      <c r="EJ30" s="54">
        <v>490444</v>
      </c>
      <c r="EK30" s="54">
        <v>999792</v>
      </c>
      <c r="EL30" s="54">
        <v>7801861</v>
      </c>
      <c r="EM30" s="54">
        <v>1520646</v>
      </c>
      <c r="EN30" s="54">
        <v>307157</v>
      </c>
      <c r="EO30" s="54">
        <v>5000914</v>
      </c>
      <c r="EP30" s="54">
        <v>22170880</v>
      </c>
      <c r="EQ30" s="54">
        <v>36801458</v>
      </c>
      <c r="ER30" s="54">
        <v>1950829</v>
      </c>
      <c r="ES30" s="54">
        <v>344149</v>
      </c>
      <c r="ET30" s="54">
        <v>347395</v>
      </c>
      <c r="EU30" s="54">
        <v>3424214</v>
      </c>
      <c r="EV30" s="54">
        <v>845177</v>
      </c>
      <c r="EW30" s="54">
        <v>6911764</v>
      </c>
      <c r="EX30" s="54">
        <v>1950829</v>
      </c>
      <c r="EY30" s="54">
        <v>344149</v>
      </c>
      <c r="EZ30" s="54">
        <v>347395</v>
      </c>
      <c r="FA30" s="54">
        <v>3424214</v>
      </c>
      <c r="FB30" s="54">
        <v>845177</v>
      </c>
      <c r="FC30" s="54">
        <v>6911764</v>
      </c>
      <c r="FD30" s="54">
        <v>2679500</v>
      </c>
      <c r="FE30" s="54">
        <v>770531</v>
      </c>
      <c r="FF30" s="54">
        <v>368285</v>
      </c>
      <c r="FG30" s="54">
        <v>2676761</v>
      </c>
      <c r="FH30" s="54">
        <v>0</v>
      </c>
      <c r="FI30" s="54">
        <v>6495077</v>
      </c>
      <c r="FJ30" s="54">
        <v>0</v>
      </c>
      <c r="FK30" s="54">
        <v>0</v>
      </c>
      <c r="FL30" s="54">
        <v>0</v>
      </c>
      <c r="FM30" s="54">
        <v>0</v>
      </c>
      <c r="FN30" s="54">
        <v>0</v>
      </c>
      <c r="FO30" s="54">
        <v>0</v>
      </c>
      <c r="FP30" s="54">
        <v>327396</v>
      </c>
      <c r="FQ30" s="54">
        <v>111767</v>
      </c>
      <c r="FR30" s="54">
        <v>37385</v>
      </c>
      <c r="FS30" s="54">
        <v>107999</v>
      </c>
      <c r="FT30" s="54">
        <v>5696326</v>
      </c>
      <c r="FU30" s="54">
        <v>6280873</v>
      </c>
      <c r="FV30" s="54">
        <v>0</v>
      </c>
      <c r="FW30" s="54">
        <v>0</v>
      </c>
      <c r="FX30" s="54">
        <v>0</v>
      </c>
      <c r="FY30" s="54">
        <v>0</v>
      </c>
      <c r="FZ30" s="54">
        <v>0</v>
      </c>
      <c r="GA30" s="54">
        <v>0</v>
      </c>
      <c r="GB30" s="54">
        <v>0</v>
      </c>
      <c r="GC30" s="54">
        <v>0</v>
      </c>
      <c r="GD30" s="54">
        <v>0</v>
      </c>
      <c r="GE30" s="54">
        <v>28635</v>
      </c>
      <c r="GF30" s="54">
        <v>0</v>
      </c>
      <c r="GG30" s="54">
        <v>28635</v>
      </c>
      <c r="GH30" s="54">
        <v>132068</v>
      </c>
      <c r="GI30" s="54">
        <v>108257</v>
      </c>
      <c r="GJ30" s="54">
        <v>77597</v>
      </c>
      <c r="GK30" s="54">
        <v>244558</v>
      </c>
      <c r="GL30" s="54">
        <v>0</v>
      </c>
      <c r="GM30" s="54">
        <v>562480</v>
      </c>
      <c r="GN30" s="54">
        <v>1511950</v>
      </c>
      <c r="GO30" s="54">
        <v>252148</v>
      </c>
      <c r="GP30" s="54">
        <v>170386</v>
      </c>
      <c r="GQ30" s="54">
        <v>1714882</v>
      </c>
      <c r="GR30" s="54">
        <v>0</v>
      </c>
      <c r="GS30" s="54">
        <v>3649366</v>
      </c>
      <c r="GT30" s="54">
        <v>356365</v>
      </c>
      <c r="GU30" s="54">
        <v>26638</v>
      </c>
      <c r="GV30" s="54">
        <v>45112</v>
      </c>
      <c r="GW30" s="54">
        <v>363716</v>
      </c>
      <c r="GX30" s="54">
        <v>607543</v>
      </c>
      <c r="GY30" s="54">
        <v>1399374</v>
      </c>
      <c r="GZ30" s="54">
        <v>729868</v>
      </c>
      <c r="HA30" s="54">
        <v>100713</v>
      </c>
      <c r="HB30" s="54">
        <v>125673</v>
      </c>
      <c r="HC30" s="54">
        <v>172732</v>
      </c>
      <c r="HD30" s="54">
        <v>115580</v>
      </c>
      <c r="HE30" s="54">
        <v>1244566</v>
      </c>
      <c r="HF30" s="54">
        <v>168203</v>
      </c>
      <c r="HG30" s="54">
        <v>5752</v>
      </c>
      <c r="HH30" s="54">
        <v>9582</v>
      </c>
      <c r="HI30" s="54">
        <v>69447</v>
      </c>
      <c r="HJ30" s="54">
        <v>340043</v>
      </c>
      <c r="HK30" s="54">
        <v>593027</v>
      </c>
      <c r="HL30" s="54">
        <v>1061</v>
      </c>
      <c r="HM30" s="54">
        <v>1717</v>
      </c>
      <c r="HN30" s="54">
        <v>1500</v>
      </c>
      <c r="HO30" s="54">
        <v>6206</v>
      </c>
      <c r="HP30" s="54">
        <v>0</v>
      </c>
      <c r="HQ30" s="54">
        <v>10484</v>
      </c>
      <c r="HR30" s="54">
        <v>57422</v>
      </c>
      <c r="HS30" s="54">
        <v>384</v>
      </c>
      <c r="HT30" s="54">
        <v>0</v>
      </c>
      <c r="HU30" s="54">
        <v>84628</v>
      </c>
      <c r="HV30" s="54">
        <v>244338</v>
      </c>
      <c r="HW30" s="54">
        <v>386772</v>
      </c>
      <c r="HX30" s="54">
        <v>0</v>
      </c>
      <c r="HY30" s="54">
        <v>0</v>
      </c>
      <c r="HZ30" s="54">
        <v>0</v>
      </c>
      <c r="IA30" s="54">
        <v>0</v>
      </c>
      <c r="IB30" s="54">
        <v>11735</v>
      </c>
      <c r="IC30" s="54">
        <v>11735</v>
      </c>
      <c r="ID30" s="54">
        <v>0</v>
      </c>
      <c r="IE30" s="54">
        <v>0</v>
      </c>
      <c r="IF30" s="54">
        <v>0</v>
      </c>
      <c r="IG30" s="54">
        <v>0</v>
      </c>
      <c r="IH30" s="54">
        <v>5076260</v>
      </c>
      <c r="II30" s="54">
        <v>5076260</v>
      </c>
      <c r="IJ30" s="54">
        <v>0</v>
      </c>
      <c r="IK30" s="54">
        <v>0</v>
      </c>
      <c r="IL30" s="54">
        <v>0</v>
      </c>
      <c r="IM30" s="54">
        <v>0</v>
      </c>
      <c r="IN30" s="54">
        <v>5076260</v>
      </c>
      <c r="IO30" s="54">
        <v>5076260</v>
      </c>
      <c r="IP30" s="54">
        <v>1115</v>
      </c>
      <c r="IQ30" s="54">
        <v>1195</v>
      </c>
      <c r="IR30" s="54">
        <v>1915</v>
      </c>
      <c r="IS30" s="54">
        <v>6930</v>
      </c>
      <c r="IT30" s="54">
        <v>434807</v>
      </c>
      <c r="IU30" s="54">
        <v>445962</v>
      </c>
      <c r="IV30" s="54">
        <v>365591</v>
      </c>
      <c r="IW30" s="54">
        <v>63119</v>
      </c>
      <c r="IX30" s="54">
        <v>48396</v>
      </c>
      <c r="IY30" s="54">
        <v>350498</v>
      </c>
      <c r="IZ30" s="54">
        <v>826421</v>
      </c>
      <c r="JA30" s="54">
        <v>1654025</v>
      </c>
      <c r="JB30" s="54">
        <v>8977917</v>
      </c>
      <c r="JC30" s="54">
        <v>2032469</v>
      </c>
      <c r="JD30" s="54">
        <v>1281443</v>
      </c>
      <c r="JE30" s="54">
        <v>9670760</v>
      </c>
      <c r="JF30" s="54">
        <v>14382363</v>
      </c>
      <c r="JG30" s="54">
        <v>36344952</v>
      </c>
      <c r="JH30" s="54">
        <v>0</v>
      </c>
      <c r="JI30" s="54">
        <v>0</v>
      </c>
      <c r="JJ30" s="54">
        <v>0</v>
      </c>
      <c r="JK30" s="54">
        <v>0</v>
      </c>
      <c r="JL30" s="54">
        <v>0</v>
      </c>
      <c r="JM30" s="54">
        <v>0</v>
      </c>
      <c r="JN30" s="54">
        <v>8977917</v>
      </c>
      <c r="JO30" s="54">
        <v>2032469</v>
      </c>
      <c r="JP30" s="54">
        <v>1281443</v>
      </c>
      <c r="JQ30" s="54">
        <v>9670760</v>
      </c>
      <c r="JR30" s="54">
        <v>14382363</v>
      </c>
      <c r="JS30" s="54">
        <v>36344952</v>
      </c>
      <c r="JT30" s="14"/>
      <c r="JU30" s="5">
        <f t="shared" si="80"/>
        <v>7426795</v>
      </c>
      <c r="JV30" s="26">
        <f t="shared" si="81"/>
        <v>0</v>
      </c>
      <c r="JW30" s="5">
        <f t="shared" si="82"/>
        <v>818206</v>
      </c>
      <c r="JX30" s="26">
        <f t="shared" si="83"/>
        <v>0</v>
      </c>
      <c r="JY30" s="5">
        <f t="shared" si="84"/>
        <v>852000</v>
      </c>
      <c r="JZ30" s="26">
        <f t="shared" si="85"/>
        <v>0</v>
      </c>
      <c r="KA30" s="5">
        <f t="shared" si="86"/>
        <v>4654773</v>
      </c>
      <c r="KB30" s="26">
        <f t="shared" si="87"/>
        <v>0</v>
      </c>
      <c r="KC30" s="5">
        <f t="shared" si="88"/>
        <v>0</v>
      </c>
      <c r="KD30" s="26">
        <f t="shared" si="89"/>
        <v>0</v>
      </c>
      <c r="KE30" s="5">
        <f t="shared" si="90"/>
        <v>0</v>
      </c>
      <c r="KF30" s="26">
        <f t="shared" si="91"/>
        <v>0</v>
      </c>
      <c r="KG30" s="5">
        <f t="shared" si="92"/>
        <v>6091942</v>
      </c>
      <c r="KH30" s="26">
        <f t="shared" si="93"/>
        <v>0</v>
      </c>
      <c r="KI30" s="5">
        <f t="shared" si="94"/>
        <v>5076260</v>
      </c>
      <c r="KJ30" s="26">
        <f t="shared" si="95"/>
        <v>0</v>
      </c>
      <c r="KK30" s="5">
        <f t="shared" si="96"/>
        <v>3025133</v>
      </c>
      <c r="KL30" s="26">
        <f t="shared" si="97"/>
        <v>0</v>
      </c>
      <c r="KM30" s="5">
        <f t="shared" si="98"/>
        <v>2838041</v>
      </c>
      <c r="KN30" s="26">
        <f t="shared" si="99"/>
        <v>0</v>
      </c>
      <c r="KO30" s="5">
        <f t="shared" si="100"/>
        <v>687629</v>
      </c>
      <c r="KP30" s="26">
        <f t="shared" si="101"/>
        <v>0</v>
      </c>
      <c r="KQ30" s="5">
        <f t="shared" si="102"/>
        <v>3538374</v>
      </c>
      <c r="KR30" s="26">
        <f t="shared" si="103"/>
        <v>0</v>
      </c>
      <c r="KS30" s="5">
        <f t="shared" si="104"/>
        <v>336180</v>
      </c>
      <c r="KT30" s="26">
        <f t="shared" si="105"/>
        <v>0</v>
      </c>
      <c r="KU30" s="5">
        <f t="shared" si="106"/>
        <v>456333</v>
      </c>
      <c r="KV30" s="26">
        <f t="shared" si="107"/>
        <v>0</v>
      </c>
      <c r="KW30" s="5">
        <f t="shared" si="108"/>
        <v>999792</v>
      </c>
      <c r="KX30" s="26">
        <f t="shared" si="109"/>
        <v>0</v>
      </c>
      <c r="KY30" s="5">
        <f t="shared" si="110"/>
        <v>36801458</v>
      </c>
      <c r="KZ30" s="26">
        <f t="shared" si="111"/>
        <v>0</v>
      </c>
      <c r="LA30" s="5">
        <f t="shared" si="112"/>
        <v>6911764</v>
      </c>
      <c r="LB30" s="26">
        <f t="shared" si="113"/>
        <v>0</v>
      </c>
      <c r="LC30" s="5">
        <f t="shared" si="114"/>
        <v>6911764</v>
      </c>
      <c r="LD30" s="26">
        <f t="shared" si="115"/>
        <v>0</v>
      </c>
      <c r="LE30" s="5">
        <f t="shared" si="116"/>
        <v>6495077</v>
      </c>
      <c r="LF30" s="26">
        <f t="shared" si="117"/>
        <v>0</v>
      </c>
      <c r="LG30" s="5">
        <f t="shared" si="118"/>
        <v>0</v>
      </c>
      <c r="LH30" s="26">
        <f t="shared" si="119"/>
        <v>0</v>
      </c>
      <c r="LI30" s="5">
        <f t="shared" si="120"/>
        <v>6280873</v>
      </c>
      <c r="LJ30" s="26">
        <f t="shared" si="121"/>
        <v>0</v>
      </c>
      <c r="LK30" s="5">
        <f t="shared" si="122"/>
        <v>0</v>
      </c>
      <c r="LL30" s="26">
        <f t="shared" si="123"/>
        <v>0</v>
      </c>
      <c r="LM30" s="5">
        <f t="shared" si="124"/>
        <v>28635</v>
      </c>
      <c r="LN30" s="26">
        <f t="shared" si="125"/>
        <v>0</v>
      </c>
      <c r="LO30" s="5">
        <f t="shared" si="126"/>
        <v>562480</v>
      </c>
      <c r="LP30" s="26">
        <f t="shared" si="127"/>
        <v>0</v>
      </c>
      <c r="LQ30" s="5">
        <f t="shared" si="128"/>
        <v>3649366</v>
      </c>
      <c r="LR30" s="26">
        <f t="shared" si="129"/>
        <v>0</v>
      </c>
      <c r="LS30" s="5">
        <f t="shared" si="130"/>
        <v>1399374</v>
      </c>
      <c r="LT30" s="26">
        <f t="shared" si="131"/>
        <v>0</v>
      </c>
      <c r="LU30" s="5">
        <f t="shared" si="132"/>
        <v>1244566</v>
      </c>
      <c r="LV30" s="26">
        <f t="shared" si="133"/>
        <v>0</v>
      </c>
      <c r="LW30" s="5">
        <f t="shared" si="134"/>
        <v>593027</v>
      </c>
      <c r="LX30" s="26">
        <f t="shared" si="135"/>
        <v>0</v>
      </c>
      <c r="LY30" s="5">
        <f t="shared" si="136"/>
        <v>10484</v>
      </c>
      <c r="LZ30" s="26">
        <f t="shared" si="137"/>
        <v>0</v>
      </c>
      <c r="MA30" s="5">
        <f t="shared" si="138"/>
        <v>386772</v>
      </c>
      <c r="MB30" s="26">
        <f t="shared" si="139"/>
        <v>0</v>
      </c>
      <c r="MC30" s="5">
        <f t="shared" si="140"/>
        <v>11735</v>
      </c>
      <c r="MD30" s="26">
        <f t="shared" si="141"/>
        <v>0</v>
      </c>
      <c r="ME30" s="5">
        <f t="shared" si="142"/>
        <v>5076260</v>
      </c>
      <c r="MF30" s="26">
        <f t="shared" si="143"/>
        <v>0</v>
      </c>
      <c r="MG30" s="5">
        <f t="shared" si="144"/>
        <v>5076260</v>
      </c>
      <c r="MH30" s="26">
        <f t="shared" si="145"/>
        <v>0</v>
      </c>
      <c r="MI30" s="5">
        <f t="shared" si="146"/>
        <v>445962</v>
      </c>
      <c r="MJ30" s="26">
        <f t="shared" si="147"/>
        <v>0</v>
      </c>
      <c r="MK30" s="5">
        <f t="shared" si="148"/>
        <v>1654025</v>
      </c>
      <c r="ML30" s="26">
        <f t="shared" si="149"/>
        <v>0</v>
      </c>
      <c r="MM30" s="5">
        <f t="shared" si="150"/>
        <v>36344952</v>
      </c>
      <c r="MN30" s="26">
        <f t="shared" si="151"/>
        <v>0</v>
      </c>
      <c r="MO30" s="5">
        <f t="shared" si="152"/>
        <v>0</v>
      </c>
      <c r="MP30" s="26">
        <f t="shared" si="153"/>
        <v>0</v>
      </c>
      <c r="MQ30" s="5">
        <f t="shared" si="154"/>
        <v>36344952</v>
      </c>
      <c r="MR30" s="26">
        <f t="shared" si="155"/>
        <v>0</v>
      </c>
      <c r="MT30" s="5">
        <f t="shared" si="76"/>
        <v>0</v>
      </c>
      <c r="MV30" s="4">
        <f t="shared" si="77"/>
        <v>0</v>
      </c>
    </row>
    <row r="31" spans="1:360" x14ac:dyDescent="0.15">
      <c r="A31" s="155" t="s">
        <v>312</v>
      </c>
      <c r="B31" s="25" t="s">
        <v>405</v>
      </c>
      <c r="C31" s="105">
        <v>225511</v>
      </c>
      <c r="D31" s="105">
        <v>2011</v>
      </c>
      <c r="E31" s="106">
        <v>1</v>
      </c>
      <c r="F31" s="106">
        <v>6</v>
      </c>
      <c r="G31" s="107">
        <v>14644</v>
      </c>
      <c r="H31" s="107">
        <v>14734</v>
      </c>
      <c r="I31" s="108">
        <v>737249233</v>
      </c>
      <c r="J31" s="108"/>
      <c r="K31" s="108">
        <v>1800244</v>
      </c>
      <c r="L31" s="108"/>
      <c r="M31" s="108">
        <v>43425710</v>
      </c>
      <c r="N31" s="108"/>
      <c r="O31" s="108">
        <v>10540000</v>
      </c>
      <c r="P31" s="108"/>
      <c r="Q31" s="108">
        <v>657395000</v>
      </c>
      <c r="R31" s="108"/>
      <c r="S31" s="108">
        <v>578130051</v>
      </c>
      <c r="T31" s="108"/>
      <c r="U31" s="108">
        <v>17904</v>
      </c>
      <c r="V31" s="108"/>
      <c r="W31" s="108">
        <v>26404</v>
      </c>
      <c r="X31" s="108"/>
      <c r="Y31" s="108">
        <v>23726</v>
      </c>
      <c r="Z31" s="108"/>
      <c r="AA31" s="108">
        <v>32226</v>
      </c>
      <c r="AB31" s="108"/>
      <c r="AC31" s="130">
        <v>7</v>
      </c>
      <c r="AD31" s="130">
        <v>9</v>
      </c>
      <c r="AE31" s="130">
        <v>0</v>
      </c>
      <c r="AF31" s="26">
        <v>2757244</v>
      </c>
      <c r="AG31" s="26">
        <v>1785892</v>
      </c>
      <c r="AH31" s="26">
        <v>332879</v>
      </c>
      <c r="AI31" s="26">
        <v>162338</v>
      </c>
      <c r="AJ31" s="26">
        <v>372780.2</v>
      </c>
      <c r="AK31" s="36">
        <v>5</v>
      </c>
      <c r="AL31" s="26">
        <v>372780.2</v>
      </c>
      <c r="AM31" s="36">
        <v>5</v>
      </c>
      <c r="AN31" s="26">
        <v>117443.57</v>
      </c>
      <c r="AO31" s="36">
        <v>7</v>
      </c>
      <c r="AP31" s="26">
        <v>117443.57</v>
      </c>
      <c r="AQ31" s="36">
        <v>7</v>
      </c>
      <c r="AR31" s="26">
        <v>163902.18</v>
      </c>
      <c r="AS31" s="36">
        <v>17</v>
      </c>
      <c r="AT31" s="26">
        <v>146649.32</v>
      </c>
      <c r="AU31" s="36">
        <v>19</v>
      </c>
      <c r="AV31" s="26">
        <v>71569.14</v>
      </c>
      <c r="AW31" s="36">
        <v>14</v>
      </c>
      <c r="AX31" s="26">
        <v>62623</v>
      </c>
      <c r="AY31" s="36">
        <v>16</v>
      </c>
      <c r="AZ31" s="54">
        <v>2766633</v>
      </c>
      <c r="BA31" s="54">
        <v>247943</v>
      </c>
      <c r="BB31" s="54">
        <v>19859</v>
      </c>
      <c r="BC31" s="54">
        <v>239322</v>
      </c>
      <c r="BD31" s="54">
        <v>112285</v>
      </c>
      <c r="BE31" s="54">
        <v>3386042</v>
      </c>
      <c r="BF31" s="54">
        <v>0</v>
      </c>
      <c r="BG31" s="54">
        <v>0</v>
      </c>
      <c r="BH31" s="54">
        <v>0</v>
      </c>
      <c r="BI31" s="54">
        <v>0</v>
      </c>
      <c r="BJ31" s="54">
        <v>4362707</v>
      </c>
      <c r="BK31" s="54">
        <v>4362707</v>
      </c>
      <c r="BL31" s="54">
        <v>561856</v>
      </c>
      <c r="BM31" s="54">
        <v>0</v>
      </c>
      <c r="BN31" s="54">
        <v>0</v>
      </c>
      <c r="BO31" s="54">
        <v>10200</v>
      </c>
      <c r="BP31" s="54">
        <v>0</v>
      </c>
      <c r="BQ31" s="54">
        <v>572056</v>
      </c>
      <c r="BR31" s="54">
        <v>242716</v>
      </c>
      <c r="BS31" s="54">
        <v>1450</v>
      </c>
      <c r="BT31" s="54">
        <v>13850</v>
      </c>
      <c r="BU31" s="54">
        <v>407746</v>
      </c>
      <c r="BV31" s="54">
        <v>2582288</v>
      </c>
      <c r="BW31" s="54">
        <v>3248050</v>
      </c>
      <c r="BX31" s="54">
        <v>0</v>
      </c>
      <c r="BY31" s="54">
        <v>0</v>
      </c>
      <c r="BZ31" s="54">
        <v>0</v>
      </c>
      <c r="CA31" s="54">
        <v>0</v>
      </c>
      <c r="CB31" s="54">
        <v>0</v>
      </c>
      <c r="CC31" s="54">
        <v>0</v>
      </c>
      <c r="CD31" s="54">
        <v>0</v>
      </c>
      <c r="CE31" s="54">
        <v>0</v>
      </c>
      <c r="CF31" s="54">
        <v>0</v>
      </c>
      <c r="CG31" s="54">
        <v>0</v>
      </c>
      <c r="CH31" s="54">
        <v>0</v>
      </c>
      <c r="CI31" s="54">
        <v>0</v>
      </c>
      <c r="CJ31" s="54">
        <v>2492296</v>
      </c>
      <c r="CK31" s="54">
        <v>1116754</v>
      </c>
      <c r="CL31" s="54">
        <v>1142639</v>
      </c>
      <c r="CM31" s="54">
        <v>4699158</v>
      </c>
      <c r="CN31" s="54">
        <v>6328903</v>
      </c>
      <c r="CO31" s="54">
        <v>15779750</v>
      </c>
      <c r="CP31" s="54">
        <v>0</v>
      </c>
      <c r="CQ31" s="54">
        <v>0</v>
      </c>
      <c r="CR31" s="54">
        <v>0</v>
      </c>
      <c r="CS31" s="54">
        <v>0</v>
      </c>
      <c r="CT31" s="54">
        <v>0</v>
      </c>
      <c r="CU31" s="54">
        <v>0</v>
      </c>
      <c r="CV31" s="54">
        <v>1172910</v>
      </c>
      <c r="CW31" s="54">
        <v>697384</v>
      </c>
      <c r="CX31" s="54">
        <v>20000</v>
      </c>
      <c r="CY31" s="54">
        <v>6250</v>
      </c>
      <c r="CZ31" s="54">
        <v>962248</v>
      </c>
      <c r="DA31" s="54">
        <v>2858792</v>
      </c>
      <c r="DB31" s="54">
        <v>0</v>
      </c>
      <c r="DC31" s="54">
        <v>0</v>
      </c>
      <c r="DD31" s="54">
        <v>0</v>
      </c>
      <c r="DE31" s="54">
        <v>0</v>
      </c>
      <c r="DF31" s="54">
        <v>0</v>
      </c>
      <c r="DG31" s="54">
        <v>0</v>
      </c>
      <c r="DH31" s="54">
        <v>392469</v>
      </c>
      <c r="DI31" s="54">
        <v>22516</v>
      </c>
      <c r="DJ31" s="54">
        <v>3037</v>
      </c>
      <c r="DK31" s="54">
        <v>38794</v>
      </c>
      <c r="DL31" s="54">
        <v>750483</v>
      </c>
      <c r="DM31" s="54">
        <v>1207299</v>
      </c>
      <c r="DN31" s="54">
        <v>0</v>
      </c>
      <c r="DO31" s="54">
        <v>0</v>
      </c>
      <c r="DP31" s="54">
        <v>0</v>
      </c>
      <c r="DQ31" s="54">
        <v>0</v>
      </c>
      <c r="DR31" s="54">
        <v>1494196</v>
      </c>
      <c r="DS31" s="54">
        <v>1494196</v>
      </c>
      <c r="DT31" s="54">
        <v>0</v>
      </c>
      <c r="DU31" s="54">
        <v>0</v>
      </c>
      <c r="DV31" s="54">
        <v>0</v>
      </c>
      <c r="DW31" s="54">
        <v>0</v>
      </c>
      <c r="DX31" s="54">
        <v>0</v>
      </c>
      <c r="DY31" s="54">
        <v>0</v>
      </c>
      <c r="DZ31" s="54">
        <v>26103</v>
      </c>
      <c r="EA31" s="54">
        <v>17689</v>
      </c>
      <c r="EB31" s="54">
        <v>12152</v>
      </c>
      <c r="EC31" s="54">
        <v>130667</v>
      </c>
      <c r="ED31" s="54">
        <v>0</v>
      </c>
      <c r="EE31" s="54">
        <v>186611</v>
      </c>
      <c r="EF31" s="54">
        <v>3835</v>
      </c>
      <c r="EG31" s="54">
        <v>7933</v>
      </c>
      <c r="EH31" s="54">
        <v>0</v>
      </c>
      <c r="EI31" s="54">
        <v>0</v>
      </c>
      <c r="EJ31" s="54">
        <v>1506762</v>
      </c>
      <c r="EK31" s="54">
        <v>1518530</v>
      </c>
      <c r="EL31" s="54">
        <v>7658818</v>
      </c>
      <c r="EM31" s="54">
        <v>2111669</v>
      </c>
      <c r="EN31" s="54">
        <v>1211537</v>
      </c>
      <c r="EO31" s="54">
        <v>5532137</v>
      </c>
      <c r="EP31" s="54">
        <v>18099872</v>
      </c>
      <c r="EQ31" s="54">
        <v>34614033</v>
      </c>
      <c r="ER31" s="54">
        <v>2046097</v>
      </c>
      <c r="ES31" s="54">
        <v>231214</v>
      </c>
      <c r="ET31" s="54">
        <v>333097</v>
      </c>
      <c r="EU31" s="54">
        <v>1932708</v>
      </c>
      <c r="EV31" s="54">
        <v>0</v>
      </c>
      <c r="EW31" s="54">
        <v>4543116</v>
      </c>
      <c r="EX31" s="54">
        <v>485000</v>
      </c>
      <c r="EY31" s="54">
        <v>260500</v>
      </c>
      <c r="EZ31" s="54">
        <v>1500</v>
      </c>
      <c r="FA31" s="54">
        <v>20232</v>
      </c>
      <c r="FB31" s="54">
        <v>0</v>
      </c>
      <c r="FC31" s="54">
        <v>767232</v>
      </c>
      <c r="FD31" s="54">
        <v>2585286</v>
      </c>
      <c r="FE31" s="54">
        <v>948340</v>
      </c>
      <c r="FF31" s="54">
        <v>525574</v>
      </c>
      <c r="FG31" s="54">
        <v>1991016</v>
      </c>
      <c r="FH31" s="54">
        <v>424095</v>
      </c>
      <c r="FI31" s="54">
        <v>6474311</v>
      </c>
      <c r="FJ31" s="54">
        <v>0</v>
      </c>
      <c r="FK31" s="54">
        <v>0</v>
      </c>
      <c r="FL31" s="54">
        <v>0</v>
      </c>
      <c r="FM31" s="54">
        <v>0</v>
      </c>
      <c r="FN31" s="54">
        <v>0</v>
      </c>
      <c r="FO31" s="54">
        <v>0</v>
      </c>
      <c r="FP31" s="54">
        <v>332607</v>
      </c>
      <c r="FQ31" s="54">
        <v>61888</v>
      </c>
      <c r="FR31" s="54">
        <v>101308</v>
      </c>
      <c r="FS31" s="54">
        <v>54563</v>
      </c>
      <c r="FT31" s="54">
        <v>5567630</v>
      </c>
      <c r="FU31" s="54">
        <v>6117996</v>
      </c>
      <c r="FV31" s="54">
        <v>0</v>
      </c>
      <c r="FW31" s="54">
        <v>0</v>
      </c>
      <c r="FX31" s="54">
        <v>0</v>
      </c>
      <c r="FY31" s="54">
        <v>0</v>
      </c>
      <c r="FZ31" s="54">
        <v>0</v>
      </c>
      <c r="GA31" s="54">
        <v>0</v>
      </c>
      <c r="GB31" s="54">
        <v>17486</v>
      </c>
      <c r="GC31" s="54">
        <v>0</v>
      </c>
      <c r="GD31" s="54">
        <v>5227</v>
      </c>
      <c r="GE31" s="54">
        <v>15090</v>
      </c>
      <c r="GF31" s="54">
        <v>30943</v>
      </c>
      <c r="GG31" s="54">
        <v>68746</v>
      </c>
      <c r="GH31" s="54">
        <v>158605</v>
      </c>
      <c r="GI31" s="54">
        <v>85687</v>
      </c>
      <c r="GJ31" s="54">
        <v>40772</v>
      </c>
      <c r="GK31" s="54">
        <v>210153</v>
      </c>
      <c r="GL31" s="54">
        <v>4017</v>
      </c>
      <c r="GM31" s="54">
        <v>499234</v>
      </c>
      <c r="GN31" s="54">
        <v>594537</v>
      </c>
      <c r="GO31" s="54">
        <v>218348</v>
      </c>
      <c r="GP31" s="54">
        <v>229178</v>
      </c>
      <c r="GQ31" s="54">
        <v>1022831</v>
      </c>
      <c r="GR31" s="54">
        <v>8453</v>
      </c>
      <c r="GS31" s="54">
        <v>2073347</v>
      </c>
      <c r="GT31" s="54">
        <v>269930</v>
      </c>
      <c r="GU31" s="54">
        <v>30590</v>
      </c>
      <c r="GV31" s="54">
        <v>47477</v>
      </c>
      <c r="GW31" s="54">
        <v>432846</v>
      </c>
      <c r="GX31" s="54">
        <v>57598</v>
      </c>
      <c r="GY31" s="54">
        <v>838441</v>
      </c>
      <c r="GZ31" s="54">
        <v>449319</v>
      </c>
      <c r="HA31" s="54">
        <v>173921</v>
      </c>
      <c r="HB31" s="54">
        <v>54544</v>
      </c>
      <c r="HC31" s="54">
        <v>223812</v>
      </c>
      <c r="HD31" s="54">
        <v>686607</v>
      </c>
      <c r="HE31" s="54">
        <v>1588203</v>
      </c>
      <c r="HF31" s="54">
        <v>0</v>
      </c>
      <c r="HG31" s="54">
        <v>63014</v>
      </c>
      <c r="HH31" s="54">
        <v>5616</v>
      </c>
      <c r="HI31" s="54">
        <v>14925</v>
      </c>
      <c r="HJ31" s="54">
        <v>533752</v>
      </c>
      <c r="HK31" s="54">
        <v>617307</v>
      </c>
      <c r="HL31" s="54">
        <v>0</v>
      </c>
      <c r="HM31" s="54">
        <v>0</v>
      </c>
      <c r="HN31" s="54">
        <v>0</v>
      </c>
      <c r="HO31" s="54">
        <v>0</v>
      </c>
      <c r="HP31" s="54">
        <v>0</v>
      </c>
      <c r="HQ31" s="54">
        <v>0</v>
      </c>
      <c r="HR31" s="54">
        <v>977</v>
      </c>
      <c r="HS31" s="54">
        <v>0</v>
      </c>
      <c r="HT31" s="54">
        <v>0</v>
      </c>
      <c r="HU31" s="54">
        <v>0</v>
      </c>
      <c r="HV31" s="54">
        <v>4683863</v>
      </c>
      <c r="HW31" s="54">
        <v>4684840</v>
      </c>
      <c r="HX31" s="54">
        <v>0</v>
      </c>
      <c r="HY31" s="54">
        <v>0</v>
      </c>
      <c r="HZ31" s="54">
        <v>0</v>
      </c>
      <c r="IA31" s="54">
        <v>0</v>
      </c>
      <c r="IB31" s="54">
        <v>0</v>
      </c>
      <c r="IC31" s="54">
        <v>0</v>
      </c>
      <c r="ID31" s="54">
        <v>0</v>
      </c>
      <c r="IE31" s="54">
        <v>0</v>
      </c>
      <c r="IF31" s="54">
        <v>0</v>
      </c>
      <c r="IG31" s="54">
        <v>0</v>
      </c>
      <c r="IH31" s="54">
        <v>0</v>
      </c>
      <c r="II31" s="54">
        <v>0</v>
      </c>
      <c r="IJ31" s="54">
        <v>0</v>
      </c>
      <c r="IK31" s="54">
        <v>0</v>
      </c>
      <c r="IL31" s="54">
        <v>0</v>
      </c>
      <c r="IM31" s="54">
        <v>6169</v>
      </c>
      <c r="IN31" s="54">
        <v>500184</v>
      </c>
      <c r="IO31" s="54">
        <v>506353</v>
      </c>
      <c r="IP31" s="54">
        <v>1770</v>
      </c>
      <c r="IQ31" s="54">
        <v>350</v>
      </c>
      <c r="IR31" s="54">
        <v>825</v>
      </c>
      <c r="IS31" s="54">
        <v>3567</v>
      </c>
      <c r="IT31" s="54">
        <v>305859</v>
      </c>
      <c r="IU31" s="54">
        <v>312371</v>
      </c>
      <c r="IV31" s="54">
        <v>865297</v>
      </c>
      <c r="IW31" s="54">
        <v>302657</v>
      </c>
      <c r="IX31" s="54">
        <v>144499</v>
      </c>
      <c r="IY31" s="54">
        <v>738150</v>
      </c>
      <c r="IZ31" s="54">
        <v>2308717</v>
      </c>
      <c r="JA31" s="54">
        <v>4359320</v>
      </c>
      <c r="JB31" s="54">
        <v>7806911</v>
      </c>
      <c r="JC31" s="54">
        <v>2376509</v>
      </c>
      <c r="JD31" s="54">
        <v>1489617</v>
      </c>
      <c r="JE31" s="54">
        <v>6666062</v>
      </c>
      <c r="JF31" s="54">
        <v>15111718</v>
      </c>
      <c r="JG31" s="54">
        <v>33450817</v>
      </c>
      <c r="JH31" s="54">
        <v>0</v>
      </c>
      <c r="JI31" s="54">
        <v>0</v>
      </c>
      <c r="JJ31" s="54">
        <v>0</v>
      </c>
      <c r="JK31" s="54">
        <v>0</v>
      </c>
      <c r="JL31" s="54">
        <v>0</v>
      </c>
      <c r="JM31" s="54">
        <v>0</v>
      </c>
      <c r="JN31" s="54">
        <v>7806911</v>
      </c>
      <c r="JO31" s="54">
        <v>2376509</v>
      </c>
      <c r="JP31" s="54">
        <v>1489617</v>
      </c>
      <c r="JQ31" s="54">
        <v>6666062</v>
      </c>
      <c r="JR31" s="54">
        <v>15111718</v>
      </c>
      <c r="JS31" s="54">
        <v>33450817</v>
      </c>
      <c r="JU31" s="5">
        <f t="shared" si="80"/>
        <v>3386042</v>
      </c>
      <c r="JV31" s="26">
        <f t="shared" si="81"/>
        <v>0</v>
      </c>
      <c r="JW31" s="5">
        <f t="shared" si="82"/>
        <v>4362707</v>
      </c>
      <c r="JX31" s="26">
        <f t="shared" si="83"/>
        <v>0</v>
      </c>
      <c r="JY31" s="5">
        <f t="shared" si="84"/>
        <v>572056</v>
      </c>
      <c r="JZ31" s="26">
        <f t="shared" si="85"/>
        <v>0</v>
      </c>
      <c r="KA31" s="5">
        <f t="shared" si="86"/>
        <v>3248050</v>
      </c>
      <c r="KB31" s="26">
        <f t="shared" si="87"/>
        <v>0</v>
      </c>
      <c r="KC31" s="5">
        <f t="shared" si="88"/>
        <v>0</v>
      </c>
      <c r="KD31" s="26">
        <f t="shared" si="89"/>
        <v>0</v>
      </c>
      <c r="KE31" s="5">
        <f t="shared" si="90"/>
        <v>0</v>
      </c>
      <c r="KF31" s="26">
        <f t="shared" si="91"/>
        <v>0</v>
      </c>
      <c r="KG31" s="5">
        <f t="shared" si="92"/>
        <v>15779750</v>
      </c>
      <c r="KH31" s="26">
        <f t="shared" si="93"/>
        <v>0</v>
      </c>
      <c r="KI31" s="5">
        <f t="shared" si="94"/>
        <v>0</v>
      </c>
      <c r="KJ31" s="26">
        <f t="shared" si="95"/>
        <v>0</v>
      </c>
      <c r="KK31" s="5">
        <f t="shared" si="96"/>
        <v>2858792</v>
      </c>
      <c r="KL31" s="26">
        <f t="shared" si="97"/>
        <v>0</v>
      </c>
      <c r="KM31" s="5">
        <f t="shared" si="98"/>
        <v>0</v>
      </c>
      <c r="KN31" s="26">
        <f t="shared" si="99"/>
        <v>0</v>
      </c>
      <c r="KO31" s="5">
        <f t="shared" si="100"/>
        <v>1207299</v>
      </c>
      <c r="KP31" s="26">
        <f t="shared" si="101"/>
        <v>0</v>
      </c>
      <c r="KQ31" s="5">
        <f t="shared" si="102"/>
        <v>1494196</v>
      </c>
      <c r="KR31" s="26">
        <f t="shared" si="103"/>
        <v>0</v>
      </c>
      <c r="KS31" s="5">
        <f t="shared" si="104"/>
        <v>0</v>
      </c>
      <c r="KT31" s="26">
        <f t="shared" si="105"/>
        <v>0</v>
      </c>
      <c r="KU31" s="5">
        <f t="shared" si="106"/>
        <v>186611</v>
      </c>
      <c r="KV31" s="26">
        <f t="shared" si="107"/>
        <v>0</v>
      </c>
      <c r="KW31" s="5">
        <f t="shared" si="108"/>
        <v>1518530</v>
      </c>
      <c r="KX31" s="26">
        <f t="shared" si="109"/>
        <v>0</v>
      </c>
      <c r="KY31" s="5">
        <f t="shared" si="110"/>
        <v>34614033</v>
      </c>
      <c r="KZ31" s="26">
        <f t="shared" si="111"/>
        <v>0</v>
      </c>
      <c r="LA31" s="5">
        <f t="shared" si="112"/>
        <v>4543116</v>
      </c>
      <c r="LB31" s="26">
        <f t="shared" si="113"/>
        <v>0</v>
      </c>
      <c r="LC31" s="5">
        <f t="shared" si="114"/>
        <v>767232</v>
      </c>
      <c r="LD31" s="26">
        <f t="shared" si="115"/>
        <v>0</v>
      </c>
      <c r="LE31" s="5">
        <f t="shared" si="116"/>
        <v>6474311</v>
      </c>
      <c r="LF31" s="26">
        <f t="shared" si="117"/>
        <v>0</v>
      </c>
      <c r="LG31" s="5">
        <f t="shared" si="118"/>
        <v>0</v>
      </c>
      <c r="LH31" s="26">
        <f t="shared" si="119"/>
        <v>0</v>
      </c>
      <c r="LI31" s="5">
        <f t="shared" si="120"/>
        <v>6117996</v>
      </c>
      <c r="LJ31" s="26">
        <f t="shared" si="121"/>
        <v>0</v>
      </c>
      <c r="LK31" s="5">
        <f t="shared" si="122"/>
        <v>0</v>
      </c>
      <c r="LL31" s="26">
        <f t="shared" si="123"/>
        <v>0</v>
      </c>
      <c r="LM31" s="5">
        <f t="shared" si="124"/>
        <v>68746</v>
      </c>
      <c r="LN31" s="26">
        <f t="shared" si="125"/>
        <v>0</v>
      </c>
      <c r="LO31" s="5">
        <f t="shared" si="126"/>
        <v>499234</v>
      </c>
      <c r="LP31" s="26">
        <f t="shared" si="127"/>
        <v>0</v>
      </c>
      <c r="LQ31" s="5">
        <f t="shared" si="128"/>
        <v>2073347</v>
      </c>
      <c r="LR31" s="26">
        <f t="shared" si="129"/>
        <v>0</v>
      </c>
      <c r="LS31" s="5">
        <f t="shared" si="130"/>
        <v>838441</v>
      </c>
      <c r="LT31" s="26">
        <f t="shared" si="131"/>
        <v>0</v>
      </c>
      <c r="LU31" s="5">
        <f t="shared" si="132"/>
        <v>1588203</v>
      </c>
      <c r="LV31" s="26">
        <f t="shared" si="133"/>
        <v>0</v>
      </c>
      <c r="LW31" s="5">
        <f t="shared" si="134"/>
        <v>617307</v>
      </c>
      <c r="LX31" s="26">
        <f t="shared" si="135"/>
        <v>0</v>
      </c>
      <c r="LY31" s="5">
        <f t="shared" si="136"/>
        <v>0</v>
      </c>
      <c r="LZ31" s="26">
        <f t="shared" si="137"/>
        <v>0</v>
      </c>
      <c r="MA31" s="5">
        <f t="shared" si="138"/>
        <v>4684840</v>
      </c>
      <c r="MB31" s="26">
        <f t="shared" si="139"/>
        <v>0</v>
      </c>
      <c r="MC31" s="5">
        <f t="shared" si="140"/>
        <v>0</v>
      </c>
      <c r="MD31" s="26">
        <f t="shared" si="141"/>
        <v>0</v>
      </c>
      <c r="ME31" s="5">
        <f t="shared" si="142"/>
        <v>0</v>
      </c>
      <c r="MF31" s="26">
        <f t="shared" si="143"/>
        <v>0</v>
      </c>
      <c r="MG31" s="5">
        <f t="shared" si="144"/>
        <v>506353</v>
      </c>
      <c r="MH31" s="26">
        <f t="shared" si="145"/>
        <v>0</v>
      </c>
      <c r="MI31" s="5">
        <f t="shared" si="146"/>
        <v>312371</v>
      </c>
      <c r="MJ31" s="26">
        <f t="shared" si="147"/>
        <v>0</v>
      </c>
      <c r="MK31" s="5">
        <f t="shared" si="148"/>
        <v>4359320</v>
      </c>
      <c r="ML31" s="26">
        <f t="shared" si="149"/>
        <v>0</v>
      </c>
      <c r="MM31" s="5">
        <f t="shared" si="150"/>
        <v>33450817</v>
      </c>
      <c r="MN31" s="26">
        <f t="shared" si="151"/>
        <v>0</v>
      </c>
      <c r="MO31" s="5">
        <f t="shared" si="152"/>
        <v>0</v>
      </c>
      <c r="MP31" s="26">
        <f t="shared" si="153"/>
        <v>0</v>
      </c>
      <c r="MQ31" s="5">
        <f t="shared" si="154"/>
        <v>33450817</v>
      </c>
      <c r="MR31" s="26">
        <f t="shared" si="155"/>
        <v>0</v>
      </c>
      <c r="MT31" s="5">
        <f t="shared" si="76"/>
        <v>0</v>
      </c>
      <c r="MV31" s="4">
        <f t="shared" si="77"/>
        <v>0</v>
      </c>
    </row>
    <row r="32" spans="1:360" x14ac:dyDescent="0.15">
      <c r="A32" s="158" t="s">
        <v>313</v>
      </c>
      <c r="B32" s="25" t="s">
        <v>481</v>
      </c>
      <c r="C32" s="105">
        <v>142285</v>
      </c>
      <c r="D32" s="105">
        <v>2011</v>
      </c>
      <c r="E32" s="106">
        <v>1</v>
      </c>
      <c r="F32" s="106">
        <v>11</v>
      </c>
      <c r="G32" s="107"/>
      <c r="H32" s="107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30">
        <v>5</v>
      </c>
      <c r="AD32" s="130">
        <v>7</v>
      </c>
      <c r="AE32" s="130">
        <v>0</v>
      </c>
      <c r="AF32" s="26">
        <v>2785512</v>
      </c>
      <c r="AG32" s="26">
        <v>2007829</v>
      </c>
      <c r="AH32" s="26">
        <v>245717</v>
      </c>
      <c r="AI32" s="26">
        <v>121354</v>
      </c>
      <c r="AJ32" s="26"/>
      <c r="AK32" s="36"/>
      <c r="AL32" s="26"/>
      <c r="AM32" s="36"/>
      <c r="AN32" s="26"/>
      <c r="AO32" s="36"/>
      <c r="AP32" s="26"/>
      <c r="AQ32" s="36"/>
      <c r="AR32" s="26"/>
      <c r="AS32" s="36"/>
      <c r="AT32" s="26"/>
      <c r="AU32" s="36"/>
      <c r="AV32" s="26"/>
      <c r="AW32" s="36"/>
      <c r="AX32" s="26"/>
      <c r="AY32" s="36"/>
      <c r="AZ32" s="54">
        <v>998843</v>
      </c>
      <c r="BA32" s="54">
        <v>68274</v>
      </c>
      <c r="BB32" s="54">
        <v>5884</v>
      </c>
      <c r="BC32" s="54">
        <v>4790</v>
      </c>
      <c r="BD32" s="54">
        <v>0</v>
      </c>
      <c r="BE32" s="54">
        <v>1077791</v>
      </c>
      <c r="BF32" s="54">
        <v>0</v>
      </c>
      <c r="BG32" s="54">
        <v>0</v>
      </c>
      <c r="BH32" s="54">
        <v>0</v>
      </c>
      <c r="BI32" s="54">
        <v>0</v>
      </c>
      <c r="BJ32" s="54">
        <v>2317147</v>
      </c>
      <c r="BK32" s="54">
        <v>2317147</v>
      </c>
      <c r="BL32" s="54">
        <v>950000</v>
      </c>
      <c r="BM32" s="54">
        <v>89980</v>
      </c>
      <c r="BN32" s="54">
        <v>20000</v>
      </c>
      <c r="BO32" s="54">
        <v>4000</v>
      </c>
      <c r="BP32" s="54">
        <v>0</v>
      </c>
      <c r="BQ32" s="54">
        <v>1063980</v>
      </c>
      <c r="BR32" s="54">
        <v>819728</v>
      </c>
      <c r="BS32" s="54">
        <v>137858</v>
      </c>
      <c r="BT32" s="54">
        <v>96873</v>
      </c>
      <c r="BU32" s="54">
        <v>761888</v>
      </c>
      <c r="BV32" s="54">
        <v>332489</v>
      </c>
      <c r="BW32" s="54">
        <v>2148836</v>
      </c>
      <c r="BX32" s="54">
        <v>190000</v>
      </c>
      <c r="BY32" s="54">
        <v>93500</v>
      </c>
      <c r="BZ32" s="54">
        <v>15000</v>
      </c>
      <c r="CA32" s="54">
        <v>65000</v>
      </c>
      <c r="CB32" s="54">
        <v>17500</v>
      </c>
      <c r="CC32" s="54">
        <v>381000</v>
      </c>
      <c r="CD32" s="54">
        <v>652919</v>
      </c>
      <c r="CE32" s="54">
        <v>212591</v>
      </c>
      <c r="CF32" s="54">
        <v>140291</v>
      </c>
      <c r="CG32" s="54">
        <v>364579</v>
      </c>
      <c r="CH32" s="54">
        <v>2523056</v>
      </c>
      <c r="CI32" s="54">
        <v>3893436</v>
      </c>
      <c r="CJ32" s="54">
        <v>805072</v>
      </c>
      <c r="CK32" s="54">
        <v>127512</v>
      </c>
      <c r="CL32" s="54">
        <v>139104</v>
      </c>
      <c r="CM32" s="54">
        <v>835469</v>
      </c>
      <c r="CN32" s="54">
        <v>871154</v>
      </c>
      <c r="CO32" s="54">
        <v>2778311</v>
      </c>
      <c r="CP32" s="54">
        <v>0</v>
      </c>
      <c r="CQ32" s="54">
        <v>0</v>
      </c>
      <c r="CR32" s="54">
        <v>0</v>
      </c>
      <c r="CS32" s="54">
        <v>0</v>
      </c>
      <c r="CT32" s="54">
        <v>354418</v>
      </c>
      <c r="CU32" s="54">
        <v>354418</v>
      </c>
      <c r="CV32" s="54">
        <v>751954</v>
      </c>
      <c r="CW32" s="54">
        <v>201838</v>
      </c>
      <c r="CX32" s="54">
        <v>121649</v>
      </c>
      <c r="CY32" s="54">
        <v>270021</v>
      </c>
      <c r="CZ32" s="54">
        <v>658754</v>
      </c>
      <c r="DA32" s="54">
        <v>2004216</v>
      </c>
      <c r="DB32" s="54">
        <v>0</v>
      </c>
      <c r="DC32" s="54">
        <v>0</v>
      </c>
      <c r="DD32" s="54">
        <v>0</v>
      </c>
      <c r="DE32" s="54">
        <v>0</v>
      </c>
      <c r="DF32" s="54">
        <v>50000</v>
      </c>
      <c r="DG32" s="54">
        <v>50000</v>
      </c>
      <c r="DH32" s="54">
        <v>30551</v>
      </c>
      <c r="DI32" s="54">
        <v>3474</v>
      </c>
      <c r="DJ32" s="54">
        <v>667</v>
      </c>
      <c r="DK32" s="54">
        <v>692</v>
      </c>
      <c r="DL32" s="54">
        <v>653</v>
      </c>
      <c r="DM32" s="54">
        <v>36037</v>
      </c>
      <c r="DN32" s="54">
        <v>5450</v>
      </c>
      <c r="DO32" s="54">
        <v>0</v>
      </c>
      <c r="DP32" s="54">
        <v>0</v>
      </c>
      <c r="DQ32" s="54">
        <v>0</v>
      </c>
      <c r="DR32" s="54">
        <v>725012</v>
      </c>
      <c r="DS32" s="54">
        <v>730462</v>
      </c>
      <c r="DT32" s="54">
        <v>63800</v>
      </c>
      <c r="DU32" s="54">
        <v>9770</v>
      </c>
      <c r="DV32" s="54">
        <v>6174</v>
      </c>
      <c r="DW32" s="54">
        <v>100189</v>
      </c>
      <c r="DX32" s="54">
        <v>0</v>
      </c>
      <c r="DY32" s="54">
        <v>179933</v>
      </c>
      <c r="DZ32" s="54">
        <v>0</v>
      </c>
      <c r="EA32" s="54">
        <v>0</v>
      </c>
      <c r="EB32" s="54">
        <v>0</v>
      </c>
      <c r="EC32" s="54">
        <v>0</v>
      </c>
      <c r="ED32" s="54">
        <v>231743</v>
      </c>
      <c r="EE32" s="54">
        <v>231743</v>
      </c>
      <c r="EF32" s="54">
        <v>5388</v>
      </c>
      <c r="EG32" s="54">
        <v>0</v>
      </c>
      <c r="EH32" s="54">
        <v>7000</v>
      </c>
      <c r="EI32" s="54">
        <v>11106</v>
      </c>
      <c r="EJ32" s="54">
        <v>274499</v>
      </c>
      <c r="EK32" s="54">
        <v>297993</v>
      </c>
      <c r="EL32" s="54">
        <v>5273704</v>
      </c>
      <c r="EM32" s="54">
        <v>944798</v>
      </c>
      <c r="EN32" s="54">
        <v>552643</v>
      </c>
      <c r="EO32" s="54">
        <v>2417733</v>
      </c>
      <c r="EP32" s="54">
        <v>8356425</v>
      </c>
      <c r="EQ32" s="54">
        <v>17545303</v>
      </c>
      <c r="ER32" s="54">
        <v>1966332</v>
      </c>
      <c r="ES32" s="54">
        <v>337837</v>
      </c>
      <c r="ET32" s="54">
        <v>313165</v>
      </c>
      <c r="EU32" s="54">
        <v>2176006</v>
      </c>
      <c r="EV32" s="54">
        <v>323974</v>
      </c>
      <c r="EW32" s="54">
        <v>5117314</v>
      </c>
      <c r="EX32" s="54">
        <v>250000</v>
      </c>
      <c r="EY32" s="54">
        <v>60153</v>
      </c>
      <c r="EZ32" s="54">
        <v>3000</v>
      </c>
      <c r="FA32" s="54">
        <v>752</v>
      </c>
      <c r="FB32" s="54">
        <v>0</v>
      </c>
      <c r="FC32" s="54">
        <v>313905</v>
      </c>
      <c r="FD32" s="54">
        <v>1226335</v>
      </c>
      <c r="FE32" s="54">
        <v>439444</v>
      </c>
      <c r="FF32" s="54">
        <v>301006</v>
      </c>
      <c r="FG32" s="54">
        <v>835472</v>
      </c>
      <c r="FH32" s="54">
        <v>0</v>
      </c>
      <c r="FI32" s="54">
        <v>2802257</v>
      </c>
      <c r="FJ32" s="54">
        <v>190000</v>
      </c>
      <c r="FK32" s="54">
        <v>93500</v>
      </c>
      <c r="FL32" s="54">
        <v>15000</v>
      </c>
      <c r="FM32" s="54">
        <v>65000</v>
      </c>
      <c r="FN32" s="54">
        <v>0</v>
      </c>
      <c r="FO32" s="54">
        <v>363500</v>
      </c>
      <c r="FP32" s="54">
        <v>77406</v>
      </c>
      <c r="FQ32" s="54">
        <v>22735</v>
      </c>
      <c r="FR32" s="54">
        <v>0</v>
      </c>
      <c r="FS32" s="54">
        <v>1376</v>
      </c>
      <c r="FT32" s="54">
        <v>1842860</v>
      </c>
      <c r="FU32" s="54">
        <v>1944377</v>
      </c>
      <c r="FV32" s="54">
        <v>0</v>
      </c>
      <c r="FW32" s="54">
        <v>0</v>
      </c>
      <c r="FX32" s="54">
        <v>0</v>
      </c>
      <c r="FY32" s="54">
        <v>0</v>
      </c>
      <c r="FZ32" s="54">
        <v>17500</v>
      </c>
      <c r="GA32" s="54">
        <v>17500</v>
      </c>
      <c r="GB32" s="54">
        <v>0</v>
      </c>
      <c r="GC32" s="54">
        <v>0</v>
      </c>
      <c r="GD32" s="54">
        <v>0</v>
      </c>
      <c r="GE32" s="54">
        <v>0</v>
      </c>
      <c r="GF32" s="54">
        <v>0</v>
      </c>
      <c r="GG32" s="54">
        <v>0</v>
      </c>
      <c r="GH32" s="54">
        <v>142575</v>
      </c>
      <c r="GI32" s="54">
        <v>99181</v>
      </c>
      <c r="GJ32" s="54">
        <v>60864</v>
      </c>
      <c r="GK32" s="54">
        <v>64451</v>
      </c>
      <c r="GL32" s="54">
        <v>0</v>
      </c>
      <c r="GM32" s="54">
        <v>367071</v>
      </c>
      <c r="GN32" s="54">
        <v>849953</v>
      </c>
      <c r="GO32" s="54">
        <v>180853</v>
      </c>
      <c r="GP32" s="54">
        <v>179766</v>
      </c>
      <c r="GQ32" s="54">
        <v>702442</v>
      </c>
      <c r="GR32" s="54">
        <v>0</v>
      </c>
      <c r="GS32" s="54">
        <v>1913014</v>
      </c>
      <c r="GT32" s="54">
        <v>175901</v>
      </c>
      <c r="GU32" s="54">
        <v>33347</v>
      </c>
      <c r="GV32" s="54">
        <v>22863</v>
      </c>
      <c r="GW32" s="54">
        <v>146609</v>
      </c>
      <c r="GX32" s="54">
        <v>149943</v>
      </c>
      <c r="GY32" s="54">
        <v>528663</v>
      </c>
      <c r="GZ32" s="54">
        <v>265260</v>
      </c>
      <c r="HA32" s="54">
        <v>174730</v>
      </c>
      <c r="HB32" s="54">
        <v>77826</v>
      </c>
      <c r="HC32" s="54">
        <v>72417</v>
      </c>
      <c r="HD32" s="54">
        <v>1000</v>
      </c>
      <c r="HE32" s="54">
        <v>591233</v>
      </c>
      <c r="HF32" s="54">
        <v>0</v>
      </c>
      <c r="HG32" s="54">
        <v>0</v>
      </c>
      <c r="HH32" s="54">
        <v>0</v>
      </c>
      <c r="HI32" s="54">
        <v>0</v>
      </c>
      <c r="HJ32" s="54">
        <v>421523</v>
      </c>
      <c r="HK32" s="54">
        <v>421523</v>
      </c>
      <c r="HL32" s="54">
        <v>45915</v>
      </c>
      <c r="HM32" s="54">
        <v>8362</v>
      </c>
      <c r="HN32" s="54">
        <v>3127</v>
      </c>
      <c r="HO32" s="54">
        <v>75507</v>
      </c>
      <c r="HP32" s="54">
        <v>0</v>
      </c>
      <c r="HQ32" s="54">
        <v>132911</v>
      </c>
      <c r="HR32" s="54">
        <v>1732</v>
      </c>
      <c r="HS32" s="54">
        <v>4836</v>
      </c>
      <c r="HT32" s="54">
        <v>86</v>
      </c>
      <c r="HU32" s="54">
        <v>9124</v>
      </c>
      <c r="HV32" s="54">
        <v>49092</v>
      </c>
      <c r="HW32" s="54">
        <v>64870</v>
      </c>
      <c r="HX32" s="54">
        <v>0</v>
      </c>
      <c r="HY32" s="54">
        <v>0</v>
      </c>
      <c r="HZ32" s="54">
        <v>0</v>
      </c>
      <c r="IA32" s="54">
        <v>0</v>
      </c>
      <c r="IB32" s="54">
        <v>0</v>
      </c>
      <c r="IC32" s="54">
        <v>0</v>
      </c>
      <c r="ID32" s="54">
        <v>0</v>
      </c>
      <c r="IE32" s="54">
        <v>0</v>
      </c>
      <c r="IF32" s="54">
        <v>0</v>
      </c>
      <c r="IG32" s="54">
        <v>0</v>
      </c>
      <c r="IH32" s="54">
        <v>354418</v>
      </c>
      <c r="II32" s="54">
        <v>354418</v>
      </c>
      <c r="IJ32" s="54">
        <v>0</v>
      </c>
      <c r="IK32" s="54">
        <v>520</v>
      </c>
      <c r="IL32" s="54">
        <v>0</v>
      </c>
      <c r="IM32" s="54">
        <v>208</v>
      </c>
      <c r="IN32" s="54">
        <v>337887</v>
      </c>
      <c r="IO32" s="54">
        <v>338615</v>
      </c>
      <c r="IP32" s="54">
        <v>0</v>
      </c>
      <c r="IQ32" s="54">
        <v>0</v>
      </c>
      <c r="IR32" s="54">
        <v>145</v>
      </c>
      <c r="IS32" s="54">
        <v>2682</v>
      </c>
      <c r="IT32" s="54">
        <v>411431</v>
      </c>
      <c r="IU32" s="54">
        <v>414258</v>
      </c>
      <c r="IV32" s="54">
        <v>489001</v>
      </c>
      <c r="IW32" s="54">
        <v>159466</v>
      </c>
      <c r="IX32" s="54">
        <v>50803</v>
      </c>
      <c r="IY32" s="54">
        <v>119977</v>
      </c>
      <c r="IZ32" s="54">
        <v>809435</v>
      </c>
      <c r="JA32" s="54">
        <v>1628682</v>
      </c>
      <c r="JB32" s="54">
        <v>5680410</v>
      </c>
      <c r="JC32" s="54">
        <v>1614964</v>
      </c>
      <c r="JD32" s="54">
        <v>1027652</v>
      </c>
      <c r="JE32" s="54">
        <v>4272021</v>
      </c>
      <c r="JF32" s="54">
        <v>4719063</v>
      </c>
      <c r="JG32" s="54">
        <v>17314110</v>
      </c>
      <c r="JH32" s="54">
        <v>0</v>
      </c>
      <c r="JI32" s="54">
        <v>0</v>
      </c>
      <c r="JJ32" s="54">
        <v>0</v>
      </c>
      <c r="JK32" s="54">
        <v>0</v>
      </c>
      <c r="JL32" s="54">
        <v>0</v>
      </c>
      <c r="JM32" s="54">
        <v>0</v>
      </c>
      <c r="JN32" s="54">
        <v>5680410</v>
      </c>
      <c r="JO32" s="54">
        <v>1614964</v>
      </c>
      <c r="JP32" s="54">
        <v>1027652</v>
      </c>
      <c r="JQ32" s="54">
        <v>4272021</v>
      </c>
      <c r="JR32" s="54">
        <v>4719063</v>
      </c>
      <c r="JS32" s="54">
        <v>17314110</v>
      </c>
      <c r="JU32" s="5">
        <f t="shared" si="80"/>
        <v>1077791</v>
      </c>
      <c r="JV32" s="26">
        <f t="shared" si="81"/>
        <v>0</v>
      </c>
      <c r="JW32" s="5">
        <f t="shared" si="82"/>
        <v>2317147</v>
      </c>
      <c r="JX32" s="26">
        <f t="shared" si="83"/>
        <v>0</v>
      </c>
      <c r="JY32" s="5">
        <f t="shared" si="84"/>
        <v>1063980</v>
      </c>
      <c r="JZ32" s="26">
        <f t="shared" si="85"/>
        <v>0</v>
      </c>
      <c r="KA32" s="5">
        <f t="shared" si="86"/>
        <v>2148836</v>
      </c>
      <c r="KB32" s="26">
        <f t="shared" si="87"/>
        <v>0</v>
      </c>
      <c r="KC32" s="5">
        <f t="shared" si="88"/>
        <v>381000</v>
      </c>
      <c r="KD32" s="26">
        <f t="shared" si="89"/>
        <v>0</v>
      </c>
      <c r="KE32" s="5">
        <f t="shared" si="90"/>
        <v>3893436</v>
      </c>
      <c r="KF32" s="26">
        <f t="shared" si="91"/>
        <v>0</v>
      </c>
      <c r="KG32" s="5">
        <f t="shared" si="92"/>
        <v>2778311</v>
      </c>
      <c r="KH32" s="26">
        <f t="shared" si="93"/>
        <v>0</v>
      </c>
      <c r="KI32" s="5">
        <f t="shared" si="94"/>
        <v>354418</v>
      </c>
      <c r="KJ32" s="26">
        <f t="shared" si="95"/>
        <v>0</v>
      </c>
      <c r="KK32" s="5">
        <f t="shared" si="96"/>
        <v>2004216</v>
      </c>
      <c r="KL32" s="26">
        <f t="shared" si="97"/>
        <v>0</v>
      </c>
      <c r="KM32" s="5">
        <f t="shared" si="98"/>
        <v>50000</v>
      </c>
      <c r="KN32" s="26">
        <f t="shared" si="99"/>
        <v>0</v>
      </c>
      <c r="KO32" s="5">
        <f t="shared" si="100"/>
        <v>36037</v>
      </c>
      <c r="KP32" s="26">
        <f t="shared" si="101"/>
        <v>0</v>
      </c>
      <c r="KQ32" s="5">
        <f t="shared" si="102"/>
        <v>730462</v>
      </c>
      <c r="KR32" s="26">
        <f t="shared" si="103"/>
        <v>0</v>
      </c>
      <c r="KS32" s="5">
        <f t="shared" si="104"/>
        <v>179933</v>
      </c>
      <c r="KT32" s="26">
        <f t="shared" si="105"/>
        <v>0</v>
      </c>
      <c r="KU32" s="5">
        <f t="shared" si="106"/>
        <v>231743</v>
      </c>
      <c r="KV32" s="26">
        <f t="shared" si="107"/>
        <v>0</v>
      </c>
      <c r="KW32" s="5">
        <f t="shared" si="108"/>
        <v>297993</v>
      </c>
      <c r="KX32" s="26">
        <f t="shared" si="109"/>
        <v>0</v>
      </c>
      <c r="KY32" s="5">
        <f t="shared" si="110"/>
        <v>17545303</v>
      </c>
      <c r="KZ32" s="26">
        <f t="shared" si="111"/>
        <v>0</v>
      </c>
      <c r="LA32" s="5">
        <f t="shared" si="112"/>
        <v>5117314</v>
      </c>
      <c r="LB32" s="26">
        <f t="shared" si="113"/>
        <v>0</v>
      </c>
      <c r="LC32" s="5">
        <f t="shared" si="114"/>
        <v>313905</v>
      </c>
      <c r="LD32" s="26">
        <f t="shared" si="115"/>
        <v>0</v>
      </c>
      <c r="LE32" s="5">
        <f t="shared" si="116"/>
        <v>2802257</v>
      </c>
      <c r="LF32" s="26">
        <f t="shared" si="117"/>
        <v>0</v>
      </c>
      <c r="LG32" s="5">
        <f t="shared" si="118"/>
        <v>363500</v>
      </c>
      <c r="LH32" s="26">
        <f t="shared" si="119"/>
        <v>0</v>
      </c>
      <c r="LI32" s="5">
        <f t="shared" si="120"/>
        <v>1944377</v>
      </c>
      <c r="LJ32" s="26">
        <f t="shared" si="121"/>
        <v>0</v>
      </c>
      <c r="LK32" s="5">
        <f t="shared" si="122"/>
        <v>17500</v>
      </c>
      <c r="LL32" s="26">
        <f t="shared" si="123"/>
        <v>0</v>
      </c>
      <c r="LM32" s="5">
        <f t="shared" si="124"/>
        <v>0</v>
      </c>
      <c r="LN32" s="26">
        <f t="shared" si="125"/>
        <v>0</v>
      </c>
      <c r="LO32" s="5">
        <f t="shared" si="126"/>
        <v>367071</v>
      </c>
      <c r="LP32" s="26">
        <f t="shared" si="127"/>
        <v>0</v>
      </c>
      <c r="LQ32" s="5">
        <f t="shared" si="128"/>
        <v>1913014</v>
      </c>
      <c r="LR32" s="26">
        <f t="shared" si="129"/>
        <v>0</v>
      </c>
      <c r="LS32" s="5">
        <f t="shared" si="130"/>
        <v>528663</v>
      </c>
      <c r="LT32" s="26">
        <f t="shared" si="131"/>
        <v>0</v>
      </c>
      <c r="LU32" s="5">
        <f t="shared" si="132"/>
        <v>591233</v>
      </c>
      <c r="LV32" s="26">
        <f t="shared" si="133"/>
        <v>0</v>
      </c>
      <c r="LW32" s="5">
        <f t="shared" si="134"/>
        <v>421523</v>
      </c>
      <c r="LX32" s="26">
        <f t="shared" si="135"/>
        <v>0</v>
      </c>
      <c r="LY32" s="5">
        <f t="shared" si="136"/>
        <v>132911</v>
      </c>
      <c r="LZ32" s="26">
        <f t="shared" si="137"/>
        <v>0</v>
      </c>
      <c r="MA32" s="5">
        <f t="shared" si="138"/>
        <v>64870</v>
      </c>
      <c r="MB32" s="26">
        <f t="shared" si="139"/>
        <v>0</v>
      </c>
      <c r="MC32" s="5">
        <f t="shared" si="140"/>
        <v>0</v>
      </c>
      <c r="MD32" s="26">
        <f t="shared" si="141"/>
        <v>0</v>
      </c>
      <c r="ME32" s="5">
        <f t="shared" si="142"/>
        <v>354418</v>
      </c>
      <c r="MF32" s="26">
        <f t="shared" si="143"/>
        <v>0</v>
      </c>
      <c r="MG32" s="5">
        <f t="shared" si="144"/>
        <v>338615</v>
      </c>
      <c r="MH32" s="26">
        <f t="shared" si="145"/>
        <v>0</v>
      </c>
      <c r="MI32" s="5">
        <f t="shared" si="146"/>
        <v>414258</v>
      </c>
      <c r="MJ32" s="26">
        <f t="shared" si="147"/>
        <v>0</v>
      </c>
      <c r="MK32" s="5">
        <f t="shared" si="148"/>
        <v>1628682</v>
      </c>
      <c r="ML32" s="26">
        <f t="shared" si="149"/>
        <v>0</v>
      </c>
      <c r="MM32" s="5">
        <f t="shared" si="150"/>
        <v>17314110</v>
      </c>
      <c r="MN32" s="26">
        <f t="shared" si="151"/>
        <v>0</v>
      </c>
      <c r="MO32" s="5">
        <f t="shared" si="152"/>
        <v>0</v>
      </c>
      <c r="MP32" s="26">
        <f t="shared" si="153"/>
        <v>0</v>
      </c>
      <c r="MQ32" s="5">
        <f t="shared" si="154"/>
        <v>17314110</v>
      </c>
      <c r="MR32" s="26">
        <f t="shared" si="155"/>
        <v>0</v>
      </c>
      <c r="MT32" s="5">
        <f t="shared" si="76"/>
        <v>0</v>
      </c>
      <c r="MV32" s="4">
        <f t="shared" si="77"/>
        <v>0</v>
      </c>
    </row>
    <row r="33" spans="1:360" x14ac:dyDescent="0.15">
      <c r="A33" s="157" t="s">
        <v>314</v>
      </c>
      <c r="B33" s="25" t="s">
        <v>458</v>
      </c>
      <c r="C33" s="105">
        <v>145637</v>
      </c>
      <c r="D33" s="105">
        <v>2011</v>
      </c>
      <c r="E33" s="106">
        <v>1</v>
      </c>
      <c r="F33" s="106">
        <v>3</v>
      </c>
      <c r="G33" s="107">
        <v>17266</v>
      </c>
      <c r="H33" s="107">
        <v>14274</v>
      </c>
      <c r="I33" s="108">
        <v>4465371000</v>
      </c>
      <c r="J33" s="108"/>
      <c r="K33" s="108">
        <v>12917387</v>
      </c>
      <c r="L33" s="108"/>
      <c r="M33" s="108">
        <v>71717185</v>
      </c>
      <c r="N33" s="108"/>
      <c r="O33" s="108">
        <v>120959293</v>
      </c>
      <c r="P33" s="108"/>
      <c r="Q33" s="108">
        <v>842923706</v>
      </c>
      <c r="R33" s="108"/>
      <c r="S33" s="108">
        <v>3291523000</v>
      </c>
      <c r="T33" s="108"/>
      <c r="U33" s="108">
        <v>24722</v>
      </c>
      <c r="V33" s="108"/>
      <c r="W33" s="108">
        <v>38752</v>
      </c>
      <c r="X33" s="108"/>
      <c r="Y33" s="108">
        <v>27082</v>
      </c>
      <c r="Z33" s="108"/>
      <c r="AA33" s="108">
        <v>41224</v>
      </c>
      <c r="AB33" s="108"/>
      <c r="AC33" s="129">
        <v>10</v>
      </c>
      <c r="AD33" s="129">
        <v>11</v>
      </c>
      <c r="AE33" s="129">
        <v>0</v>
      </c>
      <c r="AF33" s="26">
        <v>5533404</v>
      </c>
      <c r="AG33" s="26">
        <v>4314167</v>
      </c>
      <c r="AH33" s="26">
        <v>977658</v>
      </c>
      <c r="AI33" s="26">
        <v>366585</v>
      </c>
      <c r="AJ33" s="26">
        <f>4407237/AK33</f>
        <v>550904.625</v>
      </c>
      <c r="AK33" s="36">
        <v>8</v>
      </c>
      <c r="AL33" s="26">
        <f>4407237/AM33</f>
        <v>550904.625</v>
      </c>
      <c r="AM33" s="36">
        <v>8</v>
      </c>
      <c r="AN33" s="26">
        <f>1206392/AO33</f>
        <v>134043.55555555556</v>
      </c>
      <c r="AO33" s="36">
        <v>9</v>
      </c>
      <c r="AP33" s="26">
        <f>1206392/AQ33</f>
        <v>134043.55555555556</v>
      </c>
      <c r="AQ33" s="36">
        <v>9</v>
      </c>
      <c r="AR33" s="26">
        <f>3558887/AS33</f>
        <v>177944.35</v>
      </c>
      <c r="AS33" s="36">
        <v>20</v>
      </c>
      <c r="AT33" s="26">
        <f>3558887/AU33</f>
        <v>177944.35</v>
      </c>
      <c r="AU33" s="36">
        <v>20</v>
      </c>
      <c r="AV33" s="26">
        <f>1086852/AW33</f>
        <v>63932.470588235294</v>
      </c>
      <c r="AW33" s="36">
        <v>17</v>
      </c>
      <c r="AX33" s="26">
        <f>1086852/AY33</f>
        <v>63932.470588235294</v>
      </c>
      <c r="AY33" s="36">
        <v>17</v>
      </c>
      <c r="AZ33" s="54">
        <v>9426634</v>
      </c>
      <c r="BA33" s="54">
        <v>7005785</v>
      </c>
      <c r="BB33" s="54">
        <v>25270</v>
      </c>
      <c r="BC33" s="54">
        <f>16442639+90622-AZ33-BA33-BB33</f>
        <v>75572</v>
      </c>
      <c r="BD33" s="54">
        <v>0</v>
      </c>
      <c r="BE33" s="54">
        <v>16533261</v>
      </c>
      <c r="BF33" s="54">
        <v>0</v>
      </c>
      <c r="BG33" s="54">
        <v>0</v>
      </c>
      <c r="BH33" s="54">
        <v>0</v>
      </c>
      <c r="BI33" s="54">
        <v>0</v>
      </c>
      <c r="BJ33" s="54">
        <v>2948286</v>
      </c>
      <c r="BK33" s="54">
        <v>2948286</v>
      </c>
      <c r="BL33" s="54">
        <v>1350000</v>
      </c>
      <c r="BM33" s="54">
        <v>0</v>
      </c>
      <c r="BN33" s="54">
        <v>0</v>
      </c>
      <c r="BO33" s="54">
        <v>26000</v>
      </c>
      <c r="BP33" s="54">
        <v>0</v>
      </c>
      <c r="BQ33" s="54">
        <v>1376000</v>
      </c>
      <c r="BR33" s="54">
        <v>3054918</v>
      </c>
      <c r="BS33" s="54">
        <v>379458</v>
      </c>
      <c r="BT33" s="54">
        <v>391553</v>
      </c>
      <c r="BU33" s="54">
        <v>4735665</v>
      </c>
      <c r="BV33" s="54">
        <v>7876361</v>
      </c>
      <c r="BW33" s="54">
        <v>16437955</v>
      </c>
      <c r="BX33" s="54">
        <v>0</v>
      </c>
      <c r="BY33" s="54">
        <v>0</v>
      </c>
      <c r="BZ33" s="54">
        <v>0</v>
      </c>
      <c r="CA33" s="54">
        <v>0</v>
      </c>
      <c r="CB33" s="54">
        <v>0</v>
      </c>
      <c r="CC33" s="54">
        <v>0</v>
      </c>
      <c r="CD33" s="54">
        <v>0</v>
      </c>
      <c r="CE33" s="54">
        <v>0</v>
      </c>
      <c r="CF33" s="54">
        <v>0</v>
      </c>
      <c r="CG33" s="54">
        <v>0</v>
      </c>
      <c r="CH33" s="54">
        <v>0</v>
      </c>
      <c r="CI33" s="54">
        <v>0</v>
      </c>
      <c r="CJ33" s="54">
        <v>250</v>
      </c>
      <c r="CK33" s="54">
        <v>1414</v>
      </c>
      <c r="CL33" s="54">
        <v>0</v>
      </c>
      <c r="CM33" s="54">
        <v>1024775</v>
      </c>
      <c r="CN33" s="54">
        <v>8915</v>
      </c>
      <c r="CO33" s="54">
        <v>1035354</v>
      </c>
      <c r="CP33" s="54">
        <v>0</v>
      </c>
      <c r="CQ33" s="54">
        <v>0</v>
      </c>
      <c r="CR33" s="54">
        <v>0</v>
      </c>
      <c r="CS33" s="54">
        <v>0</v>
      </c>
      <c r="CT33" s="54">
        <v>0</v>
      </c>
      <c r="CU33" s="54">
        <v>0</v>
      </c>
      <c r="CV33" s="54">
        <v>10975435</v>
      </c>
      <c r="CW33" s="54">
        <v>4874844</v>
      </c>
      <c r="CX33" s="54">
        <v>31798</v>
      </c>
      <c r="CY33" s="54">
        <v>331790</v>
      </c>
      <c r="CZ33" s="54">
        <v>9491857</v>
      </c>
      <c r="DA33" s="54">
        <v>25705724</v>
      </c>
      <c r="DB33" s="54">
        <v>623506</v>
      </c>
      <c r="DC33" s="54">
        <v>762051</v>
      </c>
      <c r="DD33" s="54">
        <v>25126</v>
      </c>
      <c r="DE33" s="54">
        <v>25126</v>
      </c>
      <c r="DF33" s="54">
        <v>0</v>
      </c>
      <c r="DG33" s="54">
        <v>1435809</v>
      </c>
      <c r="DH33" s="54">
        <v>1196064</v>
      </c>
      <c r="DI33" s="54">
        <v>556496</v>
      </c>
      <c r="DJ33" s="54">
        <v>29661</v>
      </c>
      <c r="DK33" s="54">
        <v>55644</v>
      </c>
      <c r="DL33" s="54">
        <v>0</v>
      </c>
      <c r="DM33" s="54">
        <v>1837865</v>
      </c>
      <c r="DN33" s="54">
        <v>1271345</v>
      </c>
      <c r="DO33" s="54">
        <v>1093610</v>
      </c>
      <c r="DP33" s="54">
        <v>133090</v>
      </c>
      <c r="DQ33" s="54">
        <v>430986</v>
      </c>
      <c r="DR33" s="54">
        <v>1624489</v>
      </c>
      <c r="DS33" s="54">
        <v>4553520</v>
      </c>
      <c r="DT33" s="54">
        <v>59040</v>
      </c>
      <c r="DU33" s="54">
        <v>424635</v>
      </c>
      <c r="DV33" s="54">
        <v>90266</v>
      </c>
      <c r="DW33" s="54">
        <v>998373</v>
      </c>
      <c r="DX33" s="54">
        <v>0</v>
      </c>
      <c r="DY33" s="54">
        <v>1572314</v>
      </c>
      <c r="DZ33" s="54">
        <v>396630</v>
      </c>
      <c r="EA33" s="54">
        <v>393121</v>
      </c>
      <c r="EB33" s="54">
        <v>83539</v>
      </c>
      <c r="EC33" s="54">
        <v>201764</v>
      </c>
      <c r="ED33" s="54">
        <v>944034</v>
      </c>
      <c r="EE33" s="54">
        <v>2019088</v>
      </c>
      <c r="EF33" s="54">
        <v>0</v>
      </c>
      <c r="EG33" s="54">
        <v>16354</v>
      </c>
      <c r="EH33" s="54">
        <v>0</v>
      </c>
      <c r="EI33" s="54">
        <v>0</v>
      </c>
      <c r="EJ33" s="54">
        <v>2392353</v>
      </c>
      <c r="EK33" s="54">
        <v>2408707</v>
      </c>
      <c r="EL33" s="54">
        <v>28353822</v>
      </c>
      <c r="EM33" s="54">
        <v>15507768</v>
      </c>
      <c r="EN33" s="54">
        <v>810303</v>
      </c>
      <c r="EO33" s="54">
        <v>7905695</v>
      </c>
      <c r="EP33" s="54">
        <v>25286295</v>
      </c>
      <c r="EQ33" s="54">
        <v>77863883</v>
      </c>
      <c r="ER33" s="54">
        <v>3283452</v>
      </c>
      <c r="ES33" s="54">
        <v>424129</v>
      </c>
      <c r="ET33" s="54">
        <v>483566</v>
      </c>
      <c r="EU33" s="54">
        <v>5656424</v>
      </c>
      <c r="EV33" s="54">
        <v>0</v>
      </c>
      <c r="EW33" s="54">
        <v>9847571</v>
      </c>
      <c r="EX33" s="54">
        <v>850000</v>
      </c>
      <c r="EY33" s="54">
        <v>536936</v>
      </c>
      <c r="EZ33" s="54">
        <v>2000</v>
      </c>
      <c r="FA33" s="54">
        <v>10653</v>
      </c>
      <c r="FB33" s="54">
        <v>0</v>
      </c>
      <c r="FC33" s="54">
        <v>1399589</v>
      </c>
      <c r="FD33" s="54">
        <v>4221604</v>
      </c>
      <c r="FE33" s="54">
        <v>2561471</v>
      </c>
      <c r="FF33" s="54">
        <v>653602</v>
      </c>
      <c r="FG33" s="54">
        <v>2822691</v>
      </c>
      <c r="FH33" s="54">
        <v>0</v>
      </c>
      <c r="FI33" s="54">
        <v>10259368</v>
      </c>
      <c r="FJ33" s="54">
        <v>0</v>
      </c>
      <c r="FK33" s="54">
        <v>0</v>
      </c>
      <c r="FL33" s="54">
        <v>0</v>
      </c>
      <c r="FM33" s="54">
        <v>0</v>
      </c>
      <c r="FN33" s="54">
        <v>0</v>
      </c>
      <c r="FO33" s="54">
        <v>0</v>
      </c>
      <c r="FP33" s="54">
        <v>1101069</v>
      </c>
      <c r="FQ33" s="54">
        <v>598522</v>
      </c>
      <c r="FR33" s="54">
        <v>150529</v>
      </c>
      <c r="FS33" s="54">
        <v>49726</v>
      </c>
      <c r="FT33" s="54">
        <v>9933374</v>
      </c>
      <c r="FU33" s="54">
        <v>11833220</v>
      </c>
      <c r="FV33" s="54">
        <v>0</v>
      </c>
      <c r="FW33" s="54">
        <v>0</v>
      </c>
      <c r="FX33" s="54">
        <v>0</v>
      </c>
      <c r="FY33" s="54">
        <v>0</v>
      </c>
      <c r="FZ33" s="54">
        <v>0</v>
      </c>
      <c r="GA33" s="54">
        <v>0</v>
      </c>
      <c r="GB33" s="54">
        <v>0</v>
      </c>
      <c r="GC33" s="54">
        <v>0</v>
      </c>
      <c r="GD33" s="54">
        <v>23305</v>
      </c>
      <c r="GE33" s="54">
        <v>10099</v>
      </c>
      <c r="GF33" s="54">
        <v>121238</v>
      </c>
      <c r="GG33" s="54">
        <v>154642</v>
      </c>
      <c r="GH33" s="54">
        <v>545363</v>
      </c>
      <c r="GI33" s="54">
        <v>278566</v>
      </c>
      <c r="GJ33" s="54">
        <v>135733</v>
      </c>
      <c r="GK33" s="54">
        <v>384581</v>
      </c>
      <c r="GL33" s="54">
        <v>0</v>
      </c>
      <c r="GM33" s="54">
        <v>1344243</v>
      </c>
      <c r="GN33" s="54">
        <v>1916532</v>
      </c>
      <c r="GO33" s="54">
        <v>597252</v>
      </c>
      <c r="GP33" s="54">
        <v>483828</v>
      </c>
      <c r="GQ33" s="54">
        <v>1629993</v>
      </c>
      <c r="GR33" s="54">
        <v>0</v>
      </c>
      <c r="GS33" s="54">
        <v>4627605</v>
      </c>
      <c r="GT33" s="54">
        <v>597325</v>
      </c>
      <c r="GU33" s="54">
        <v>162818</v>
      </c>
      <c r="GV33" s="54">
        <v>140083</v>
      </c>
      <c r="GW33" s="54">
        <v>623869</v>
      </c>
      <c r="GX33" s="54">
        <v>0</v>
      </c>
      <c r="GY33" s="54">
        <v>1524095</v>
      </c>
      <c r="GZ33" s="54">
        <v>1404988</v>
      </c>
      <c r="HA33" s="54">
        <v>722572</v>
      </c>
      <c r="HB33" s="54">
        <v>290064</v>
      </c>
      <c r="HC33" s="54">
        <v>430495</v>
      </c>
      <c r="HD33" s="54">
        <v>0</v>
      </c>
      <c r="HE33" s="54">
        <v>2848119</v>
      </c>
      <c r="HF33" s="54">
        <v>0</v>
      </c>
      <c r="HG33" s="54">
        <v>0</v>
      </c>
      <c r="HH33" s="54">
        <v>0</v>
      </c>
      <c r="HI33" s="54">
        <v>0</v>
      </c>
      <c r="HJ33" s="54">
        <v>2819969</v>
      </c>
      <c r="HK33" s="54">
        <v>2819969</v>
      </c>
      <c r="HL33" s="54">
        <v>45215</v>
      </c>
      <c r="HM33" s="54">
        <v>258048</v>
      </c>
      <c r="HN33" s="54">
        <v>65249</v>
      </c>
      <c r="HO33" s="54">
        <v>598012</v>
      </c>
      <c r="HP33" s="54">
        <v>0</v>
      </c>
      <c r="HQ33" s="54">
        <v>966524</v>
      </c>
      <c r="HR33" s="54">
        <v>0</v>
      </c>
      <c r="HS33" s="54">
        <v>0</v>
      </c>
      <c r="HT33" s="54">
        <v>0</v>
      </c>
      <c r="HU33" s="54">
        <v>0</v>
      </c>
      <c r="HV33" s="54">
        <v>20118624</v>
      </c>
      <c r="HW33" s="54">
        <v>20118624</v>
      </c>
      <c r="HX33" s="54">
        <v>0</v>
      </c>
      <c r="HY33" s="54">
        <v>0</v>
      </c>
      <c r="HZ33" s="54">
        <v>0</v>
      </c>
      <c r="IA33" s="54">
        <v>0</v>
      </c>
      <c r="IB33" s="54">
        <v>263412</v>
      </c>
      <c r="IC33" s="54">
        <v>263412</v>
      </c>
      <c r="ID33" s="54">
        <v>0</v>
      </c>
      <c r="IE33" s="54">
        <v>0</v>
      </c>
      <c r="IF33" s="54">
        <v>0</v>
      </c>
      <c r="IG33" s="54">
        <v>0</v>
      </c>
      <c r="IH33" s="54">
        <v>0</v>
      </c>
      <c r="II33" s="54">
        <v>0</v>
      </c>
      <c r="IJ33" s="54">
        <v>34992</v>
      </c>
      <c r="IK33" s="54">
        <v>1080</v>
      </c>
      <c r="IL33" s="54">
        <v>900</v>
      </c>
      <c r="IM33" s="54">
        <v>19513</v>
      </c>
      <c r="IN33" s="54">
        <v>542974</v>
      </c>
      <c r="IO33" s="54">
        <v>599459</v>
      </c>
      <c r="IP33" s="54">
        <v>1508</v>
      </c>
      <c r="IQ33" s="54">
        <v>1045</v>
      </c>
      <c r="IR33" s="54">
        <v>1123</v>
      </c>
      <c r="IS33" s="54">
        <v>8851</v>
      </c>
      <c r="IT33" s="54">
        <v>128171</v>
      </c>
      <c r="IU33" s="54">
        <v>140698</v>
      </c>
      <c r="IV33" s="54">
        <v>144773</v>
      </c>
      <c r="IW33" s="54">
        <v>80757</v>
      </c>
      <c r="IX33" s="54">
        <v>52597</v>
      </c>
      <c r="IY33" s="54">
        <f>277158+115530-IV33-IW33-IX33</f>
        <v>114561</v>
      </c>
      <c r="IZ33" s="54">
        <v>4336992</v>
      </c>
      <c r="JA33" s="54">
        <v>4729680</v>
      </c>
      <c r="JB33" s="54">
        <v>14146821</v>
      </c>
      <c r="JC33" s="54">
        <v>6223196</v>
      </c>
      <c r="JD33" s="54">
        <v>2482579</v>
      </c>
      <c r="JE33" s="54">
        <v>12359468</v>
      </c>
      <c r="JF33" s="54">
        <v>38264754</v>
      </c>
      <c r="JG33" s="54">
        <v>73476818</v>
      </c>
      <c r="JH33" s="54">
        <v>0</v>
      </c>
      <c r="JI33" s="54">
        <v>0</v>
      </c>
      <c r="JJ33" s="54">
        <v>0</v>
      </c>
      <c r="JK33" s="54">
        <v>0</v>
      </c>
      <c r="JL33" s="54">
        <v>497910</v>
      </c>
      <c r="JM33" s="54">
        <v>497910</v>
      </c>
      <c r="JN33" s="54">
        <v>14146821</v>
      </c>
      <c r="JO33" s="54">
        <v>6223196</v>
      </c>
      <c r="JP33" s="54">
        <v>2482579</v>
      </c>
      <c r="JQ33" s="54">
        <v>12359468</v>
      </c>
      <c r="JR33" s="54">
        <v>38762664</v>
      </c>
      <c r="JS33" s="54">
        <v>73974728</v>
      </c>
      <c r="JU33" s="5">
        <f t="shared" si="80"/>
        <v>16533261</v>
      </c>
      <c r="JV33" s="26">
        <f t="shared" si="81"/>
        <v>0</v>
      </c>
      <c r="JW33" s="5">
        <f t="shared" si="82"/>
        <v>2948286</v>
      </c>
      <c r="JX33" s="26">
        <f t="shared" si="83"/>
        <v>0</v>
      </c>
      <c r="JY33" s="5">
        <f t="shared" si="84"/>
        <v>1376000</v>
      </c>
      <c r="JZ33" s="26">
        <f t="shared" si="85"/>
        <v>0</v>
      </c>
      <c r="KA33" s="5">
        <f t="shared" si="86"/>
        <v>16437955</v>
      </c>
      <c r="KB33" s="26">
        <f t="shared" si="87"/>
        <v>0</v>
      </c>
      <c r="KC33" s="5">
        <f t="shared" si="88"/>
        <v>0</v>
      </c>
      <c r="KD33" s="26">
        <f t="shared" si="89"/>
        <v>0</v>
      </c>
      <c r="KE33" s="5">
        <f t="shared" si="90"/>
        <v>0</v>
      </c>
      <c r="KF33" s="26">
        <f t="shared" si="91"/>
        <v>0</v>
      </c>
      <c r="KG33" s="5">
        <f t="shared" si="92"/>
        <v>1035354</v>
      </c>
      <c r="KH33" s="26">
        <f t="shared" si="93"/>
        <v>0</v>
      </c>
      <c r="KI33" s="5">
        <f t="shared" si="94"/>
        <v>0</v>
      </c>
      <c r="KJ33" s="26">
        <f t="shared" si="95"/>
        <v>0</v>
      </c>
      <c r="KK33" s="5">
        <f t="shared" si="96"/>
        <v>25705724</v>
      </c>
      <c r="KL33" s="26">
        <f t="shared" si="97"/>
        <v>0</v>
      </c>
      <c r="KM33" s="5">
        <f t="shared" si="98"/>
        <v>1435809</v>
      </c>
      <c r="KN33" s="26">
        <f t="shared" si="99"/>
        <v>0</v>
      </c>
      <c r="KO33" s="5">
        <f t="shared" si="100"/>
        <v>1837865</v>
      </c>
      <c r="KP33" s="26">
        <f t="shared" si="101"/>
        <v>0</v>
      </c>
      <c r="KQ33" s="5">
        <f t="shared" si="102"/>
        <v>4553520</v>
      </c>
      <c r="KR33" s="26">
        <f t="shared" si="103"/>
        <v>0</v>
      </c>
      <c r="KS33" s="5">
        <f t="shared" si="104"/>
        <v>1572314</v>
      </c>
      <c r="KT33" s="26">
        <f t="shared" si="105"/>
        <v>0</v>
      </c>
      <c r="KU33" s="5">
        <f t="shared" si="106"/>
        <v>2019088</v>
      </c>
      <c r="KV33" s="26">
        <f t="shared" si="107"/>
        <v>0</v>
      </c>
      <c r="KW33" s="5">
        <f t="shared" si="108"/>
        <v>2408707</v>
      </c>
      <c r="KX33" s="26">
        <f t="shared" si="109"/>
        <v>0</v>
      </c>
      <c r="KY33" s="5">
        <f t="shared" si="110"/>
        <v>77863883</v>
      </c>
      <c r="KZ33" s="26">
        <f t="shared" si="111"/>
        <v>0</v>
      </c>
      <c r="LA33" s="5">
        <f t="shared" si="112"/>
        <v>9847571</v>
      </c>
      <c r="LB33" s="26">
        <f t="shared" si="113"/>
        <v>0</v>
      </c>
      <c r="LC33" s="5">
        <f t="shared" si="114"/>
        <v>1399589</v>
      </c>
      <c r="LD33" s="26">
        <f t="shared" si="115"/>
        <v>0</v>
      </c>
      <c r="LE33" s="5">
        <f t="shared" si="116"/>
        <v>10259368</v>
      </c>
      <c r="LF33" s="26">
        <f t="shared" si="117"/>
        <v>0</v>
      </c>
      <c r="LG33" s="5">
        <f t="shared" si="118"/>
        <v>0</v>
      </c>
      <c r="LH33" s="26">
        <f t="shared" si="119"/>
        <v>0</v>
      </c>
      <c r="LI33" s="5">
        <f t="shared" si="120"/>
        <v>11833220</v>
      </c>
      <c r="LJ33" s="26">
        <f t="shared" si="121"/>
        <v>0</v>
      </c>
      <c r="LK33" s="5">
        <f t="shared" si="122"/>
        <v>0</v>
      </c>
      <c r="LL33" s="26">
        <f t="shared" si="123"/>
        <v>0</v>
      </c>
      <c r="LM33" s="5">
        <f t="shared" si="124"/>
        <v>154642</v>
      </c>
      <c r="LN33" s="26">
        <f t="shared" si="125"/>
        <v>0</v>
      </c>
      <c r="LO33" s="5">
        <f t="shared" si="126"/>
        <v>1344243</v>
      </c>
      <c r="LP33" s="26">
        <f t="shared" si="127"/>
        <v>0</v>
      </c>
      <c r="LQ33" s="5">
        <f t="shared" si="128"/>
        <v>4627605</v>
      </c>
      <c r="LR33" s="26">
        <f t="shared" si="129"/>
        <v>0</v>
      </c>
      <c r="LS33" s="5">
        <f t="shared" si="130"/>
        <v>1524095</v>
      </c>
      <c r="LT33" s="26">
        <f t="shared" si="131"/>
        <v>0</v>
      </c>
      <c r="LU33" s="5">
        <f t="shared" si="132"/>
        <v>2848119</v>
      </c>
      <c r="LV33" s="26">
        <f t="shared" si="133"/>
        <v>0</v>
      </c>
      <c r="LW33" s="5">
        <f t="shared" si="134"/>
        <v>2819969</v>
      </c>
      <c r="LX33" s="26">
        <f t="shared" si="135"/>
        <v>0</v>
      </c>
      <c r="LY33" s="5">
        <f t="shared" si="136"/>
        <v>966524</v>
      </c>
      <c r="LZ33" s="26">
        <f t="shared" si="137"/>
        <v>0</v>
      </c>
      <c r="MA33" s="5">
        <f t="shared" si="138"/>
        <v>20118624</v>
      </c>
      <c r="MB33" s="26">
        <f t="shared" si="139"/>
        <v>0</v>
      </c>
      <c r="MC33" s="5">
        <f t="shared" si="140"/>
        <v>263412</v>
      </c>
      <c r="MD33" s="26">
        <f t="shared" si="141"/>
        <v>0</v>
      </c>
      <c r="ME33" s="5">
        <f t="shared" si="142"/>
        <v>0</v>
      </c>
      <c r="MF33" s="26">
        <f t="shared" si="143"/>
        <v>0</v>
      </c>
      <c r="MG33" s="5">
        <f t="shared" si="144"/>
        <v>599459</v>
      </c>
      <c r="MH33" s="26">
        <f t="shared" si="145"/>
        <v>0</v>
      </c>
      <c r="MI33" s="5">
        <f t="shared" si="146"/>
        <v>140698</v>
      </c>
      <c r="MJ33" s="26">
        <f t="shared" si="147"/>
        <v>0</v>
      </c>
      <c r="MK33" s="5">
        <f t="shared" si="148"/>
        <v>4729680</v>
      </c>
      <c r="ML33" s="26">
        <f t="shared" si="149"/>
        <v>0</v>
      </c>
      <c r="MM33" s="5">
        <f t="shared" si="150"/>
        <v>73476818</v>
      </c>
      <c r="MN33" s="26">
        <f t="shared" si="151"/>
        <v>0</v>
      </c>
      <c r="MO33" s="5">
        <f t="shared" si="152"/>
        <v>497910</v>
      </c>
      <c r="MP33" s="26">
        <f t="shared" si="153"/>
        <v>0</v>
      </c>
      <c r="MQ33" s="5">
        <f t="shared" si="154"/>
        <v>73974728</v>
      </c>
      <c r="MR33" s="26">
        <f t="shared" si="155"/>
        <v>0</v>
      </c>
      <c r="MT33" s="5">
        <f t="shared" si="76"/>
        <v>0</v>
      </c>
      <c r="MV33" s="4">
        <f t="shared" si="77"/>
        <v>0</v>
      </c>
    </row>
    <row r="34" spans="1:360" x14ac:dyDescent="0.15">
      <c r="A34" s="155" t="s">
        <v>315</v>
      </c>
      <c r="B34" s="25" t="s">
        <v>464</v>
      </c>
      <c r="C34" s="105">
        <v>151351</v>
      </c>
      <c r="D34" s="105">
        <v>2011</v>
      </c>
      <c r="E34" s="106">
        <v>1</v>
      </c>
      <c r="F34" s="106">
        <v>3</v>
      </c>
      <c r="G34" s="107">
        <v>15402</v>
      </c>
      <c r="H34" s="107">
        <v>15486</v>
      </c>
      <c r="I34" s="114">
        <v>1348938442</v>
      </c>
      <c r="J34" s="108"/>
      <c r="K34" s="114">
        <v>3325000</v>
      </c>
      <c r="L34" s="108"/>
      <c r="M34" s="114">
        <v>65519000</v>
      </c>
      <c r="N34" s="108"/>
      <c r="O34" s="108">
        <v>38792000</v>
      </c>
      <c r="P34" s="108"/>
      <c r="Q34" s="114">
        <v>398457000</v>
      </c>
      <c r="R34" s="108"/>
      <c r="S34" s="114">
        <v>1094103444</v>
      </c>
      <c r="T34" s="108"/>
      <c r="U34" s="108">
        <v>19161</v>
      </c>
      <c r="V34" s="114"/>
      <c r="W34" s="114">
        <v>37553</v>
      </c>
      <c r="X34" s="114"/>
      <c r="Y34" s="108">
        <v>21290</v>
      </c>
      <c r="Z34" s="114"/>
      <c r="AA34" s="108">
        <v>39950</v>
      </c>
      <c r="AB34" s="108"/>
      <c r="AC34" s="129">
        <v>11</v>
      </c>
      <c r="AD34" s="129">
        <v>13</v>
      </c>
      <c r="AE34" s="129">
        <v>0</v>
      </c>
      <c r="AF34" s="42">
        <v>6061465</v>
      </c>
      <c r="AG34" s="42">
        <v>5109178</v>
      </c>
      <c r="AH34" s="26">
        <v>558442</v>
      </c>
      <c r="AI34" s="26">
        <v>340606</v>
      </c>
      <c r="AJ34" s="42">
        <v>588110.93999999994</v>
      </c>
      <c r="AK34" s="43">
        <v>8.5</v>
      </c>
      <c r="AL34" s="42">
        <v>499894.3</v>
      </c>
      <c r="AM34" s="43">
        <v>10</v>
      </c>
      <c r="AN34" s="42">
        <v>157694.38</v>
      </c>
      <c r="AO34" s="43">
        <v>10.5</v>
      </c>
      <c r="AP34" s="42">
        <v>137982.57999999999</v>
      </c>
      <c r="AQ34" s="43">
        <v>12</v>
      </c>
      <c r="AR34" s="42">
        <v>160444.49</v>
      </c>
      <c r="AS34" s="43">
        <v>24.5</v>
      </c>
      <c r="AT34" s="42">
        <v>135547.93</v>
      </c>
      <c r="AU34" s="43">
        <v>29</v>
      </c>
      <c r="AV34" s="42">
        <v>79679.17</v>
      </c>
      <c r="AW34" s="43">
        <v>20.5</v>
      </c>
      <c r="AX34" s="42">
        <v>65336.92</v>
      </c>
      <c r="AY34" s="43">
        <v>25</v>
      </c>
      <c r="AZ34" s="52">
        <v>4711558</v>
      </c>
      <c r="BA34" s="52">
        <v>7352116</v>
      </c>
      <c r="BB34" s="52">
        <v>50689</v>
      </c>
      <c r="BC34" s="52">
        <v>115223</v>
      </c>
      <c r="BD34" s="52">
        <v>3658</v>
      </c>
      <c r="BE34" s="52">
        <v>12233244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0</v>
      </c>
      <c r="BL34" s="52">
        <v>2661960</v>
      </c>
      <c r="BM34" s="52">
        <v>150000</v>
      </c>
      <c r="BN34" s="52">
        <v>5000</v>
      </c>
      <c r="BO34" s="52">
        <v>9500</v>
      </c>
      <c r="BP34" s="52">
        <v>0</v>
      </c>
      <c r="BQ34" s="52">
        <v>2826460</v>
      </c>
      <c r="BR34" s="52">
        <v>1151</v>
      </c>
      <c r="BS34" s="52">
        <v>198952</v>
      </c>
      <c r="BT34" s="52">
        <v>169</v>
      </c>
      <c r="BU34" s="52">
        <v>191131</v>
      </c>
      <c r="BV34" s="52">
        <v>15270363</v>
      </c>
      <c r="BW34" s="52">
        <v>15661766</v>
      </c>
      <c r="BX34" s="52">
        <v>88791</v>
      </c>
      <c r="BY34" s="52">
        <v>52378</v>
      </c>
      <c r="BZ34" s="52">
        <v>24478</v>
      </c>
      <c r="CA34" s="52">
        <v>14748</v>
      </c>
      <c r="CB34" s="52">
        <v>71211</v>
      </c>
      <c r="CC34" s="52">
        <v>251606</v>
      </c>
      <c r="CD34" s="52">
        <v>0</v>
      </c>
      <c r="CE34" s="52">
        <v>0</v>
      </c>
      <c r="CF34" s="52">
        <v>0</v>
      </c>
      <c r="CG34" s="52">
        <v>0</v>
      </c>
      <c r="CH34" s="52">
        <v>0</v>
      </c>
      <c r="CI34" s="52">
        <v>0</v>
      </c>
      <c r="CJ34" s="52">
        <v>0</v>
      </c>
      <c r="CK34" s="52">
        <v>0</v>
      </c>
      <c r="CL34" s="52">
        <v>0</v>
      </c>
      <c r="CM34" s="52">
        <v>0</v>
      </c>
      <c r="CN34" s="52">
        <v>0</v>
      </c>
      <c r="CO34" s="52">
        <v>0</v>
      </c>
      <c r="CP34" s="52">
        <v>0</v>
      </c>
      <c r="CQ34" s="52">
        <v>0</v>
      </c>
      <c r="CR34" s="52">
        <v>0</v>
      </c>
      <c r="CS34" s="52">
        <v>0</v>
      </c>
      <c r="CT34" s="52">
        <v>2686769</v>
      </c>
      <c r="CU34" s="52">
        <v>2686769</v>
      </c>
      <c r="CV34" s="52">
        <v>15630439</v>
      </c>
      <c r="CW34" s="52">
        <v>9079818</v>
      </c>
      <c r="CX34" s="52">
        <v>0</v>
      </c>
      <c r="CY34" s="52">
        <v>0</v>
      </c>
      <c r="CZ34" s="52">
        <v>2015701</v>
      </c>
      <c r="DA34" s="52">
        <v>26725958</v>
      </c>
      <c r="DB34" s="52">
        <v>0</v>
      </c>
      <c r="DC34" s="52">
        <v>0</v>
      </c>
      <c r="DD34" s="52">
        <v>0</v>
      </c>
      <c r="DE34" s="52">
        <v>0</v>
      </c>
      <c r="DF34" s="52">
        <v>0</v>
      </c>
      <c r="DG34" s="52">
        <v>0</v>
      </c>
      <c r="DH34" s="52">
        <v>1074001</v>
      </c>
      <c r="DI34" s="52">
        <v>879562</v>
      </c>
      <c r="DJ34" s="52">
        <v>37630</v>
      </c>
      <c r="DK34" s="52">
        <v>68778</v>
      </c>
      <c r="DL34" s="52">
        <v>485116</v>
      </c>
      <c r="DM34" s="52">
        <v>2545087</v>
      </c>
      <c r="DN34" s="52">
        <v>297704</v>
      </c>
      <c r="DO34" s="52">
        <v>407039</v>
      </c>
      <c r="DP34" s="52">
        <v>45949</v>
      </c>
      <c r="DQ34" s="52">
        <v>546015</v>
      </c>
      <c r="DR34" s="52">
        <v>3986259</v>
      </c>
      <c r="DS34" s="52">
        <v>5282966</v>
      </c>
      <c r="DT34" s="52">
        <v>0</v>
      </c>
      <c r="DU34" s="52">
        <v>0</v>
      </c>
      <c r="DV34" s="52">
        <v>0</v>
      </c>
      <c r="DW34" s="52">
        <v>0</v>
      </c>
      <c r="DX34" s="52">
        <v>0</v>
      </c>
      <c r="DY34" s="52">
        <v>0</v>
      </c>
      <c r="DZ34" s="52">
        <v>0</v>
      </c>
      <c r="EA34" s="52">
        <v>0</v>
      </c>
      <c r="EB34" s="52">
        <v>0</v>
      </c>
      <c r="EC34" s="52">
        <v>0</v>
      </c>
      <c r="ED34" s="52">
        <v>0</v>
      </c>
      <c r="EE34" s="52">
        <v>0</v>
      </c>
      <c r="EF34" s="52">
        <v>2520</v>
      </c>
      <c r="EG34" s="52">
        <v>43</v>
      </c>
      <c r="EH34" s="52">
        <v>0</v>
      </c>
      <c r="EI34" s="52">
        <v>145759</v>
      </c>
      <c r="EJ34" s="52">
        <v>2655177</v>
      </c>
      <c r="EK34" s="52">
        <v>2803499</v>
      </c>
      <c r="EL34" s="52">
        <v>24468124</v>
      </c>
      <c r="EM34" s="52">
        <v>18119908</v>
      </c>
      <c r="EN34" s="52">
        <v>163915</v>
      </c>
      <c r="EO34" s="52">
        <v>1091154</v>
      </c>
      <c r="EP34" s="52">
        <v>27174254</v>
      </c>
      <c r="EQ34" s="52">
        <v>71017355</v>
      </c>
      <c r="ER34" s="52">
        <v>3228698</v>
      </c>
      <c r="ES34" s="52">
        <v>527272</v>
      </c>
      <c r="ET34" s="52">
        <v>587672</v>
      </c>
      <c r="EU34" s="52">
        <v>6827001</v>
      </c>
      <c r="EV34" s="52">
        <v>15904</v>
      </c>
      <c r="EW34" s="52">
        <v>11186547</v>
      </c>
      <c r="EX34" s="52">
        <v>3202090</v>
      </c>
      <c r="EY34" s="52">
        <v>1312753</v>
      </c>
      <c r="EZ34" s="52">
        <v>10000</v>
      </c>
      <c r="FA34" s="52">
        <v>31657</v>
      </c>
      <c r="FB34" s="52">
        <v>0</v>
      </c>
      <c r="FC34" s="52">
        <v>4556500</v>
      </c>
      <c r="FD34" s="52">
        <v>3690683</v>
      </c>
      <c r="FE34" s="52">
        <v>3380980</v>
      </c>
      <c r="FF34" s="52">
        <v>861741</v>
      </c>
      <c r="FG34" s="52">
        <v>4285643</v>
      </c>
      <c r="FH34" s="52">
        <v>0</v>
      </c>
      <c r="FI34" s="52">
        <v>12219047</v>
      </c>
      <c r="FJ34" s="54">
        <v>78041</v>
      </c>
      <c r="FK34" s="54">
        <v>52377</v>
      </c>
      <c r="FL34" s="54">
        <v>24478</v>
      </c>
      <c r="FM34" s="54">
        <v>14747</v>
      </c>
      <c r="FN34" s="54">
        <v>0</v>
      </c>
      <c r="FO34" s="54">
        <v>169643</v>
      </c>
      <c r="FP34" s="54">
        <v>1108458</v>
      </c>
      <c r="FQ34" s="54">
        <v>655706</v>
      </c>
      <c r="FR34" s="54">
        <v>176095</v>
      </c>
      <c r="FS34" s="54">
        <v>310185</v>
      </c>
      <c r="FT34" s="54">
        <v>11024148</v>
      </c>
      <c r="FU34" s="54">
        <v>13274592</v>
      </c>
      <c r="FV34" s="52">
        <v>10750</v>
      </c>
      <c r="FW34" s="52">
        <v>0</v>
      </c>
      <c r="FX34" s="52">
        <v>0</v>
      </c>
      <c r="FY34" s="52">
        <v>0</v>
      </c>
      <c r="FZ34" s="52">
        <v>71213</v>
      </c>
      <c r="GA34" s="52">
        <v>81963</v>
      </c>
      <c r="GB34" s="52">
        <v>836637</v>
      </c>
      <c r="GC34" s="52">
        <v>4864</v>
      </c>
      <c r="GD34" s="52">
        <v>15713</v>
      </c>
      <c r="GE34" s="52">
        <v>35424</v>
      </c>
      <c r="GF34" s="52">
        <v>132511</v>
      </c>
      <c r="GG34" s="52">
        <v>1025149</v>
      </c>
      <c r="GH34" s="52">
        <v>270134</v>
      </c>
      <c r="GI34" s="52">
        <v>147520</v>
      </c>
      <c r="GJ34" s="52">
        <v>104007</v>
      </c>
      <c r="GK34" s="52">
        <v>377387</v>
      </c>
      <c r="GL34" s="52">
        <v>0</v>
      </c>
      <c r="GM34" s="52">
        <v>899048</v>
      </c>
      <c r="GN34" s="52">
        <v>625189</v>
      </c>
      <c r="GO34" s="52">
        <v>518886</v>
      </c>
      <c r="GP34" s="52">
        <v>266141</v>
      </c>
      <c r="GQ34" s="52">
        <v>1933572</v>
      </c>
      <c r="GR34" s="52">
        <v>416</v>
      </c>
      <c r="GS34" s="52">
        <v>3344204</v>
      </c>
      <c r="GT34" s="52">
        <v>401288</v>
      </c>
      <c r="GU34" s="52">
        <v>108103</v>
      </c>
      <c r="GV34" s="52">
        <v>46616</v>
      </c>
      <c r="GW34" s="52">
        <v>673125</v>
      </c>
      <c r="GX34" s="52">
        <v>0</v>
      </c>
      <c r="GY34" s="52">
        <v>1229132</v>
      </c>
      <c r="GZ34" s="52">
        <v>687117</v>
      </c>
      <c r="HA34" s="52">
        <v>888826</v>
      </c>
      <c r="HB34" s="52">
        <v>201807</v>
      </c>
      <c r="HC34" s="52">
        <v>202562</v>
      </c>
      <c r="HD34" s="52">
        <v>48132</v>
      </c>
      <c r="HE34" s="52">
        <v>2028444</v>
      </c>
      <c r="HF34" s="52">
        <v>549322</v>
      </c>
      <c r="HG34" s="52">
        <v>138977</v>
      </c>
      <c r="HH34" s="52">
        <v>43003</v>
      </c>
      <c r="HI34" s="52">
        <v>157095</v>
      </c>
      <c r="HJ34" s="52">
        <v>776428</v>
      </c>
      <c r="HK34" s="52">
        <v>1664825</v>
      </c>
      <c r="HL34" s="52">
        <v>0</v>
      </c>
      <c r="HM34" s="52">
        <v>0</v>
      </c>
      <c r="HN34" s="52">
        <v>0</v>
      </c>
      <c r="HO34" s="52">
        <v>0</v>
      </c>
      <c r="HP34" s="52">
        <v>0</v>
      </c>
      <c r="HQ34" s="52">
        <v>0</v>
      </c>
      <c r="HR34" s="52">
        <v>675989</v>
      </c>
      <c r="HS34" s="52">
        <v>121125</v>
      </c>
      <c r="HT34" s="52">
        <v>101803</v>
      </c>
      <c r="HU34" s="52">
        <v>791790</v>
      </c>
      <c r="HV34" s="52">
        <v>5828470</v>
      </c>
      <c r="HW34" s="52">
        <v>7519177</v>
      </c>
      <c r="HX34" s="52">
        <v>0</v>
      </c>
      <c r="HY34" s="52">
        <v>0</v>
      </c>
      <c r="HZ34" s="52">
        <v>0</v>
      </c>
      <c r="IA34" s="52">
        <v>0</v>
      </c>
      <c r="IB34" s="52">
        <v>226530</v>
      </c>
      <c r="IC34" s="52">
        <v>226530</v>
      </c>
      <c r="ID34" s="52">
        <v>0</v>
      </c>
      <c r="IE34" s="52">
        <v>0</v>
      </c>
      <c r="IF34" s="52">
        <v>0</v>
      </c>
      <c r="IG34" s="52">
        <v>0</v>
      </c>
      <c r="IH34" s="52">
        <v>2686769</v>
      </c>
      <c r="II34" s="52">
        <v>2686769</v>
      </c>
      <c r="IJ34" s="52">
        <v>320621</v>
      </c>
      <c r="IK34" s="52">
        <v>10684</v>
      </c>
      <c r="IL34" s="52">
        <v>36353</v>
      </c>
      <c r="IM34" s="52">
        <v>395745</v>
      </c>
      <c r="IN34" s="52">
        <v>496883</v>
      </c>
      <c r="IO34" s="52">
        <v>1260286</v>
      </c>
      <c r="IP34" s="52">
        <v>2205</v>
      </c>
      <c r="IQ34" s="52">
        <v>310</v>
      </c>
      <c r="IR34" s="52">
        <v>875</v>
      </c>
      <c r="IS34" s="52">
        <v>9658</v>
      </c>
      <c r="IT34" s="52">
        <v>85606</v>
      </c>
      <c r="IU34" s="52">
        <v>98654</v>
      </c>
      <c r="IV34" s="52">
        <v>576955</v>
      </c>
      <c r="IW34" s="52">
        <v>178464</v>
      </c>
      <c r="IX34" s="52">
        <v>123453</v>
      </c>
      <c r="IY34" s="52">
        <v>602290</v>
      </c>
      <c r="IZ34" s="52">
        <v>4362839</v>
      </c>
      <c r="JA34" s="52">
        <v>5844001</v>
      </c>
      <c r="JB34" s="52">
        <v>16264177</v>
      </c>
      <c r="JC34" s="52">
        <v>8046847</v>
      </c>
      <c r="JD34" s="52">
        <v>2599757</v>
      </c>
      <c r="JE34" s="52">
        <v>16647881</v>
      </c>
      <c r="JF34" s="52">
        <v>25755849</v>
      </c>
      <c r="JG34" s="52">
        <v>69314511</v>
      </c>
      <c r="JH34" s="52">
        <v>0</v>
      </c>
      <c r="JI34" s="52">
        <v>0</v>
      </c>
      <c r="JJ34" s="52">
        <v>0</v>
      </c>
      <c r="JK34" s="52">
        <v>0</v>
      </c>
      <c r="JL34" s="52">
        <v>0</v>
      </c>
      <c r="JM34" s="52">
        <v>0</v>
      </c>
      <c r="JN34" s="52">
        <v>16264177</v>
      </c>
      <c r="JO34" s="52">
        <v>8046847</v>
      </c>
      <c r="JP34" s="52">
        <v>2599757</v>
      </c>
      <c r="JQ34" s="52">
        <v>16647881</v>
      </c>
      <c r="JR34" s="52">
        <v>25755849</v>
      </c>
      <c r="JS34" s="52">
        <v>69314511</v>
      </c>
      <c r="JT34" s="10"/>
      <c r="JU34" s="5">
        <f t="shared" si="80"/>
        <v>12233244</v>
      </c>
      <c r="JV34" s="26">
        <f t="shared" si="81"/>
        <v>0</v>
      </c>
      <c r="JW34" s="5">
        <f t="shared" si="82"/>
        <v>0</v>
      </c>
      <c r="JX34" s="26">
        <f t="shared" si="83"/>
        <v>0</v>
      </c>
      <c r="JY34" s="5">
        <f t="shared" si="84"/>
        <v>2826460</v>
      </c>
      <c r="JZ34" s="26">
        <f t="shared" si="85"/>
        <v>0</v>
      </c>
      <c r="KA34" s="5">
        <f t="shared" si="86"/>
        <v>15661766</v>
      </c>
      <c r="KB34" s="26">
        <f t="shared" si="87"/>
        <v>0</v>
      </c>
      <c r="KC34" s="5">
        <f t="shared" si="88"/>
        <v>251606</v>
      </c>
      <c r="KD34" s="26">
        <f t="shared" si="89"/>
        <v>0</v>
      </c>
      <c r="KE34" s="5">
        <f t="shared" si="90"/>
        <v>0</v>
      </c>
      <c r="KF34" s="26">
        <f t="shared" si="91"/>
        <v>0</v>
      </c>
      <c r="KG34" s="5">
        <f t="shared" si="92"/>
        <v>0</v>
      </c>
      <c r="KH34" s="26">
        <f t="shared" si="93"/>
        <v>0</v>
      </c>
      <c r="KI34" s="5">
        <f t="shared" si="94"/>
        <v>2686769</v>
      </c>
      <c r="KJ34" s="26">
        <f t="shared" si="95"/>
        <v>0</v>
      </c>
      <c r="KK34" s="5">
        <f t="shared" si="96"/>
        <v>26725958</v>
      </c>
      <c r="KL34" s="26">
        <f t="shared" si="97"/>
        <v>0</v>
      </c>
      <c r="KM34" s="5">
        <f t="shared" si="98"/>
        <v>0</v>
      </c>
      <c r="KN34" s="26">
        <f t="shared" si="99"/>
        <v>0</v>
      </c>
      <c r="KO34" s="5">
        <f t="shared" si="100"/>
        <v>2545087</v>
      </c>
      <c r="KP34" s="26">
        <f t="shared" si="101"/>
        <v>0</v>
      </c>
      <c r="KQ34" s="5">
        <f t="shared" si="102"/>
        <v>5282966</v>
      </c>
      <c r="KR34" s="26">
        <f t="shared" si="103"/>
        <v>0</v>
      </c>
      <c r="KS34" s="5">
        <f t="shared" si="104"/>
        <v>0</v>
      </c>
      <c r="KT34" s="26">
        <f t="shared" si="105"/>
        <v>0</v>
      </c>
      <c r="KU34" s="5">
        <f t="shared" si="106"/>
        <v>0</v>
      </c>
      <c r="KV34" s="26">
        <f t="shared" si="107"/>
        <v>0</v>
      </c>
      <c r="KW34" s="5">
        <f t="shared" si="108"/>
        <v>2803499</v>
      </c>
      <c r="KX34" s="26">
        <f t="shared" si="109"/>
        <v>0</v>
      </c>
      <c r="KY34" s="5">
        <f t="shared" si="110"/>
        <v>71017355</v>
      </c>
      <c r="KZ34" s="26">
        <f t="shared" si="111"/>
        <v>0</v>
      </c>
      <c r="LA34" s="5">
        <f t="shared" si="112"/>
        <v>11186547</v>
      </c>
      <c r="LB34" s="26">
        <f t="shared" si="113"/>
        <v>0</v>
      </c>
      <c r="LC34" s="5">
        <f t="shared" si="114"/>
        <v>4556500</v>
      </c>
      <c r="LD34" s="26">
        <f t="shared" si="115"/>
        <v>0</v>
      </c>
      <c r="LE34" s="5">
        <f t="shared" si="116"/>
        <v>12219047</v>
      </c>
      <c r="LF34" s="26">
        <f t="shared" si="117"/>
        <v>0</v>
      </c>
      <c r="LG34" s="5">
        <f t="shared" si="118"/>
        <v>169643</v>
      </c>
      <c r="LH34" s="26">
        <f t="shared" si="119"/>
        <v>0</v>
      </c>
      <c r="LI34" s="5">
        <f t="shared" si="120"/>
        <v>13274592</v>
      </c>
      <c r="LJ34" s="26">
        <f t="shared" si="121"/>
        <v>0</v>
      </c>
      <c r="LK34" s="5">
        <f t="shared" si="122"/>
        <v>81963</v>
      </c>
      <c r="LL34" s="26">
        <f t="shared" si="123"/>
        <v>0</v>
      </c>
      <c r="LM34" s="5">
        <f t="shared" si="124"/>
        <v>1025149</v>
      </c>
      <c r="LN34" s="26">
        <f t="shared" si="125"/>
        <v>0</v>
      </c>
      <c r="LO34" s="5">
        <f t="shared" si="126"/>
        <v>899048</v>
      </c>
      <c r="LP34" s="26">
        <f t="shared" si="127"/>
        <v>0</v>
      </c>
      <c r="LQ34" s="5">
        <f t="shared" si="128"/>
        <v>3344204</v>
      </c>
      <c r="LR34" s="26">
        <f t="shared" si="129"/>
        <v>0</v>
      </c>
      <c r="LS34" s="5">
        <f t="shared" si="130"/>
        <v>1229132</v>
      </c>
      <c r="LT34" s="26">
        <f t="shared" si="131"/>
        <v>0</v>
      </c>
      <c r="LU34" s="5">
        <f t="shared" si="132"/>
        <v>2028444</v>
      </c>
      <c r="LV34" s="26">
        <f t="shared" si="133"/>
        <v>0</v>
      </c>
      <c r="LW34" s="5">
        <f t="shared" si="134"/>
        <v>1664825</v>
      </c>
      <c r="LX34" s="26">
        <f t="shared" si="135"/>
        <v>0</v>
      </c>
      <c r="LY34" s="5">
        <f t="shared" si="136"/>
        <v>0</v>
      </c>
      <c r="LZ34" s="26">
        <f t="shared" si="137"/>
        <v>0</v>
      </c>
      <c r="MA34" s="5">
        <f t="shared" si="138"/>
        <v>7519177</v>
      </c>
      <c r="MB34" s="26">
        <f t="shared" si="139"/>
        <v>0</v>
      </c>
      <c r="MC34" s="5">
        <f t="shared" si="140"/>
        <v>226530</v>
      </c>
      <c r="MD34" s="26">
        <f t="shared" si="141"/>
        <v>0</v>
      </c>
      <c r="ME34" s="5">
        <f t="shared" si="142"/>
        <v>2686769</v>
      </c>
      <c r="MF34" s="26">
        <f t="shared" si="143"/>
        <v>0</v>
      </c>
      <c r="MG34" s="5">
        <f t="shared" si="144"/>
        <v>1260286</v>
      </c>
      <c r="MH34" s="26">
        <f t="shared" si="145"/>
        <v>0</v>
      </c>
      <c r="MI34" s="5">
        <f t="shared" si="146"/>
        <v>98654</v>
      </c>
      <c r="MJ34" s="26">
        <f t="shared" si="147"/>
        <v>0</v>
      </c>
      <c r="MK34" s="5">
        <f t="shared" si="148"/>
        <v>5844001</v>
      </c>
      <c r="ML34" s="26">
        <f t="shared" si="149"/>
        <v>0</v>
      </c>
      <c r="MM34" s="5">
        <f t="shared" si="150"/>
        <v>69314511</v>
      </c>
      <c r="MN34" s="26">
        <f t="shared" si="151"/>
        <v>0</v>
      </c>
      <c r="MO34" s="5">
        <f t="shared" si="152"/>
        <v>0</v>
      </c>
      <c r="MP34" s="26">
        <f t="shared" si="153"/>
        <v>0</v>
      </c>
      <c r="MQ34" s="5">
        <f t="shared" si="154"/>
        <v>69314511</v>
      </c>
      <c r="MR34" s="26">
        <f t="shared" si="155"/>
        <v>0</v>
      </c>
      <c r="MT34" s="5">
        <f t="shared" si="76"/>
        <v>0</v>
      </c>
      <c r="MV34" s="4">
        <f t="shared" si="77"/>
        <v>0</v>
      </c>
    </row>
    <row r="35" spans="1:360" x14ac:dyDescent="0.15">
      <c r="A35" s="155" t="s">
        <v>316</v>
      </c>
      <c r="B35" s="25" t="s">
        <v>461</v>
      </c>
      <c r="C35" s="109">
        <v>187985</v>
      </c>
      <c r="D35" s="105">
        <v>2011</v>
      </c>
      <c r="E35" s="106">
        <v>1</v>
      </c>
      <c r="F35" s="106">
        <v>3</v>
      </c>
      <c r="G35" s="107">
        <v>9218</v>
      </c>
      <c r="H35" s="107">
        <v>9870</v>
      </c>
      <c r="I35" s="108">
        <v>2262301076</v>
      </c>
      <c r="J35" s="108"/>
      <c r="K35" s="108">
        <v>9591921</v>
      </c>
      <c r="L35" s="108"/>
      <c r="M35" s="108">
        <v>62001646</v>
      </c>
      <c r="N35" s="108"/>
      <c r="O35" s="108">
        <v>152910000</v>
      </c>
      <c r="P35" s="108"/>
      <c r="Q35" s="108">
        <v>780302246</v>
      </c>
      <c r="R35" s="108"/>
      <c r="S35" s="108">
        <v>943229870</v>
      </c>
      <c r="T35" s="108"/>
      <c r="U35" s="108">
        <v>16148</v>
      </c>
      <c r="V35" s="108"/>
      <c r="W35" s="108">
        <v>32444</v>
      </c>
      <c r="X35" s="108"/>
      <c r="Y35" s="108">
        <v>20353</v>
      </c>
      <c r="Z35" s="108"/>
      <c r="AA35" s="108">
        <v>36649</v>
      </c>
      <c r="AB35" s="108"/>
      <c r="AC35" s="130">
        <v>6</v>
      </c>
      <c r="AD35" s="130">
        <v>7</v>
      </c>
      <c r="AE35" s="130">
        <v>0</v>
      </c>
      <c r="AF35" s="26">
        <v>4597379</v>
      </c>
      <c r="AG35" s="26">
        <v>4314880</v>
      </c>
      <c r="AH35" s="26" t="s">
        <v>483</v>
      </c>
      <c r="AI35" s="26">
        <v>339213</v>
      </c>
      <c r="AJ35" s="26">
        <v>770085.65</v>
      </c>
      <c r="AK35" s="36">
        <v>8.5</v>
      </c>
      <c r="AL35" s="26">
        <v>654572.80000000005</v>
      </c>
      <c r="AM35" s="36">
        <v>10</v>
      </c>
      <c r="AN35" s="26">
        <v>188584.76</v>
      </c>
      <c r="AO35" s="36">
        <v>10.5</v>
      </c>
      <c r="AP35" s="26">
        <v>165011.67000000001</v>
      </c>
      <c r="AQ35" s="36">
        <v>12</v>
      </c>
      <c r="AR35" s="26">
        <v>197495.42</v>
      </c>
      <c r="AS35" s="36">
        <v>24.66</v>
      </c>
      <c r="AT35" s="26">
        <v>162341.23000000001</v>
      </c>
      <c r="AU35" s="36">
        <v>30</v>
      </c>
      <c r="AV35" s="26">
        <v>76267.39</v>
      </c>
      <c r="AW35" s="36">
        <v>21.13</v>
      </c>
      <c r="AX35" s="26">
        <v>61981.919999999998</v>
      </c>
      <c r="AY35" s="36">
        <v>26</v>
      </c>
      <c r="AZ35" s="54">
        <v>20272653</v>
      </c>
      <c r="BA35" s="74">
        <v>2239733</v>
      </c>
      <c r="BB35" s="74">
        <v>189913</v>
      </c>
      <c r="BC35" s="74">
        <v>478606</v>
      </c>
      <c r="BD35" s="74">
        <v>0</v>
      </c>
      <c r="BE35" s="74">
        <v>23180905</v>
      </c>
      <c r="BF35" s="74">
        <v>0</v>
      </c>
      <c r="BG35" s="74">
        <v>0</v>
      </c>
      <c r="BH35" s="74">
        <v>0</v>
      </c>
      <c r="BI35" s="74">
        <v>0</v>
      </c>
      <c r="BJ35" s="74">
        <v>564680</v>
      </c>
      <c r="BK35" s="74">
        <v>564680</v>
      </c>
      <c r="BL35" s="74">
        <v>200000</v>
      </c>
      <c r="BM35" s="74">
        <v>0</v>
      </c>
      <c r="BN35" s="74">
        <v>3000</v>
      </c>
      <c r="BO35" s="74">
        <v>34000</v>
      </c>
      <c r="BP35" s="74">
        <v>0</v>
      </c>
      <c r="BQ35" s="74">
        <v>237000</v>
      </c>
      <c r="BR35" s="74">
        <v>7322802</v>
      </c>
      <c r="BS35" s="54">
        <v>197188</v>
      </c>
      <c r="BT35" s="54">
        <v>197594</v>
      </c>
      <c r="BU35" s="54">
        <v>1163008</v>
      </c>
      <c r="BV35" s="54">
        <v>17741548</v>
      </c>
      <c r="BW35" s="54">
        <v>26622140</v>
      </c>
      <c r="BX35" s="54">
        <v>150000</v>
      </c>
      <c r="BY35" s="74">
        <v>300000</v>
      </c>
      <c r="BZ35" s="74">
        <v>0</v>
      </c>
      <c r="CA35" s="74">
        <v>0</v>
      </c>
      <c r="CB35" s="74">
        <v>0</v>
      </c>
      <c r="CC35" s="74">
        <v>450000</v>
      </c>
      <c r="CD35" s="74">
        <v>0</v>
      </c>
      <c r="CE35" s="74">
        <v>0</v>
      </c>
      <c r="CF35" s="74">
        <v>0</v>
      </c>
      <c r="CG35" s="75">
        <v>0</v>
      </c>
      <c r="CH35" s="74">
        <v>0</v>
      </c>
      <c r="CI35" s="74">
        <v>0</v>
      </c>
      <c r="CJ35" s="74">
        <v>0</v>
      </c>
      <c r="CK35" s="54">
        <v>0</v>
      </c>
      <c r="CL35" s="74">
        <v>0</v>
      </c>
      <c r="CM35" s="74">
        <v>0</v>
      </c>
      <c r="CN35" s="74">
        <v>0</v>
      </c>
      <c r="CO35" s="74">
        <v>0</v>
      </c>
      <c r="CP35" s="74">
        <v>0</v>
      </c>
      <c r="CQ35" s="54">
        <v>0</v>
      </c>
      <c r="CR35" s="74">
        <v>0</v>
      </c>
      <c r="CS35" s="74">
        <v>0</v>
      </c>
      <c r="CT35" s="74">
        <v>0</v>
      </c>
      <c r="CU35" s="74">
        <v>0</v>
      </c>
      <c r="CV35" s="74">
        <v>10688219</v>
      </c>
      <c r="CW35" s="54">
        <v>3501048</v>
      </c>
      <c r="CX35" s="54">
        <v>0</v>
      </c>
      <c r="CY35" s="54">
        <v>42299</v>
      </c>
      <c r="CZ35" s="54">
        <v>10037706</v>
      </c>
      <c r="DA35" s="54">
        <v>24269272</v>
      </c>
      <c r="DB35" s="54">
        <v>1050000</v>
      </c>
      <c r="DC35" s="54">
        <v>375000</v>
      </c>
      <c r="DD35" s="54">
        <v>37500</v>
      </c>
      <c r="DE35" s="54">
        <v>37500</v>
      </c>
      <c r="DF35" s="54">
        <v>0</v>
      </c>
      <c r="DG35" s="54">
        <v>1500000</v>
      </c>
      <c r="DH35" s="54">
        <v>1225863</v>
      </c>
      <c r="DI35" s="74">
        <v>218797</v>
      </c>
      <c r="DJ35" s="74">
        <v>77116</v>
      </c>
      <c r="DK35" s="74">
        <v>93914</v>
      </c>
      <c r="DL35" s="74">
        <v>59893</v>
      </c>
      <c r="DM35" s="65">
        <v>1675583</v>
      </c>
      <c r="DN35" s="74">
        <v>2346279</v>
      </c>
      <c r="DO35" s="74">
        <v>1237957</v>
      </c>
      <c r="DP35" s="74">
        <v>83796</v>
      </c>
      <c r="DQ35" s="74">
        <v>83796</v>
      </c>
      <c r="DR35" s="74">
        <v>3850076</v>
      </c>
      <c r="DS35" s="65">
        <v>7601904</v>
      </c>
      <c r="DT35" s="74">
        <v>150442</v>
      </c>
      <c r="DU35" s="74">
        <v>131472</v>
      </c>
      <c r="DV35" s="54">
        <v>68100</v>
      </c>
      <c r="DW35" s="54">
        <v>874474</v>
      </c>
      <c r="DX35" s="54">
        <v>237502</v>
      </c>
      <c r="DY35" s="54">
        <v>1461990</v>
      </c>
      <c r="DZ35" s="54">
        <v>597963</v>
      </c>
      <c r="EA35" s="74">
        <v>119595</v>
      </c>
      <c r="EB35" s="74">
        <v>48213</v>
      </c>
      <c r="EC35" s="74">
        <v>253683</v>
      </c>
      <c r="ED35" s="74">
        <v>1253632</v>
      </c>
      <c r="EE35" s="74">
        <v>2273086</v>
      </c>
      <c r="EF35" s="74">
        <v>652612</v>
      </c>
      <c r="EG35" s="74">
        <v>5235</v>
      </c>
      <c r="EH35" s="74">
        <v>6105</v>
      </c>
      <c r="EI35" s="74">
        <v>63567</v>
      </c>
      <c r="EJ35" s="74">
        <v>2789482</v>
      </c>
      <c r="EK35" s="74">
        <v>3517001</v>
      </c>
      <c r="EL35" s="74">
        <v>44656833</v>
      </c>
      <c r="EM35" s="54">
        <v>8326025</v>
      </c>
      <c r="EN35" s="74">
        <v>711337</v>
      </c>
      <c r="EO35" s="74">
        <v>3124847</v>
      </c>
      <c r="EP35" s="74">
        <v>36534519</v>
      </c>
      <c r="EQ35" s="74">
        <v>93353561</v>
      </c>
      <c r="ER35" s="74">
        <v>2487628</v>
      </c>
      <c r="ES35" s="54">
        <v>424522</v>
      </c>
      <c r="ET35" s="65">
        <v>327133</v>
      </c>
      <c r="EU35" s="65">
        <v>5672976</v>
      </c>
      <c r="EV35" s="65">
        <v>450313</v>
      </c>
      <c r="EW35" s="65">
        <v>9362572</v>
      </c>
      <c r="EX35" s="65">
        <v>1751813</v>
      </c>
      <c r="EY35" s="54">
        <v>411000</v>
      </c>
      <c r="EZ35" s="74">
        <v>43700</v>
      </c>
      <c r="FA35" s="74">
        <v>1256</v>
      </c>
      <c r="FB35" s="74">
        <v>0</v>
      </c>
      <c r="FC35" s="74">
        <v>2207769</v>
      </c>
      <c r="FD35" s="74">
        <v>7721588</v>
      </c>
      <c r="FE35" s="54">
        <v>1754132</v>
      </c>
      <c r="FF35" s="74">
        <v>1276719</v>
      </c>
      <c r="FG35" s="74">
        <v>4255196</v>
      </c>
      <c r="FH35" s="74">
        <v>0</v>
      </c>
      <c r="FI35" s="74">
        <v>15007635</v>
      </c>
      <c r="FJ35" s="74">
        <v>150000</v>
      </c>
      <c r="FK35" s="54">
        <v>300000</v>
      </c>
      <c r="FL35" s="65">
        <v>0</v>
      </c>
      <c r="FM35" s="65">
        <v>0</v>
      </c>
      <c r="FN35" s="65">
        <v>0</v>
      </c>
      <c r="FO35" s="65">
        <v>450000</v>
      </c>
      <c r="FP35" s="65">
        <v>1585662</v>
      </c>
      <c r="FQ35" s="54">
        <v>298726</v>
      </c>
      <c r="FR35" s="74">
        <v>174243</v>
      </c>
      <c r="FS35" s="74">
        <v>218219</v>
      </c>
      <c r="FT35" s="74">
        <v>11281572</v>
      </c>
      <c r="FU35" s="74">
        <v>13558422</v>
      </c>
      <c r="FV35" s="76">
        <v>0</v>
      </c>
      <c r="FW35" s="54">
        <v>0</v>
      </c>
      <c r="FX35" s="54">
        <v>0</v>
      </c>
      <c r="FY35" s="54">
        <v>0</v>
      </c>
      <c r="FZ35" s="54">
        <v>0</v>
      </c>
      <c r="GA35" s="54">
        <v>0</v>
      </c>
      <c r="GB35" s="54">
        <v>0</v>
      </c>
      <c r="GC35" s="54">
        <v>901250</v>
      </c>
      <c r="GD35" s="54">
        <v>0</v>
      </c>
      <c r="GE35" s="54">
        <v>0</v>
      </c>
      <c r="GF35" s="54">
        <v>0</v>
      </c>
      <c r="GG35" s="54">
        <v>901250</v>
      </c>
      <c r="GH35" s="54">
        <v>307226</v>
      </c>
      <c r="GI35" s="74">
        <v>147593</v>
      </c>
      <c r="GJ35" s="74">
        <v>86514</v>
      </c>
      <c r="GK35" s="74">
        <v>390656</v>
      </c>
      <c r="GL35" s="76">
        <v>0</v>
      </c>
      <c r="GM35" s="74">
        <v>931989</v>
      </c>
      <c r="GN35" s="74">
        <v>1799053</v>
      </c>
      <c r="GO35" s="54">
        <v>631727</v>
      </c>
      <c r="GP35" s="54">
        <v>594821</v>
      </c>
      <c r="GQ35" s="54">
        <v>2037493</v>
      </c>
      <c r="GR35" s="54">
        <v>0</v>
      </c>
      <c r="GS35" s="54">
        <v>5063094</v>
      </c>
      <c r="GT35" s="54">
        <v>429655</v>
      </c>
      <c r="GU35" s="74">
        <v>113361</v>
      </c>
      <c r="GV35" s="74">
        <v>31560</v>
      </c>
      <c r="GW35" s="74">
        <v>624890</v>
      </c>
      <c r="GX35" s="74">
        <v>0</v>
      </c>
      <c r="GY35" s="74">
        <v>1199466</v>
      </c>
      <c r="GZ35" s="74">
        <v>2138085</v>
      </c>
      <c r="HA35" s="74">
        <v>464155</v>
      </c>
      <c r="HB35" s="77">
        <v>307167</v>
      </c>
      <c r="HC35" s="74">
        <v>431764</v>
      </c>
      <c r="HD35" s="74">
        <v>0</v>
      </c>
      <c r="HE35" s="74">
        <v>3341171</v>
      </c>
      <c r="HF35" s="74">
        <v>100871</v>
      </c>
      <c r="HG35" s="74">
        <v>15907</v>
      </c>
      <c r="HH35" s="74">
        <v>12274</v>
      </c>
      <c r="HI35" s="74">
        <v>42632</v>
      </c>
      <c r="HJ35" s="74">
        <v>3032839</v>
      </c>
      <c r="HK35" s="74">
        <v>3204523</v>
      </c>
      <c r="HL35" s="74">
        <v>152203</v>
      </c>
      <c r="HM35" s="54">
        <v>84303</v>
      </c>
      <c r="HN35" s="54">
        <v>48932</v>
      </c>
      <c r="HO35" s="54">
        <v>519321</v>
      </c>
      <c r="HP35" s="54">
        <v>36917</v>
      </c>
      <c r="HQ35" s="54">
        <v>841676</v>
      </c>
      <c r="HR35" s="54">
        <v>472487</v>
      </c>
      <c r="HS35" s="77">
        <v>0</v>
      </c>
      <c r="HT35" s="74">
        <v>0</v>
      </c>
      <c r="HU35" s="74">
        <v>785162</v>
      </c>
      <c r="HV35" s="74">
        <v>20605828</v>
      </c>
      <c r="HW35" s="74">
        <v>21863477</v>
      </c>
      <c r="HX35" s="74">
        <v>0</v>
      </c>
      <c r="HY35" s="74">
        <v>0</v>
      </c>
      <c r="HZ35" s="74">
        <v>0</v>
      </c>
      <c r="IA35" s="74">
        <v>0</v>
      </c>
      <c r="IB35" s="74">
        <v>631902</v>
      </c>
      <c r="IC35" s="65">
        <v>631902</v>
      </c>
      <c r="ID35" s="74">
        <v>0</v>
      </c>
      <c r="IE35" s="74">
        <v>0</v>
      </c>
      <c r="IF35" s="74">
        <v>0</v>
      </c>
      <c r="IG35" s="74">
        <v>0</v>
      </c>
      <c r="IH35" s="74">
        <v>0</v>
      </c>
      <c r="II35" s="74">
        <v>0</v>
      </c>
      <c r="IJ35" s="74">
        <v>157601</v>
      </c>
      <c r="IK35" s="65">
        <v>28383</v>
      </c>
      <c r="IL35" s="65">
        <v>49520</v>
      </c>
      <c r="IM35" s="65">
        <v>766854</v>
      </c>
      <c r="IN35" s="65">
        <v>235564</v>
      </c>
      <c r="IO35" s="65">
        <v>1237922</v>
      </c>
      <c r="IP35" s="65">
        <v>1720</v>
      </c>
      <c r="IQ35" s="74">
        <v>3385</v>
      </c>
      <c r="IR35" s="74">
        <v>724</v>
      </c>
      <c r="IS35" s="74">
        <v>21034</v>
      </c>
      <c r="IT35" s="74">
        <v>123555</v>
      </c>
      <c r="IU35" s="74">
        <v>150418</v>
      </c>
      <c r="IV35" s="76">
        <v>1405213</v>
      </c>
      <c r="IW35" s="74">
        <v>337313</v>
      </c>
      <c r="IX35" s="74">
        <v>161961</v>
      </c>
      <c r="IY35" s="74">
        <v>748962</v>
      </c>
      <c r="IZ35" s="74">
        <v>5450751</v>
      </c>
      <c r="JA35" s="74">
        <v>8104200</v>
      </c>
      <c r="JB35" s="76">
        <v>20660805</v>
      </c>
      <c r="JC35" s="74">
        <v>5915757</v>
      </c>
      <c r="JD35" s="74">
        <v>3115268</v>
      </c>
      <c r="JE35" s="74">
        <v>16516415</v>
      </c>
      <c r="JF35" s="74">
        <v>41849241</v>
      </c>
      <c r="JG35" s="74">
        <v>88057486</v>
      </c>
      <c r="JH35" s="74">
        <v>0</v>
      </c>
      <c r="JI35" s="54">
        <v>0</v>
      </c>
      <c r="JJ35" s="54">
        <v>0</v>
      </c>
      <c r="JK35" s="54">
        <v>0</v>
      </c>
      <c r="JL35" s="54">
        <v>0</v>
      </c>
      <c r="JM35" s="54">
        <v>0</v>
      </c>
      <c r="JN35" s="76">
        <v>20660805</v>
      </c>
      <c r="JO35" s="74">
        <v>5915757</v>
      </c>
      <c r="JP35" s="74">
        <v>3115268</v>
      </c>
      <c r="JQ35" s="74">
        <v>16516415</v>
      </c>
      <c r="JR35" s="74">
        <v>41849241</v>
      </c>
      <c r="JS35" s="74">
        <v>88057486</v>
      </c>
      <c r="JU35" s="5">
        <f t="shared" si="80"/>
        <v>23180905</v>
      </c>
      <c r="JV35" s="26">
        <f t="shared" si="81"/>
        <v>0</v>
      </c>
      <c r="JW35" s="5">
        <f t="shared" si="82"/>
        <v>564680</v>
      </c>
      <c r="JX35" s="26">
        <f t="shared" si="83"/>
        <v>0</v>
      </c>
      <c r="JY35" s="5">
        <f t="shared" si="84"/>
        <v>237000</v>
      </c>
      <c r="JZ35" s="26">
        <f t="shared" si="85"/>
        <v>0</v>
      </c>
      <c r="KA35" s="5">
        <f t="shared" si="86"/>
        <v>26622140</v>
      </c>
      <c r="KB35" s="26">
        <f t="shared" si="87"/>
        <v>0</v>
      </c>
      <c r="KC35" s="5">
        <f t="shared" si="88"/>
        <v>450000</v>
      </c>
      <c r="KD35" s="26">
        <f t="shared" si="89"/>
        <v>0</v>
      </c>
      <c r="KE35" s="5">
        <f t="shared" si="90"/>
        <v>0</v>
      </c>
      <c r="KF35" s="26">
        <f t="shared" si="91"/>
        <v>0</v>
      </c>
      <c r="KG35" s="5">
        <f t="shared" si="92"/>
        <v>0</v>
      </c>
      <c r="KH35" s="26">
        <f t="shared" si="93"/>
        <v>0</v>
      </c>
      <c r="KI35" s="5">
        <f t="shared" si="94"/>
        <v>0</v>
      </c>
      <c r="KJ35" s="26">
        <f t="shared" si="95"/>
        <v>0</v>
      </c>
      <c r="KK35" s="5">
        <f t="shared" si="96"/>
        <v>24269272</v>
      </c>
      <c r="KL35" s="26">
        <f t="shared" si="97"/>
        <v>0</v>
      </c>
      <c r="KM35" s="5">
        <f t="shared" si="98"/>
        <v>1500000</v>
      </c>
      <c r="KN35" s="26">
        <f t="shared" si="99"/>
        <v>0</v>
      </c>
      <c r="KO35" s="5">
        <f t="shared" si="100"/>
        <v>1675583</v>
      </c>
      <c r="KP35" s="26">
        <f t="shared" si="101"/>
        <v>0</v>
      </c>
      <c r="KQ35" s="5">
        <f t="shared" si="102"/>
        <v>7601904</v>
      </c>
      <c r="KR35" s="26">
        <f t="shared" si="103"/>
        <v>0</v>
      </c>
      <c r="KS35" s="5">
        <f t="shared" si="104"/>
        <v>1461990</v>
      </c>
      <c r="KT35" s="26">
        <f t="shared" si="105"/>
        <v>0</v>
      </c>
      <c r="KU35" s="5">
        <f t="shared" si="106"/>
        <v>2273086</v>
      </c>
      <c r="KV35" s="26">
        <f t="shared" si="107"/>
        <v>0</v>
      </c>
      <c r="KW35" s="5">
        <f t="shared" si="108"/>
        <v>3517001</v>
      </c>
      <c r="KX35" s="26">
        <f t="shared" si="109"/>
        <v>0</v>
      </c>
      <c r="KY35" s="5">
        <f t="shared" si="110"/>
        <v>93353561</v>
      </c>
      <c r="KZ35" s="26">
        <f t="shared" si="111"/>
        <v>0</v>
      </c>
      <c r="LA35" s="5">
        <f t="shared" si="112"/>
        <v>9362572</v>
      </c>
      <c r="LB35" s="26">
        <f t="shared" si="113"/>
        <v>0</v>
      </c>
      <c r="LC35" s="5">
        <f t="shared" si="114"/>
        <v>2207769</v>
      </c>
      <c r="LD35" s="26">
        <f t="shared" si="115"/>
        <v>0</v>
      </c>
      <c r="LE35" s="5">
        <f t="shared" si="116"/>
        <v>15007635</v>
      </c>
      <c r="LF35" s="26">
        <f t="shared" si="117"/>
        <v>0</v>
      </c>
      <c r="LG35" s="5">
        <f t="shared" si="118"/>
        <v>450000</v>
      </c>
      <c r="LH35" s="26">
        <f t="shared" si="119"/>
        <v>0</v>
      </c>
      <c r="LI35" s="5">
        <f t="shared" si="120"/>
        <v>13558422</v>
      </c>
      <c r="LJ35" s="26">
        <f t="shared" si="121"/>
        <v>0</v>
      </c>
      <c r="LK35" s="5">
        <f t="shared" si="122"/>
        <v>0</v>
      </c>
      <c r="LL35" s="26">
        <f t="shared" si="123"/>
        <v>0</v>
      </c>
      <c r="LM35" s="5">
        <f t="shared" si="124"/>
        <v>901250</v>
      </c>
      <c r="LN35" s="26">
        <f t="shared" si="125"/>
        <v>0</v>
      </c>
      <c r="LO35" s="5">
        <f t="shared" si="126"/>
        <v>931989</v>
      </c>
      <c r="LP35" s="26">
        <f t="shared" si="127"/>
        <v>0</v>
      </c>
      <c r="LQ35" s="5">
        <f t="shared" si="128"/>
        <v>5063094</v>
      </c>
      <c r="LR35" s="26">
        <f t="shared" si="129"/>
        <v>0</v>
      </c>
      <c r="LS35" s="5">
        <f t="shared" si="130"/>
        <v>1199466</v>
      </c>
      <c r="LT35" s="26">
        <f t="shared" si="131"/>
        <v>0</v>
      </c>
      <c r="LU35" s="5">
        <f t="shared" si="132"/>
        <v>3341171</v>
      </c>
      <c r="LV35" s="26">
        <f t="shared" si="133"/>
        <v>0</v>
      </c>
      <c r="LW35" s="5">
        <f t="shared" si="134"/>
        <v>3204523</v>
      </c>
      <c r="LX35" s="26">
        <f t="shared" si="135"/>
        <v>0</v>
      </c>
      <c r="LY35" s="5">
        <f t="shared" si="136"/>
        <v>841676</v>
      </c>
      <c r="LZ35" s="26">
        <f t="shared" si="137"/>
        <v>0</v>
      </c>
      <c r="MA35" s="5">
        <f t="shared" si="138"/>
        <v>21863477</v>
      </c>
      <c r="MB35" s="26">
        <f t="shared" si="139"/>
        <v>0</v>
      </c>
      <c r="MC35" s="5">
        <f t="shared" si="140"/>
        <v>631902</v>
      </c>
      <c r="MD35" s="26">
        <f t="shared" si="141"/>
        <v>0</v>
      </c>
      <c r="ME35" s="5">
        <f t="shared" si="142"/>
        <v>0</v>
      </c>
      <c r="MF35" s="26">
        <f t="shared" si="143"/>
        <v>0</v>
      </c>
      <c r="MG35" s="5">
        <f t="shared" si="144"/>
        <v>1237922</v>
      </c>
      <c r="MH35" s="26">
        <f t="shared" si="145"/>
        <v>0</v>
      </c>
      <c r="MI35" s="5">
        <f t="shared" si="146"/>
        <v>150418</v>
      </c>
      <c r="MJ35" s="26">
        <f t="shared" si="147"/>
        <v>0</v>
      </c>
      <c r="MK35" s="5">
        <f t="shared" si="148"/>
        <v>8104200</v>
      </c>
      <c r="ML35" s="26">
        <f t="shared" si="149"/>
        <v>0</v>
      </c>
      <c r="MM35" s="5">
        <f t="shared" si="150"/>
        <v>88057486</v>
      </c>
      <c r="MN35" s="26">
        <f t="shared" si="151"/>
        <v>0</v>
      </c>
      <c r="MO35" s="5">
        <f t="shared" si="152"/>
        <v>0</v>
      </c>
      <c r="MP35" s="26">
        <f t="shared" si="153"/>
        <v>0</v>
      </c>
      <c r="MQ35" s="5">
        <f t="shared" si="154"/>
        <v>88057486</v>
      </c>
      <c r="MR35" s="26">
        <f t="shared" si="155"/>
        <v>0</v>
      </c>
      <c r="MT35" s="5">
        <f t="shared" si="76"/>
        <v>0</v>
      </c>
      <c r="MV35" s="4">
        <f t="shared" si="77"/>
        <v>0</v>
      </c>
    </row>
    <row r="36" spans="1:360" x14ac:dyDescent="0.15">
      <c r="A36" s="18" t="s">
        <v>317</v>
      </c>
      <c r="B36" s="25" t="s">
        <v>458</v>
      </c>
      <c r="C36" s="105">
        <v>153603</v>
      </c>
      <c r="D36" s="105">
        <v>2011</v>
      </c>
      <c r="E36" s="106">
        <v>1</v>
      </c>
      <c r="F36" s="106">
        <v>2</v>
      </c>
      <c r="G36" s="107">
        <v>12141</v>
      </c>
      <c r="H36" s="107">
        <v>9533</v>
      </c>
      <c r="I36" s="108">
        <v>938461378</v>
      </c>
      <c r="J36" s="108"/>
      <c r="K36" s="108">
        <v>5122626</v>
      </c>
      <c r="L36" s="108"/>
      <c r="M36" s="108">
        <v>3437738</v>
      </c>
      <c r="N36" s="108"/>
      <c r="O36" s="108">
        <v>453451358</v>
      </c>
      <c r="P36" s="108"/>
      <c r="Q36" s="108">
        <v>442407280</v>
      </c>
      <c r="R36" s="108"/>
      <c r="S36" s="108">
        <v>7171380121</v>
      </c>
      <c r="T36" s="108"/>
      <c r="U36" s="108">
        <v>15507</v>
      </c>
      <c r="V36" s="108"/>
      <c r="W36" s="108">
        <v>27379</v>
      </c>
      <c r="X36" s="108"/>
      <c r="Y36" s="108">
        <v>18520</v>
      </c>
      <c r="Z36" s="108"/>
      <c r="AA36" s="108">
        <v>30390</v>
      </c>
      <c r="AB36" s="108"/>
      <c r="AC36" s="129">
        <v>7</v>
      </c>
      <c r="AD36" s="129">
        <v>11</v>
      </c>
      <c r="AE36" s="129">
        <v>0</v>
      </c>
      <c r="AF36" s="26">
        <v>347174</v>
      </c>
      <c r="AG36" s="26">
        <v>298985</v>
      </c>
      <c r="AH36" s="26">
        <v>76772</v>
      </c>
      <c r="AI36" s="26">
        <v>252745</v>
      </c>
      <c r="AJ36" s="26">
        <v>528333</v>
      </c>
      <c r="AK36" s="36">
        <v>4.5</v>
      </c>
      <c r="AL36" s="26">
        <v>475500</v>
      </c>
      <c r="AM36" s="36">
        <v>5</v>
      </c>
      <c r="AN36" s="26" t="s">
        <v>486</v>
      </c>
      <c r="AO36" s="36">
        <v>8.5</v>
      </c>
      <c r="AP36" s="26">
        <v>164555.78</v>
      </c>
      <c r="AQ36" s="36">
        <v>9</v>
      </c>
      <c r="AR36" s="26" t="s">
        <v>487</v>
      </c>
      <c r="AS36" s="36">
        <v>17.5</v>
      </c>
      <c r="AT36" s="26">
        <v>148766.20000000001</v>
      </c>
      <c r="AU36" s="36">
        <v>20</v>
      </c>
      <c r="AV36" s="26">
        <v>73389.539999999994</v>
      </c>
      <c r="AW36" s="36" t="s">
        <v>488</v>
      </c>
      <c r="AX36" s="26">
        <v>64215.85</v>
      </c>
      <c r="AY36" s="36">
        <v>20</v>
      </c>
      <c r="AZ36" s="61">
        <v>8656120</v>
      </c>
      <c r="BA36" s="61">
        <v>2334337</v>
      </c>
      <c r="BB36" s="61">
        <v>536006</v>
      </c>
      <c r="BC36" s="61">
        <v>158031</v>
      </c>
      <c r="BD36" s="61">
        <v>0</v>
      </c>
      <c r="BE36" s="61">
        <v>11684494</v>
      </c>
      <c r="BF36" s="61">
        <v>0</v>
      </c>
      <c r="BG36" s="61">
        <v>0</v>
      </c>
      <c r="BH36" s="61">
        <v>0</v>
      </c>
      <c r="BI36" s="61">
        <v>0</v>
      </c>
      <c r="BJ36" s="61">
        <v>1689692</v>
      </c>
      <c r="BK36" s="61">
        <v>1689692</v>
      </c>
      <c r="BL36" s="61">
        <v>1501813</v>
      </c>
      <c r="BM36" s="61">
        <v>0</v>
      </c>
      <c r="BN36" s="61">
        <v>0</v>
      </c>
      <c r="BO36" s="61">
        <v>5000</v>
      </c>
      <c r="BP36" s="61">
        <v>0</v>
      </c>
      <c r="BQ36" s="61">
        <v>1506813</v>
      </c>
      <c r="BR36" s="61">
        <v>2714595</v>
      </c>
      <c r="BS36" s="61">
        <v>624074</v>
      </c>
      <c r="BT36" s="61">
        <v>418911</v>
      </c>
      <c r="BU36" s="61">
        <v>170028</v>
      </c>
      <c r="BV36" s="61">
        <v>7663417</v>
      </c>
      <c r="BW36" s="61">
        <v>11591025</v>
      </c>
      <c r="BX36" s="54">
        <v>0</v>
      </c>
      <c r="BY36" s="54">
        <v>0</v>
      </c>
      <c r="BZ36" s="54">
        <v>0</v>
      </c>
      <c r="CA36" s="54">
        <v>0</v>
      </c>
      <c r="CB36" s="54">
        <v>0</v>
      </c>
      <c r="CC36" s="54">
        <v>0</v>
      </c>
      <c r="CD36" s="54">
        <v>0</v>
      </c>
      <c r="CE36" s="54">
        <v>0</v>
      </c>
      <c r="CF36" s="54">
        <v>0</v>
      </c>
      <c r="CG36" s="54">
        <v>0</v>
      </c>
      <c r="CH36" s="54">
        <v>0</v>
      </c>
      <c r="CI36" s="54">
        <v>0</v>
      </c>
      <c r="CJ36" s="61">
        <v>0</v>
      </c>
      <c r="CK36" s="61">
        <v>0</v>
      </c>
      <c r="CL36" s="61">
        <v>105726</v>
      </c>
      <c r="CM36" s="61">
        <v>1493698</v>
      </c>
      <c r="CN36" s="61">
        <v>450000</v>
      </c>
      <c r="CO36" s="61">
        <v>2049424</v>
      </c>
      <c r="CP36" s="61">
        <v>0</v>
      </c>
      <c r="CQ36" s="61">
        <v>0</v>
      </c>
      <c r="CR36" s="61">
        <v>0</v>
      </c>
      <c r="CS36" s="61">
        <v>0</v>
      </c>
      <c r="CT36" s="61">
        <v>0</v>
      </c>
      <c r="CU36" s="61">
        <v>0</v>
      </c>
      <c r="CV36" s="61">
        <v>8189939</v>
      </c>
      <c r="CW36" s="61">
        <v>3503679</v>
      </c>
      <c r="CX36" s="61">
        <v>84594</v>
      </c>
      <c r="CY36" s="61">
        <v>171615</v>
      </c>
      <c r="CZ36" s="61">
        <v>1672086</v>
      </c>
      <c r="DA36" s="61">
        <v>13621913</v>
      </c>
      <c r="DB36" s="54">
        <v>0</v>
      </c>
      <c r="DC36" s="54">
        <v>0</v>
      </c>
      <c r="DD36" s="54">
        <v>0</v>
      </c>
      <c r="DE36" s="54">
        <v>0</v>
      </c>
      <c r="DF36" s="54">
        <v>3262651</v>
      </c>
      <c r="DG36" s="54">
        <v>3262651</v>
      </c>
      <c r="DH36" s="61">
        <v>622037</v>
      </c>
      <c r="DI36" s="61">
        <v>125025</v>
      </c>
      <c r="DJ36" s="61">
        <v>47254</v>
      </c>
      <c r="DK36" s="61">
        <v>19000</v>
      </c>
      <c r="DL36" s="61">
        <v>113721</v>
      </c>
      <c r="DM36" s="61">
        <v>927037</v>
      </c>
      <c r="DN36" s="61">
        <v>0</v>
      </c>
      <c r="DO36" s="61">
        <v>0</v>
      </c>
      <c r="DP36" s="61">
        <v>0</v>
      </c>
      <c r="DQ36" s="61">
        <v>0</v>
      </c>
      <c r="DR36" s="61">
        <v>398299</v>
      </c>
      <c r="DS36" s="61">
        <v>398299</v>
      </c>
      <c r="DT36" s="61">
        <v>0</v>
      </c>
      <c r="DU36" s="61">
        <v>0</v>
      </c>
      <c r="DV36" s="61">
        <v>0</v>
      </c>
      <c r="DW36" s="61">
        <v>0</v>
      </c>
      <c r="DX36" s="61">
        <v>0</v>
      </c>
      <c r="DY36" s="61">
        <v>0</v>
      </c>
      <c r="DZ36" s="61">
        <v>0</v>
      </c>
      <c r="EA36" s="61">
        <v>0</v>
      </c>
      <c r="EB36" s="61">
        <v>0</v>
      </c>
      <c r="EC36" s="61">
        <v>2901</v>
      </c>
      <c r="ED36" s="61">
        <v>132909</v>
      </c>
      <c r="EE36" s="61">
        <v>135810</v>
      </c>
      <c r="EF36" s="61">
        <v>178032</v>
      </c>
      <c r="EG36" s="61">
        <v>0</v>
      </c>
      <c r="EH36" s="61">
        <v>0</v>
      </c>
      <c r="EI36" s="61">
        <v>83126</v>
      </c>
      <c r="EJ36" s="61">
        <v>1463306</v>
      </c>
      <c r="EK36" s="61">
        <v>1724464</v>
      </c>
      <c r="EL36" s="61">
        <v>21862536</v>
      </c>
      <c r="EM36" s="61">
        <v>6587115</v>
      </c>
      <c r="EN36" s="61">
        <v>1192491</v>
      </c>
      <c r="EO36" s="61">
        <v>2103399</v>
      </c>
      <c r="EP36" s="61">
        <v>16846081</v>
      </c>
      <c r="EQ36" s="61">
        <v>48591622</v>
      </c>
      <c r="ER36" s="61">
        <v>2316983</v>
      </c>
      <c r="ES36" s="61">
        <v>434340</v>
      </c>
      <c r="ET36" s="61">
        <v>263406</v>
      </c>
      <c r="EU36" s="61">
        <v>3446866</v>
      </c>
      <c r="EV36" s="61">
        <v>237304</v>
      </c>
      <c r="EW36" s="61">
        <v>6698899</v>
      </c>
      <c r="EX36" s="61">
        <v>1100000</v>
      </c>
      <c r="EY36" s="61">
        <v>633870</v>
      </c>
      <c r="EZ36" s="61">
        <v>148925</v>
      </c>
      <c r="FA36" s="61">
        <v>9706</v>
      </c>
      <c r="FB36" s="61">
        <v>0</v>
      </c>
      <c r="FC36" s="61">
        <v>1892501</v>
      </c>
      <c r="FD36" s="61">
        <v>3197603</v>
      </c>
      <c r="FE36" s="61">
        <v>1475938</v>
      </c>
      <c r="FF36" s="61">
        <v>975302</v>
      </c>
      <c r="FG36" s="61">
        <v>2469300</v>
      </c>
      <c r="FH36" s="61">
        <v>0</v>
      </c>
      <c r="FI36" s="61">
        <v>8118143</v>
      </c>
      <c r="FJ36" s="54">
        <v>0</v>
      </c>
      <c r="FK36" s="54">
        <v>0</v>
      </c>
      <c r="FL36" s="54">
        <v>0</v>
      </c>
      <c r="FM36" s="54">
        <v>0</v>
      </c>
      <c r="FN36" s="54">
        <v>0</v>
      </c>
      <c r="FO36" s="54">
        <v>0</v>
      </c>
      <c r="FP36" s="61">
        <v>767955</v>
      </c>
      <c r="FQ36" s="61">
        <v>321181</v>
      </c>
      <c r="FR36" s="61">
        <v>233947</v>
      </c>
      <c r="FS36" s="61">
        <v>144441</v>
      </c>
      <c r="FT36" s="61">
        <v>6240798</v>
      </c>
      <c r="FU36" s="61">
        <v>7708322</v>
      </c>
      <c r="FV36" s="54">
        <v>0</v>
      </c>
      <c r="FW36" s="54">
        <v>0</v>
      </c>
      <c r="FX36" s="54">
        <v>0</v>
      </c>
      <c r="FY36" s="54">
        <v>0</v>
      </c>
      <c r="FZ36" s="54">
        <v>0</v>
      </c>
      <c r="GA36" s="54">
        <v>0</v>
      </c>
      <c r="GB36" s="61">
        <v>0</v>
      </c>
      <c r="GC36" s="61">
        <v>0</v>
      </c>
      <c r="GD36" s="61">
        <v>0</v>
      </c>
      <c r="GE36" s="61">
        <v>0</v>
      </c>
      <c r="GF36" s="61">
        <v>0</v>
      </c>
      <c r="GG36" s="61">
        <v>0</v>
      </c>
      <c r="GH36" s="61">
        <v>448777</v>
      </c>
      <c r="GI36" s="61">
        <v>245905</v>
      </c>
      <c r="GJ36" s="61">
        <v>76747</v>
      </c>
      <c r="GK36" s="61">
        <v>250588</v>
      </c>
      <c r="GL36" s="61">
        <v>0</v>
      </c>
      <c r="GM36" s="61">
        <v>1022017</v>
      </c>
      <c r="GN36" s="61">
        <v>984252</v>
      </c>
      <c r="GO36" s="61">
        <v>481577</v>
      </c>
      <c r="GP36" s="61">
        <v>367984</v>
      </c>
      <c r="GQ36" s="61">
        <v>1323032</v>
      </c>
      <c r="GR36" s="61">
        <v>0</v>
      </c>
      <c r="GS36" s="61">
        <v>3156845</v>
      </c>
      <c r="GT36" s="61">
        <v>569182</v>
      </c>
      <c r="GU36" s="61">
        <v>107878</v>
      </c>
      <c r="GV36" s="61">
        <v>60439</v>
      </c>
      <c r="GW36" s="61">
        <v>324408</v>
      </c>
      <c r="GX36" s="61">
        <v>70601</v>
      </c>
      <c r="GY36" s="61">
        <v>1132508</v>
      </c>
      <c r="GZ36" s="61">
        <v>860228</v>
      </c>
      <c r="HA36" s="61">
        <v>371860</v>
      </c>
      <c r="HB36" s="61">
        <v>312740</v>
      </c>
      <c r="HC36" s="61">
        <v>273251</v>
      </c>
      <c r="HD36" s="61">
        <v>208660</v>
      </c>
      <c r="HE36" s="61">
        <v>2026739</v>
      </c>
      <c r="HF36" s="61">
        <v>157807</v>
      </c>
      <c r="HG36" s="61">
        <v>119408</v>
      </c>
      <c r="HH36" s="61">
        <v>27894</v>
      </c>
      <c r="HI36" s="61">
        <v>19082</v>
      </c>
      <c r="HJ36" s="61">
        <v>921332</v>
      </c>
      <c r="HK36" s="61">
        <v>1245523</v>
      </c>
      <c r="HL36" s="61">
        <v>0</v>
      </c>
      <c r="HM36" s="61">
        <v>0</v>
      </c>
      <c r="HN36" s="61">
        <v>0</v>
      </c>
      <c r="HO36" s="61">
        <v>0</v>
      </c>
      <c r="HP36" s="61">
        <v>0</v>
      </c>
      <c r="HQ36" s="61">
        <v>0</v>
      </c>
      <c r="HR36" s="61">
        <v>1621121</v>
      </c>
      <c r="HS36" s="61">
        <v>398460</v>
      </c>
      <c r="HT36" s="61">
        <v>398460</v>
      </c>
      <c r="HU36" s="61">
        <v>142240</v>
      </c>
      <c r="HV36" s="61">
        <v>6929968</v>
      </c>
      <c r="HW36" s="61">
        <v>9490249</v>
      </c>
      <c r="HX36" s="61">
        <v>0</v>
      </c>
      <c r="HY36" s="61">
        <v>0</v>
      </c>
      <c r="HZ36" s="61">
        <v>0</v>
      </c>
      <c r="IA36" s="61">
        <v>0</v>
      </c>
      <c r="IB36" s="61">
        <v>139424</v>
      </c>
      <c r="IC36" s="61">
        <v>139424</v>
      </c>
      <c r="ID36" s="61">
        <v>0</v>
      </c>
      <c r="IE36" s="61">
        <v>0</v>
      </c>
      <c r="IF36" s="61">
        <v>0</v>
      </c>
      <c r="IG36" s="61">
        <v>0</v>
      </c>
      <c r="IH36" s="61">
        <v>0</v>
      </c>
      <c r="II36" s="61">
        <v>0</v>
      </c>
      <c r="IJ36" s="61">
        <v>122106</v>
      </c>
      <c r="IK36" s="61">
        <v>12874</v>
      </c>
      <c r="IL36" s="61">
        <v>9595</v>
      </c>
      <c r="IM36" s="61">
        <v>292797</v>
      </c>
      <c r="IN36" s="61">
        <v>19228</v>
      </c>
      <c r="IO36" s="61">
        <v>456600</v>
      </c>
      <c r="IP36" s="61">
        <v>2308</v>
      </c>
      <c r="IQ36" s="61">
        <v>1608</v>
      </c>
      <c r="IR36" s="61">
        <v>945</v>
      </c>
      <c r="IS36" s="61">
        <v>17626</v>
      </c>
      <c r="IT36" s="61">
        <v>1407955</v>
      </c>
      <c r="IU36" s="61">
        <v>1430442</v>
      </c>
      <c r="IV36" s="61">
        <v>364995</v>
      </c>
      <c r="IW36" s="61">
        <v>11744</v>
      </c>
      <c r="IX36" s="61">
        <v>83467</v>
      </c>
      <c r="IY36" s="61">
        <v>199754</v>
      </c>
      <c r="IZ36" s="61">
        <v>3291757</v>
      </c>
      <c r="JA36" s="61">
        <v>3951717</v>
      </c>
      <c r="JB36" s="61">
        <v>12513317</v>
      </c>
      <c r="JC36" s="61">
        <v>4616643</v>
      </c>
      <c r="JD36" s="61">
        <v>2959851</v>
      </c>
      <c r="JE36" s="61">
        <v>8913091</v>
      </c>
      <c r="JF36" s="61">
        <v>19467027</v>
      </c>
      <c r="JG36" s="61">
        <v>48469929</v>
      </c>
      <c r="JH36" s="54">
        <v>0</v>
      </c>
      <c r="JI36" s="54">
        <v>0</v>
      </c>
      <c r="JJ36" s="54">
        <v>0</v>
      </c>
      <c r="JK36" s="54">
        <v>0</v>
      </c>
      <c r="JL36" s="54">
        <v>0</v>
      </c>
      <c r="JM36" s="54">
        <v>0</v>
      </c>
      <c r="JN36" s="61">
        <v>12513317</v>
      </c>
      <c r="JO36" s="61">
        <v>4616643</v>
      </c>
      <c r="JP36" s="61">
        <v>2959851</v>
      </c>
      <c r="JQ36" s="61">
        <v>8913091</v>
      </c>
      <c r="JR36" s="61">
        <v>19467027</v>
      </c>
      <c r="JS36" s="61">
        <v>48469929</v>
      </c>
      <c r="JU36" s="5">
        <f t="shared" si="80"/>
        <v>11684494</v>
      </c>
      <c r="JV36" s="26">
        <f t="shared" si="81"/>
        <v>0</v>
      </c>
      <c r="JW36" s="5">
        <f t="shared" si="82"/>
        <v>1689692</v>
      </c>
      <c r="JX36" s="26">
        <f t="shared" si="83"/>
        <v>0</v>
      </c>
      <c r="JY36" s="5">
        <f t="shared" si="84"/>
        <v>1506813</v>
      </c>
      <c r="JZ36" s="26">
        <f t="shared" si="85"/>
        <v>0</v>
      </c>
      <c r="KA36" s="5">
        <f t="shared" si="86"/>
        <v>11591025</v>
      </c>
      <c r="KB36" s="26">
        <f t="shared" si="87"/>
        <v>0</v>
      </c>
      <c r="KC36" s="5">
        <f t="shared" si="88"/>
        <v>0</v>
      </c>
      <c r="KD36" s="26">
        <f t="shared" si="89"/>
        <v>0</v>
      </c>
      <c r="KE36" s="5">
        <f t="shared" si="90"/>
        <v>0</v>
      </c>
      <c r="KF36" s="26">
        <f t="shared" si="91"/>
        <v>0</v>
      </c>
      <c r="KG36" s="5">
        <f t="shared" si="92"/>
        <v>2049424</v>
      </c>
      <c r="KH36" s="26">
        <f t="shared" si="93"/>
        <v>0</v>
      </c>
      <c r="KI36" s="5">
        <f t="shared" si="94"/>
        <v>0</v>
      </c>
      <c r="KJ36" s="26">
        <f t="shared" si="95"/>
        <v>0</v>
      </c>
      <c r="KK36" s="5">
        <f t="shared" si="96"/>
        <v>13621913</v>
      </c>
      <c r="KL36" s="26">
        <f t="shared" si="97"/>
        <v>0</v>
      </c>
      <c r="KM36" s="5">
        <f t="shared" si="98"/>
        <v>3262651</v>
      </c>
      <c r="KN36" s="26">
        <f t="shared" si="99"/>
        <v>0</v>
      </c>
      <c r="KO36" s="5">
        <f t="shared" si="100"/>
        <v>927037</v>
      </c>
      <c r="KP36" s="26">
        <f t="shared" si="101"/>
        <v>0</v>
      </c>
      <c r="KQ36" s="5">
        <f t="shared" si="102"/>
        <v>398299</v>
      </c>
      <c r="KR36" s="26">
        <f t="shared" si="103"/>
        <v>0</v>
      </c>
      <c r="KS36" s="5">
        <f t="shared" si="104"/>
        <v>0</v>
      </c>
      <c r="KT36" s="26">
        <f t="shared" si="105"/>
        <v>0</v>
      </c>
      <c r="KU36" s="5">
        <f t="shared" si="106"/>
        <v>135810</v>
      </c>
      <c r="KV36" s="26">
        <f t="shared" si="107"/>
        <v>0</v>
      </c>
      <c r="KW36" s="5">
        <f t="shared" si="108"/>
        <v>1724464</v>
      </c>
      <c r="KX36" s="26">
        <f t="shared" si="109"/>
        <v>0</v>
      </c>
      <c r="KY36" s="5">
        <f t="shared" si="110"/>
        <v>48591622</v>
      </c>
      <c r="KZ36" s="26">
        <f t="shared" si="111"/>
        <v>0</v>
      </c>
      <c r="LA36" s="5">
        <f t="shared" si="112"/>
        <v>6698899</v>
      </c>
      <c r="LB36" s="26">
        <f t="shared" si="113"/>
        <v>0</v>
      </c>
      <c r="LC36" s="5">
        <f t="shared" si="114"/>
        <v>1892501</v>
      </c>
      <c r="LD36" s="26">
        <f t="shared" si="115"/>
        <v>0</v>
      </c>
      <c r="LE36" s="5">
        <f t="shared" si="116"/>
        <v>8118143</v>
      </c>
      <c r="LF36" s="26">
        <f t="shared" si="117"/>
        <v>0</v>
      </c>
      <c r="LG36" s="5">
        <f t="shared" si="118"/>
        <v>0</v>
      </c>
      <c r="LH36" s="26">
        <f t="shared" si="119"/>
        <v>0</v>
      </c>
      <c r="LI36" s="5">
        <f t="shared" si="120"/>
        <v>7708322</v>
      </c>
      <c r="LJ36" s="26">
        <f t="shared" si="121"/>
        <v>0</v>
      </c>
      <c r="LK36" s="5">
        <f t="shared" si="122"/>
        <v>0</v>
      </c>
      <c r="LL36" s="26">
        <f t="shared" si="123"/>
        <v>0</v>
      </c>
      <c r="LM36" s="5">
        <f t="shared" si="124"/>
        <v>0</v>
      </c>
      <c r="LN36" s="26">
        <f t="shared" si="125"/>
        <v>0</v>
      </c>
      <c r="LO36" s="5">
        <f t="shared" si="126"/>
        <v>1022017</v>
      </c>
      <c r="LP36" s="26">
        <f t="shared" si="127"/>
        <v>0</v>
      </c>
      <c r="LQ36" s="5">
        <f t="shared" si="128"/>
        <v>3156845</v>
      </c>
      <c r="LR36" s="26">
        <f t="shared" si="129"/>
        <v>0</v>
      </c>
      <c r="LS36" s="5">
        <f t="shared" si="130"/>
        <v>1132508</v>
      </c>
      <c r="LT36" s="26">
        <f t="shared" si="131"/>
        <v>0</v>
      </c>
      <c r="LU36" s="5">
        <f t="shared" si="132"/>
        <v>2026739</v>
      </c>
      <c r="LV36" s="26">
        <f t="shared" si="133"/>
        <v>0</v>
      </c>
      <c r="LW36" s="5">
        <f t="shared" si="134"/>
        <v>1245523</v>
      </c>
      <c r="LX36" s="26">
        <f t="shared" si="135"/>
        <v>0</v>
      </c>
      <c r="LY36" s="5">
        <f t="shared" si="136"/>
        <v>0</v>
      </c>
      <c r="LZ36" s="26">
        <f t="shared" si="137"/>
        <v>0</v>
      </c>
      <c r="MA36" s="5">
        <f t="shared" si="138"/>
        <v>9490249</v>
      </c>
      <c r="MB36" s="26">
        <f t="shared" si="139"/>
        <v>0</v>
      </c>
      <c r="MC36" s="5">
        <f t="shared" si="140"/>
        <v>139424</v>
      </c>
      <c r="MD36" s="26">
        <f t="shared" si="141"/>
        <v>0</v>
      </c>
      <c r="ME36" s="5">
        <f t="shared" si="142"/>
        <v>0</v>
      </c>
      <c r="MF36" s="26">
        <f t="shared" si="143"/>
        <v>0</v>
      </c>
      <c r="MG36" s="5">
        <f t="shared" si="144"/>
        <v>456600</v>
      </c>
      <c r="MH36" s="26">
        <f t="shared" si="145"/>
        <v>0</v>
      </c>
      <c r="MI36" s="5">
        <f t="shared" si="146"/>
        <v>1430442</v>
      </c>
      <c r="MJ36" s="26">
        <f>IU36-MI36</f>
        <v>0</v>
      </c>
      <c r="MK36" s="5">
        <f t="shared" si="148"/>
        <v>3951717</v>
      </c>
      <c r="ML36" s="26">
        <f t="shared" si="149"/>
        <v>0</v>
      </c>
      <c r="MM36" s="5">
        <f t="shared" si="150"/>
        <v>48469929</v>
      </c>
      <c r="MN36" s="26">
        <f t="shared" si="151"/>
        <v>0</v>
      </c>
      <c r="MO36" s="5">
        <f t="shared" si="152"/>
        <v>0</v>
      </c>
      <c r="MP36" s="26">
        <f t="shared" si="153"/>
        <v>0</v>
      </c>
      <c r="MQ36" s="5">
        <f t="shared" si="154"/>
        <v>48469929</v>
      </c>
      <c r="MR36" s="26">
        <f t="shared" si="155"/>
        <v>0</v>
      </c>
      <c r="MT36" s="5">
        <f t="shared" si="76"/>
        <v>0</v>
      </c>
      <c r="MV36" s="4">
        <f t="shared" si="77"/>
        <v>0</v>
      </c>
    </row>
    <row r="37" spans="1:360" x14ac:dyDescent="0.15">
      <c r="A37" s="18" t="s">
        <v>318</v>
      </c>
      <c r="B37" s="25" t="s">
        <v>461</v>
      </c>
      <c r="C37" s="105">
        <v>155317</v>
      </c>
      <c r="D37" s="105">
        <v>2011</v>
      </c>
      <c r="E37" s="106">
        <v>1</v>
      </c>
      <c r="F37" s="106">
        <v>2</v>
      </c>
      <c r="G37" s="107">
        <v>10242</v>
      </c>
      <c r="H37" s="107">
        <v>9610</v>
      </c>
      <c r="I37" s="108">
        <v>1040000000</v>
      </c>
      <c r="J37" s="108"/>
      <c r="K37" s="108">
        <v>2559978</v>
      </c>
      <c r="L37" s="108"/>
      <c r="M37" s="108">
        <v>19891571</v>
      </c>
      <c r="N37" s="108"/>
      <c r="O37" s="108">
        <v>54071140</v>
      </c>
      <c r="P37" s="108"/>
      <c r="Q37" s="108">
        <v>429604974</v>
      </c>
      <c r="R37" s="108"/>
      <c r="S37" s="108">
        <v>842400000</v>
      </c>
      <c r="T37" s="108"/>
      <c r="U37" s="108">
        <v>19377</v>
      </c>
      <c r="V37" s="108"/>
      <c r="W37" s="108">
        <v>21624</v>
      </c>
      <c r="X37" s="108"/>
      <c r="Y37" s="108">
        <v>21802</v>
      </c>
      <c r="Z37" s="108"/>
      <c r="AA37" s="108">
        <v>35188</v>
      </c>
      <c r="AB37" s="108"/>
      <c r="AC37" s="130">
        <v>7</v>
      </c>
      <c r="AD37" s="130">
        <v>11</v>
      </c>
      <c r="AE37" s="130">
        <v>0</v>
      </c>
      <c r="AF37" s="26">
        <v>4866259</v>
      </c>
      <c r="AG37" s="26">
        <v>3879910</v>
      </c>
      <c r="AH37" s="26">
        <v>1033618</v>
      </c>
      <c r="AI37" s="26">
        <v>420535</v>
      </c>
      <c r="AJ37" s="26">
        <v>1628972.67</v>
      </c>
      <c r="AK37" s="36">
        <v>4.5</v>
      </c>
      <c r="AL37" s="26">
        <v>1466075.4</v>
      </c>
      <c r="AM37" s="36">
        <v>5</v>
      </c>
      <c r="AN37" s="26">
        <v>225392.35</v>
      </c>
      <c r="AO37" s="36">
        <v>8.5</v>
      </c>
      <c r="AP37" s="26">
        <v>212870.56</v>
      </c>
      <c r="AQ37" s="36">
        <v>9</v>
      </c>
      <c r="AR37" s="26">
        <v>192318.34</v>
      </c>
      <c r="AS37" s="36">
        <v>17.5</v>
      </c>
      <c r="AT37" s="26">
        <v>168278.55</v>
      </c>
      <c r="AU37" s="36">
        <v>20</v>
      </c>
      <c r="AV37" s="26">
        <v>73500.800000000003</v>
      </c>
      <c r="AW37" s="36">
        <v>17.5</v>
      </c>
      <c r="AX37" s="26">
        <v>64313.2</v>
      </c>
      <c r="AY37" s="36">
        <v>20</v>
      </c>
      <c r="AZ37" s="54">
        <v>9244117</v>
      </c>
      <c r="BA37" s="54">
        <v>11342635</v>
      </c>
      <c r="BB37" s="54">
        <v>115824</v>
      </c>
      <c r="BC37" s="54">
        <v>153554</v>
      </c>
      <c r="BD37" s="54">
        <v>1250</v>
      </c>
      <c r="BE37" s="54">
        <v>20857380</v>
      </c>
      <c r="BF37" s="54">
        <v>0</v>
      </c>
      <c r="BG37" s="54">
        <v>0</v>
      </c>
      <c r="BH37" s="54">
        <v>0</v>
      </c>
      <c r="BI37" s="54">
        <v>0</v>
      </c>
      <c r="BJ37" s="54">
        <v>1854478</v>
      </c>
      <c r="BK37" s="54">
        <v>1854478</v>
      </c>
      <c r="BL37" s="54">
        <v>150000</v>
      </c>
      <c r="BM37" s="54">
        <v>100000</v>
      </c>
      <c r="BN37" s="54">
        <v>0</v>
      </c>
      <c r="BO37" s="54">
        <v>19020</v>
      </c>
      <c r="BP37" s="54">
        <v>0</v>
      </c>
      <c r="BQ37" s="54">
        <v>269020</v>
      </c>
      <c r="BR37" s="54">
        <v>30920</v>
      </c>
      <c r="BS37" s="54">
        <v>16062</v>
      </c>
      <c r="BT37" s="54">
        <v>90643</v>
      </c>
      <c r="BU37" s="54">
        <v>942039</v>
      </c>
      <c r="BV37" s="54">
        <v>17690658</v>
      </c>
      <c r="BW37" s="54">
        <v>18770322</v>
      </c>
      <c r="BX37" s="54">
        <v>0</v>
      </c>
      <c r="BY37" s="54">
        <v>0</v>
      </c>
      <c r="BZ37" s="54">
        <v>0</v>
      </c>
      <c r="CA37" s="54">
        <v>0</v>
      </c>
      <c r="CB37" s="54">
        <v>0</v>
      </c>
      <c r="CC37" s="54">
        <v>0</v>
      </c>
      <c r="CD37" s="54">
        <v>0</v>
      </c>
      <c r="CE37" s="54">
        <v>0</v>
      </c>
      <c r="CF37" s="54">
        <v>0</v>
      </c>
      <c r="CG37" s="54">
        <v>0</v>
      </c>
      <c r="CH37" s="54">
        <v>0</v>
      </c>
      <c r="CI37" s="54">
        <v>0</v>
      </c>
      <c r="CJ37" s="54">
        <v>0</v>
      </c>
      <c r="CK37" s="54">
        <v>0</v>
      </c>
      <c r="CL37" s="54">
        <v>0</v>
      </c>
      <c r="CM37" s="54">
        <v>0</v>
      </c>
      <c r="CN37" s="54">
        <v>1582429</v>
      </c>
      <c r="CO37" s="54">
        <v>1582429</v>
      </c>
      <c r="CP37" s="54">
        <v>0</v>
      </c>
      <c r="CQ37" s="54">
        <v>0</v>
      </c>
      <c r="CR37" s="54">
        <v>0</v>
      </c>
      <c r="CS37" s="54">
        <v>0</v>
      </c>
      <c r="CT37" s="54">
        <v>0</v>
      </c>
      <c r="CU37" s="54">
        <v>0</v>
      </c>
      <c r="CV37" s="54">
        <v>7239744</v>
      </c>
      <c r="CW37" s="54">
        <v>4617074</v>
      </c>
      <c r="CX37" s="54">
        <v>0</v>
      </c>
      <c r="CY37" s="54">
        <v>0</v>
      </c>
      <c r="CZ37" s="54">
        <v>1198575</v>
      </c>
      <c r="DA37" s="54">
        <v>13055393</v>
      </c>
      <c r="DB37" s="54">
        <v>0</v>
      </c>
      <c r="DC37" s="54">
        <v>0</v>
      </c>
      <c r="DD37" s="54">
        <v>0</v>
      </c>
      <c r="DE37" s="54">
        <v>0</v>
      </c>
      <c r="DF37" s="54">
        <v>6610122</v>
      </c>
      <c r="DG37" s="54">
        <v>6610122</v>
      </c>
      <c r="DH37" s="54">
        <v>75594</v>
      </c>
      <c r="DI37" s="54">
        <v>1261</v>
      </c>
      <c r="DJ37" s="54">
        <v>0</v>
      </c>
      <c r="DK37" s="54">
        <v>4708</v>
      </c>
      <c r="DL37" s="54">
        <v>2358010</v>
      </c>
      <c r="DM37" s="54">
        <v>2439573</v>
      </c>
      <c r="DN37" s="54">
        <v>0</v>
      </c>
      <c r="DO37" s="54">
        <v>0</v>
      </c>
      <c r="DP37" s="54">
        <v>0</v>
      </c>
      <c r="DQ37" s="54">
        <v>0</v>
      </c>
      <c r="DR37" s="54">
        <v>2784295</v>
      </c>
      <c r="DS37" s="54">
        <v>2784295</v>
      </c>
      <c r="DT37" s="54">
        <v>0</v>
      </c>
      <c r="DU37" s="54">
        <v>0</v>
      </c>
      <c r="DV37" s="54">
        <v>0</v>
      </c>
      <c r="DW37" s="54">
        <v>0</v>
      </c>
      <c r="DX37" s="54">
        <v>0</v>
      </c>
      <c r="DY37" s="54">
        <v>0</v>
      </c>
      <c r="DZ37" s="54">
        <v>0</v>
      </c>
      <c r="EA37" s="54">
        <v>0</v>
      </c>
      <c r="EB37" s="54">
        <v>0</v>
      </c>
      <c r="EC37" s="54">
        <v>0</v>
      </c>
      <c r="ED37" s="54">
        <v>4947339</v>
      </c>
      <c r="EE37" s="54">
        <v>4947339</v>
      </c>
      <c r="EF37" s="54">
        <v>25142</v>
      </c>
      <c r="EG37" s="54">
        <v>0</v>
      </c>
      <c r="EH37" s="54">
        <v>0</v>
      </c>
      <c r="EI37" s="54">
        <v>63887</v>
      </c>
      <c r="EJ37" s="54">
        <v>1590823</v>
      </c>
      <c r="EK37" s="54">
        <v>1679852</v>
      </c>
      <c r="EL37" s="54">
        <v>16765517</v>
      </c>
      <c r="EM37" s="54">
        <v>16077032</v>
      </c>
      <c r="EN37" s="54">
        <v>206467</v>
      </c>
      <c r="EO37" s="54">
        <v>1183208</v>
      </c>
      <c r="EP37" s="54">
        <v>40617979</v>
      </c>
      <c r="EQ37" s="54">
        <v>74850203</v>
      </c>
      <c r="ER37" s="54">
        <v>3442085</v>
      </c>
      <c r="ES37" s="54">
        <v>462021</v>
      </c>
      <c r="ET37" s="54">
        <v>454458</v>
      </c>
      <c r="EU37" s="54">
        <v>4387605</v>
      </c>
      <c r="EV37" s="54">
        <v>338700</v>
      </c>
      <c r="EW37" s="54">
        <v>9084869</v>
      </c>
      <c r="EX37" s="54">
        <v>1225000</v>
      </c>
      <c r="EY37" s="54">
        <v>635000</v>
      </c>
      <c r="EZ37" s="54">
        <v>169500</v>
      </c>
      <c r="FA37" s="54">
        <v>86613</v>
      </c>
      <c r="FB37" s="54">
        <v>213986</v>
      </c>
      <c r="FC37" s="54">
        <v>2330099</v>
      </c>
      <c r="FD37" s="54">
        <v>4588589</v>
      </c>
      <c r="FE37" s="54">
        <v>5336747</v>
      </c>
      <c r="FF37" s="54">
        <v>1574050</v>
      </c>
      <c r="FG37" s="54">
        <v>2398661</v>
      </c>
      <c r="FH37" s="54">
        <v>0</v>
      </c>
      <c r="FI37" s="54">
        <v>13898047</v>
      </c>
      <c r="FJ37" s="54">
        <v>0</v>
      </c>
      <c r="FK37" s="54">
        <v>0</v>
      </c>
      <c r="FL37" s="54">
        <v>0</v>
      </c>
      <c r="FM37" s="54">
        <v>0</v>
      </c>
      <c r="FN37" s="54">
        <v>0</v>
      </c>
      <c r="FO37" s="54">
        <v>0</v>
      </c>
      <c r="FP37" s="54">
        <v>1082504</v>
      </c>
      <c r="FQ37" s="54">
        <v>453986</v>
      </c>
      <c r="FR37" s="54">
        <v>575345</v>
      </c>
      <c r="FS37" s="54">
        <v>467113</v>
      </c>
      <c r="FT37" s="54">
        <v>12185790</v>
      </c>
      <c r="FU37" s="54">
        <v>14764738</v>
      </c>
      <c r="FV37" s="54">
        <v>0</v>
      </c>
      <c r="FW37" s="54">
        <v>0</v>
      </c>
      <c r="FX37" s="54">
        <v>0</v>
      </c>
      <c r="FY37" s="54">
        <v>0</v>
      </c>
      <c r="FZ37" s="54">
        <v>0</v>
      </c>
      <c r="GA37" s="54">
        <v>0</v>
      </c>
      <c r="GB37" s="54">
        <v>0</v>
      </c>
      <c r="GC37" s="54">
        <v>0</v>
      </c>
      <c r="GD37" s="54">
        <v>0</v>
      </c>
      <c r="GE37" s="54">
        <v>0</v>
      </c>
      <c r="GF37" s="54">
        <v>2000000</v>
      </c>
      <c r="GG37" s="54">
        <v>2000000</v>
      </c>
      <c r="GH37" s="54">
        <v>442911</v>
      </c>
      <c r="GI37" s="54">
        <v>453659</v>
      </c>
      <c r="GJ37" s="54">
        <v>173141</v>
      </c>
      <c r="GK37" s="54">
        <f>1033618+420535-GH37-GI37-GJ37</f>
        <v>384442</v>
      </c>
      <c r="GL37" s="54">
        <v>60</v>
      </c>
      <c r="GM37" s="54">
        <v>1454213</v>
      </c>
      <c r="GN37" s="54">
        <v>763975</v>
      </c>
      <c r="GO37" s="54">
        <v>1078282</v>
      </c>
      <c r="GP37" s="54">
        <v>465889</v>
      </c>
      <c r="GQ37" s="54">
        <v>2312175</v>
      </c>
      <c r="GR37" s="54">
        <v>666903</v>
      </c>
      <c r="GS37" s="54">
        <v>5287224</v>
      </c>
      <c r="GT37" s="54">
        <v>231296</v>
      </c>
      <c r="GU37" s="54">
        <v>57845</v>
      </c>
      <c r="GV37" s="54">
        <v>47149</v>
      </c>
      <c r="GW37" s="54">
        <v>193126</v>
      </c>
      <c r="GX37" s="54">
        <v>330569</v>
      </c>
      <c r="GY37" s="54">
        <v>859985</v>
      </c>
      <c r="GZ37" s="54">
        <v>730959</v>
      </c>
      <c r="HA37" s="54">
        <v>815931</v>
      </c>
      <c r="HB37" s="54">
        <v>369469</v>
      </c>
      <c r="HC37" s="54">
        <v>301892</v>
      </c>
      <c r="HD37" s="54">
        <v>531718</v>
      </c>
      <c r="HE37" s="54">
        <v>2749969</v>
      </c>
      <c r="HF37" s="54">
        <v>14018</v>
      </c>
      <c r="HG37" s="54">
        <v>7319</v>
      </c>
      <c r="HH37" s="54">
        <v>2714</v>
      </c>
      <c r="HI37" s="54">
        <v>44310</v>
      </c>
      <c r="HJ37" s="54">
        <v>1052441</v>
      </c>
      <c r="HK37" s="54">
        <v>1120802</v>
      </c>
      <c r="HL37" s="54">
        <v>0</v>
      </c>
      <c r="HM37" s="54">
        <v>0</v>
      </c>
      <c r="HN37" s="54">
        <v>0</v>
      </c>
      <c r="HO37" s="54">
        <v>0</v>
      </c>
      <c r="HP37" s="54">
        <v>0</v>
      </c>
      <c r="HQ37" s="54">
        <v>0</v>
      </c>
      <c r="HR37" s="54">
        <v>86139</v>
      </c>
      <c r="HS37" s="54">
        <v>7626</v>
      </c>
      <c r="HT37" s="54">
        <v>510</v>
      </c>
      <c r="HU37" s="54">
        <v>195721</v>
      </c>
      <c r="HV37" s="54">
        <v>5504144</v>
      </c>
      <c r="HW37" s="54">
        <v>5794140</v>
      </c>
      <c r="HX37" s="54">
        <v>0</v>
      </c>
      <c r="HY37" s="54">
        <v>0</v>
      </c>
      <c r="HZ37" s="54">
        <v>0</v>
      </c>
      <c r="IA37" s="54">
        <v>0</v>
      </c>
      <c r="IB37" s="54">
        <v>112916</v>
      </c>
      <c r="IC37" s="54">
        <v>112916</v>
      </c>
      <c r="ID37" s="54">
        <v>0</v>
      </c>
      <c r="IE37" s="54">
        <v>0</v>
      </c>
      <c r="IF37" s="54">
        <v>0</v>
      </c>
      <c r="IG37" s="54">
        <v>0</v>
      </c>
      <c r="IH37" s="54">
        <v>0</v>
      </c>
      <c r="II37" s="54">
        <v>0</v>
      </c>
      <c r="IJ37" s="54">
        <v>0</v>
      </c>
      <c r="IK37" s="54">
        <v>0</v>
      </c>
      <c r="IL37" s="54">
        <v>0</v>
      </c>
      <c r="IM37" s="54">
        <v>0</v>
      </c>
      <c r="IN37" s="54">
        <v>616667</v>
      </c>
      <c r="IO37" s="54">
        <v>616667</v>
      </c>
      <c r="IP37" s="54">
        <v>21528</v>
      </c>
      <c r="IQ37" s="54">
        <v>26075</v>
      </c>
      <c r="IR37" s="54">
        <v>16537</v>
      </c>
      <c r="IS37" s="54">
        <v>54796</v>
      </c>
      <c r="IT37" s="54">
        <v>265107</v>
      </c>
      <c r="IU37" s="54">
        <v>384043</v>
      </c>
      <c r="IV37" s="54">
        <v>467253</v>
      </c>
      <c r="IW37" s="54">
        <v>178754</v>
      </c>
      <c r="IX37" s="54">
        <v>128860</v>
      </c>
      <c r="IY37" s="54">
        <v>269337</v>
      </c>
      <c r="IZ37" s="54">
        <v>10490242</v>
      </c>
      <c r="JA37" s="54">
        <v>11534446</v>
      </c>
      <c r="JB37" s="54">
        <v>13096257</v>
      </c>
      <c r="JC37" s="54">
        <v>9513245</v>
      </c>
      <c r="JD37" s="54">
        <v>3977622</v>
      </c>
      <c r="JE37" s="54">
        <v>11095791</v>
      </c>
      <c r="JF37" s="54">
        <v>34309243</v>
      </c>
      <c r="JG37" s="54">
        <v>71992158</v>
      </c>
      <c r="JH37" s="54">
        <v>0</v>
      </c>
      <c r="JI37" s="54">
        <v>0</v>
      </c>
      <c r="JJ37" s="54">
        <v>0</v>
      </c>
      <c r="JK37" s="54">
        <v>0</v>
      </c>
      <c r="JL37" s="54">
        <v>0</v>
      </c>
      <c r="JM37" s="54">
        <v>0</v>
      </c>
      <c r="JN37" s="54">
        <v>13096257</v>
      </c>
      <c r="JO37" s="54">
        <v>9513245</v>
      </c>
      <c r="JP37" s="54">
        <v>3977622</v>
      </c>
      <c r="JQ37" s="54">
        <v>11095791</v>
      </c>
      <c r="JR37" s="54">
        <v>34309243</v>
      </c>
      <c r="JS37" s="54">
        <v>71992158</v>
      </c>
      <c r="JU37" s="5">
        <f t="shared" si="80"/>
        <v>20857380</v>
      </c>
      <c r="JV37" s="26">
        <f t="shared" si="81"/>
        <v>0</v>
      </c>
      <c r="JW37" s="5">
        <f t="shared" si="82"/>
        <v>1854478</v>
      </c>
      <c r="JX37" s="26">
        <f t="shared" si="83"/>
        <v>0</v>
      </c>
      <c r="JY37" s="5">
        <f t="shared" si="84"/>
        <v>269020</v>
      </c>
      <c r="JZ37" s="26">
        <f t="shared" si="85"/>
        <v>0</v>
      </c>
      <c r="KA37" s="5">
        <f t="shared" si="86"/>
        <v>18770322</v>
      </c>
      <c r="KB37" s="26">
        <f t="shared" si="87"/>
        <v>0</v>
      </c>
      <c r="KC37" s="5">
        <f t="shared" si="88"/>
        <v>0</v>
      </c>
      <c r="KD37" s="26">
        <f t="shared" si="89"/>
        <v>0</v>
      </c>
      <c r="KE37" s="5">
        <f t="shared" si="90"/>
        <v>0</v>
      </c>
      <c r="KF37" s="26">
        <f t="shared" si="91"/>
        <v>0</v>
      </c>
      <c r="KG37" s="5">
        <f t="shared" si="92"/>
        <v>1582429</v>
      </c>
      <c r="KH37" s="26">
        <f t="shared" si="93"/>
        <v>0</v>
      </c>
      <c r="KI37" s="5">
        <f t="shared" si="94"/>
        <v>0</v>
      </c>
      <c r="KJ37" s="26">
        <f t="shared" si="95"/>
        <v>0</v>
      </c>
      <c r="KK37" s="5">
        <f t="shared" si="96"/>
        <v>13055393</v>
      </c>
      <c r="KL37" s="26">
        <f t="shared" si="97"/>
        <v>0</v>
      </c>
      <c r="KM37" s="5">
        <f t="shared" si="98"/>
        <v>6610122</v>
      </c>
      <c r="KN37" s="26">
        <f t="shared" si="99"/>
        <v>0</v>
      </c>
      <c r="KO37" s="5">
        <f t="shared" si="100"/>
        <v>2439573</v>
      </c>
      <c r="KP37" s="26">
        <f t="shared" si="101"/>
        <v>0</v>
      </c>
      <c r="KQ37" s="5">
        <f>SUM(DN37:DR37)</f>
        <v>2784295</v>
      </c>
      <c r="KR37" s="26">
        <f>DS37-KQ37</f>
        <v>0</v>
      </c>
      <c r="KS37" s="5">
        <f t="shared" si="104"/>
        <v>0</v>
      </c>
      <c r="KT37" s="26">
        <f t="shared" si="105"/>
        <v>0</v>
      </c>
      <c r="KU37" s="5">
        <f t="shared" si="106"/>
        <v>4947339</v>
      </c>
      <c r="KV37" s="26">
        <f t="shared" si="107"/>
        <v>0</v>
      </c>
      <c r="KW37" s="5">
        <f t="shared" si="108"/>
        <v>1679852</v>
      </c>
      <c r="KX37" s="26">
        <f t="shared" si="109"/>
        <v>0</v>
      </c>
      <c r="KY37" s="5">
        <f t="shared" si="110"/>
        <v>74850203</v>
      </c>
      <c r="KZ37" s="26">
        <f t="shared" si="111"/>
        <v>0</v>
      </c>
      <c r="LA37" s="5">
        <f t="shared" si="112"/>
        <v>9084869</v>
      </c>
      <c r="LB37" s="26">
        <f t="shared" si="113"/>
        <v>0</v>
      </c>
      <c r="LC37" s="5">
        <f t="shared" si="114"/>
        <v>2330099</v>
      </c>
      <c r="LD37" s="26">
        <f t="shared" si="115"/>
        <v>0</v>
      </c>
      <c r="LE37" s="5">
        <f t="shared" si="116"/>
        <v>13898047</v>
      </c>
      <c r="LF37" s="26">
        <f t="shared" si="117"/>
        <v>0</v>
      </c>
      <c r="LG37" s="5">
        <f t="shared" si="118"/>
        <v>0</v>
      </c>
      <c r="LH37" s="26">
        <f t="shared" si="119"/>
        <v>0</v>
      </c>
      <c r="LI37" s="5">
        <f t="shared" si="120"/>
        <v>14764738</v>
      </c>
      <c r="LJ37" s="26">
        <f t="shared" si="121"/>
        <v>0</v>
      </c>
      <c r="LK37" s="5">
        <f t="shared" si="122"/>
        <v>0</v>
      </c>
      <c r="LL37" s="26">
        <f t="shared" si="123"/>
        <v>0</v>
      </c>
      <c r="LM37" s="5">
        <f t="shared" si="124"/>
        <v>2000000</v>
      </c>
      <c r="LN37" s="26">
        <f t="shared" si="125"/>
        <v>0</v>
      </c>
      <c r="LO37" s="5">
        <f t="shared" si="126"/>
        <v>1454213</v>
      </c>
      <c r="LP37" s="26">
        <f t="shared" si="127"/>
        <v>0</v>
      </c>
      <c r="LQ37" s="5">
        <f t="shared" si="128"/>
        <v>5287224</v>
      </c>
      <c r="LR37" s="26">
        <f t="shared" si="129"/>
        <v>0</v>
      </c>
      <c r="LS37" s="5">
        <f t="shared" si="130"/>
        <v>859985</v>
      </c>
      <c r="LT37" s="26">
        <f t="shared" si="131"/>
        <v>0</v>
      </c>
      <c r="LU37" s="5">
        <f t="shared" si="132"/>
        <v>2749969</v>
      </c>
      <c r="LV37" s="26">
        <f t="shared" si="133"/>
        <v>0</v>
      </c>
      <c r="LW37" s="5">
        <f t="shared" si="134"/>
        <v>1120802</v>
      </c>
      <c r="LX37" s="26">
        <f t="shared" si="135"/>
        <v>0</v>
      </c>
      <c r="LY37" s="5">
        <f t="shared" si="136"/>
        <v>0</v>
      </c>
      <c r="LZ37" s="26">
        <f t="shared" si="137"/>
        <v>0</v>
      </c>
      <c r="MA37" s="5">
        <f t="shared" si="138"/>
        <v>5794140</v>
      </c>
      <c r="MB37" s="26">
        <f t="shared" si="139"/>
        <v>0</v>
      </c>
      <c r="MC37" s="5">
        <f>SUM(HX37:IB37)</f>
        <v>112916</v>
      </c>
      <c r="MD37" s="26">
        <f>IC37-MC37</f>
        <v>0</v>
      </c>
      <c r="ME37" s="5">
        <f t="shared" si="142"/>
        <v>0</v>
      </c>
      <c r="MF37" s="26">
        <f t="shared" si="143"/>
        <v>0</v>
      </c>
      <c r="MG37" s="5">
        <f>SUM(IJ37:IN37)</f>
        <v>616667</v>
      </c>
      <c r="MH37" s="26">
        <f>IO37-MG37</f>
        <v>0</v>
      </c>
      <c r="MI37" s="5">
        <f>SUM(IP37:IT37)</f>
        <v>384043</v>
      </c>
      <c r="MJ37" s="26">
        <f>IU37-MI37</f>
        <v>0</v>
      </c>
      <c r="MK37" s="5">
        <f>SUM(IV37:IZ37)</f>
        <v>11534446</v>
      </c>
      <c r="ML37" s="26">
        <f>JA37-MK37</f>
        <v>0</v>
      </c>
      <c r="MM37" s="5">
        <f>SUM(JB37:JF37)</f>
        <v>71992158</v>
      </c>
      <c r="MN37" s="26">
        <f>JG37-MM37</f>
        <v>0</v>
      </c>
      <c r="MO37" s="5">
        <f t="shared" si="152"/>
        <v>0</v>
      </c>
      <c r="MP37" s="26">
        <f t="shared" si="153"/>
        <v>0</v>
      </c>
      <c r="MQ37" s="5">
        <f t="shared" si="154"/>
        <v>71992158</v>
      </c>
      <c r="MR37" s="26">
        <f t="shared" si="155"/>
        <v>0</v>
      </c>
      <c r="MT37" s="5">
        <f t="shared" si="76"/>
        <v>0</v>
      </c>
      <c r="MV37" s="4">
        <f t="shared" si="77"/>
        <v>0</v>
      </c>
    </row>
    <row r="38" spans="1:360" x14ac:dyDescent="0.15">
      <c r="A38" s="18" t="s">
        <v>319</v>
      </c>
      <c r="B38" s="25" t="s">
        <v>406</v>
      </c>
      <c r="C38" s="109">
        <v>203517</v>
      </c>
      <c r="D38" s="105">
        <v>2011</v>
      </c>
      <c r="E38" s="106">
        <v>1</v>
      </c>
      <c r="F38" s="106">
        <v>9</v>
      </c>
      <c r="G38" s="107">
        <v>8456</v>
      </c>
      <c r="H38" s="107">
        <v>11888</v>
      </c>
      <c r="I38" s="108">
        <v>598521000</v>
      </c>
      <c r="J38" s="108"/>
      <c r="K38" s="108">
        <v>0</v>
      </c>
      <c r="L38" s="108"/>
      <c r="M38" s="108">
        <v>17329424</v>
      </c>
      <c r="N38" s="108"/>
      <c r="O38" s="108">
        <v>0</v>
      </c>
      <c r="P38" s="108"/>
      <c r="Q38" s="108">
        <v>326014000</v>
      </c>
      <c r="R38" s="108"/>
      <c r="S38" s="108">
        <v>464133000</v>
      </c>
      <c r="T38" s="108"/>
      <c r="U38" s="108">
        <v>20036</v>
      </c>
      <c r="V38" s="108"/>
      <c r="W38" s="108">
        <v>27996</v>
      </c>
      <c r="X38" s="108"/>
      <c r="Y38" s="108">
        <v>25600</v>
      </c>
      <c r="Z38" s="108"/>
      <c r="AA38" s="108">
        <v>33560</v>
      </c>
      <c r="AB38" s="108"/>
      <c r="AC38" s="130">
        <v>8</v>
      </c>
      <c r="AD38" s="130">
        <v>10</v>
      </c>
      <c r="AE38" s="130">
        <v>0</v>
      </c>
      <c r="AF38" s="26">
        <v>3045860</v>
      </c>
      <c r="AG38" s="26">
        <v>2099530</v>
      </c>
      <c r="AH38" s="26">
        <v>163279</v>
      </c>
      <c r="AI38" s="26">
        <v>121088</v>
      </c>
      <c r="AJ38" s="26">
        <v>197875.53</v>
      </c>
      <c r="AK38" s="36">
        <v>5.15</v>
      </c>
      <c r="AL38" s="26">
        <v>145579.85999999999</v>
      </c>
      <c r="AM38" s="36">
        <v>7</v>
      </c>
      <c r="AN38" s="26">
        <v>103712</v>
      </c>
      <c r="AO38" s="36">
        <v>7</v>
      </c>
      <c r="AP38" s="26">
        <v>90748</v>
      </c>
      <c r="AQ38" s="36">
        <v>8</v>
      </c>
      <c r="AR38" s="26">
        <v>70082.37</v>
      </c>
      <c r="AS38" s="36">
        <v>18.149999999999999</v>
      </c>
      <c r="AT38" s="26">
        <v>37411.620000000003</v>
      </c>
      <c r="AU38" s="36">
        <v>34</v>
      </c>
      <c r="AV38" s="26">
        <v>41132.65</v>
      </c>
      <c r="AW38" s="36">
        <v>16.600000000000001</v>
      </c>
      <c r="AX38" s="26">
        <v>31036.45</v>
      </c>
      <c r="AY38" s="36">
        <v>22</v>
      </c>
      <c r="AZ38" s="54">
        <v>426468</v>
      </c>
      <c r="BA38" s="54">
        <v>161366</v>
      </c>
      <c r="BB38" s="54">
        <v>10594</v>
      </c>
      <c r="BC38" s="54">
        <v>26682</v>
      </c>
      <c r="BD38" s="54">
        <v>44206</v>
      </c>
      <c r="BE38" s="54">
        <v>669316</v>
      </c>
      <c r="BF38" s="54">
        <v>2893126</v>
      </c>
      <c r="BG38" s="54">
        <v>440857</v>
      </c>
      <c r="BH38" s="54">
        <v>440857</v>
      </c>
      <c r="BI38" s="54">
        <v>8376290</v>
      </c>
      <c r="BJ38" s="54">
        <v>0</v>
      </c>
      <c r="BK38" s="54">
        <v>12151130</v>
      </c>
      <c r="BL38" s="54">
        <v>725000</v>
      </c>
      <c r="BM38" s="54">
        <v>80000</v>
      </c>
      <c r="BN38" s="54">
        <v>0</v>
      </c>
      <c r="BO38" s="54">
        <v>17050</v>
      </c>
      <c r="BP38" s="54">
        <v>0</v>
      </c>
      <c r="BQ38" s="54">
        <v>822050</v>
      </c>
      <c r="BR38" s="54">
        <v>194109</v>
      </c>
      <c r="BS38" s="54">
        <v>30429</v>
      </c>
      <c r="BT38" s="54">
        <v>12007</v>
      </c>
      <c r="BU38" s="54">
        <v>175387</v>
      </c>
      <c r="BV38" s="54">
        <v>23407</v>
      </c>
      <c r="BW38" s="54">
        <v>435339</v>
      </c>
      <c r="BX38" s="54">
        <v>0</v>
      </c>
      <c r="BY38" s="54">
        <v>3000</v>
      </c>
      <c r="BZ38" s="54">
        <v>0</v>
      </c>
      <c r="CA38" s="54">
        <v>60500</v>
      </c>
      <c r="CB38" s="54">
        <v>0</v>
      </c>
      <c r="CC38" s="54">
        <v>63500</v>
      </c>
      <c r="CD38" s="54">
        <v>0</v>
      </c>
      <c r="CE38" s="54">
        <v>0</v>
      </c>
      <c r="CF38" s="54">
        <v>0</v>
      </c>
      <c r="CG38" s="54">
        <v>0</v>
      </c>
      <c r="CH38" s="54">
        <v>0</v>
      </c>
      <c r="CI38" s="54">
        <v>0</v>
      </c>
      <c r="CJ38" s="54">
        <v>0</v>
      </c>
      <c r="CK38" s="54">
        <v>0</v>
      </c>
      <c r="CL38" s="54">
        <v>0</v>
      </c>
      <c r="CM38" s="54">
        <v>0</v>
      </c>
      <c r="CN38" s="54">
        <v>4066774</v>
      </c>
      <c r="CO38" s="54">
        <v>4066774</v>
      </c>
      <c r="CP38" s="54">
        <v>0</v>
      </c>
      <c r="CQ38" s="54">
        <v>0</v>
      </c>
      <c r="CR38" s="54">
        <v>0</v>
      </c>
      <c r="CS38" s="54">
        <v>0</v>
      </c>
      <c r="CT38" s="54">
        <v>500000</v>
      </c>
      <c r="CU38" s="54">
        <v>500000</v>
      </c>
      <c r="CV38" s="54">
        <v>0</v>
      </c>
      <c r="CW38" s="54">
        <v>0</v>
      </c>
      <c r="CX38" s="54">
        <v>0</v>
      </c>
      <c r="CY38" s="54">
        <v>0</v>
      </c>
      <c r="CZ38" s="54">
        <v>1147776</v>
      </c>
      <c r="DA38" s="54">
        <v>1147776</v>
      </c>
      <c r="DB38" s="54">
        <v>0</v>
      </c>
      <c r="DC38" s="54">
        <v>0</v>
      </c>
      <c r="DD38" s="54">
        <v>0</v>
      </c>
      <c r="DE38" s="54">
        <v>0</v>
      </c>
      <c r="DF38" s="54">
        <v>5193</v>
      </c>
      <c r="DG38" s="54">
        <v>5193</v>
      </c>
      <c r="DH38" s="54">
        <v>0</v>
      </c>
      <c r="DI38" s="54">
        <v>0</v>
      </c>
      <c r="DJ38" s="54">
        <v>0</v>
      </c>
      <c r="DK38" s="54">
        <v>0</v>
      </c>
      <c r="DL38" s="54">
        <v>126971</v>
      </c>
      <c r="DM38" s="54">
        <v>126971</v>
      </c>
      <c r="DN38" s="54">
        <v>0</v>
      </c>
      <c r="DO38" s="54">
        <v>0</v>
      </c>
      <c r="DP38" s="54">
        <v>0</v>
      </c>
      <c r="DQ38" s="54">
        <v>0</v>
      </c>
      <c r="DR38" s="54">
        <v>126971</v>
      </c>
      <c r="DS38" s="54">
        <v>126971</v>
      </c>
      <c r="DT38" s="54">
        <v>0</v>
      </c>
      <c r="DU38" s="54">
        <v>0</v>
      </c>
      <c r="DV38" s="54">
        <v>0</v>
      </c>
      <c r="DW38" s="54">
        <v>0</v>
      </c>
      <c r="DX38" s="54">
        <v>0</v>
      </c>
      <c r="DY38" s="54">
        <v>0</v>
      </c>
      <c r="DZ38" s="54">
        <v>0</v>
      </c>
      <c r="EA38" s="54">
        <v>0</v>
      </c>
      <c r="EB38" s="54">
        <v>0</v>
      </c>
      <c r="EC38" s="54">
        <v>0</v>
      </c>
      <c r="ED38" s="54">
        <v>236499</v>
      </c>
      <c r="EE38" s="54">
        <v>236499</v>
      </c>
      <c r="EF38" s="54">
        <v>0</v>
      </c>
      <c r="EG38" s="54">
        <v>0</v>
      </c>
      <c r="EH38" s="54">
        <v>0</v>
      </c>
      <c r="EI38" s="54">
        <v>0</v>
      </c>
      <c r="EJ38" s="54">
        <v>0</v>
      </c>
      <c r="EK38" s="54">
        <v>0</v>
      </c>
      <c r="EL38" s="54">
        <v>4257393</v>
      </c>
      <c r="EM38" s="54">
        <v>734454</v>
      </c>
      <c r="EN38" s="54">
        <v>477350</v>
      </c>
      <c r="EO38" s="54">
        <v>9225968</v>
      </c>
      <c r="EP38" s="54">
        <v>6753656</v>
      </c>
      <c r="EQ38" s="54">
        <v>21448821</v>
      </c>
      <c r="ER38" s="54">
        <v>1873009</v>
      </c>
      <c r="ES38" s="54">
        <v>341340</v>
      </c>
      <c r="ET38" s="54">
        <v>299354</v>
      </c>
      <c r="EU38" s="54">
        <v>2631687</v>
      </c>
      <c r="EV38" s="54">
        <v>142405</v>
      </c>
      <c r="EW38" s="54">
        <v>5287795</v>
      </c>
      <c r="EX38" s="54">
        <v>375000</v>
      </c>
      <c r="EY38" s="54">
        <v>190000</v>
      </c>
      <c r="EZ38" s="54">
        <v>2000</v>
      </c>
      <c r="FA38" s="54">
        <v>2185</v>
      </c>
      <c r="FB38" s="54">
        <v>0</v>
      </c>
      <c r="FC38" s="54">
        <v>569185</v>
      </c>
      <c r="FD38" s="54">
        <v>1091048</v>
      </c>
      <c r="FE38" s="54">
        <v>499939</v>
      </c>
      <c r="FF38" s="54">
        <v>417591</v>
      </c>
      <c r="FG38" s="54">
        <v>1691262</v>
      </c>
      <c r="FH38" s="54">
        <v>0</v>
      </c>
      <c r="FI38" s="54">
        <v>3699840</v>
      </c>
      <c r="FJ38" s="54">
        <v>0</v>
      </c>
      <c r="FK38" s="54">
        <v>3000</v>
      </c>
      <c r="FL38" s="54">
        <v>0</v>
      </c>
      <c r="FM38" s="54">
        <v>60500</v>
      </c>
      <c r="FN38" s="54">
        <v>0</v>
      </c>
      <c r="FO38" s="54">
        <v>63500</v>
      </c>
      <c r="FP38" s="54">
        <v>347673</v>
      </c>
      <c r="FQ38" s="54">
        <v>135759</v>
      </c>
      <c r="FR38" s="54">
        <v>30157</v>
      </c>
      <c r="FS38" s="54">
        <v>275944</v>
      </c>
      <c r="FT38" s="54">
        <v>3788019</v>
      </c>
      <c r="FU38" s="54">
        <v>4577552</v>
      </c>
      <c r="FV38" s="54">
        <v>0</v>
      </c>
      <c r="FW38" s="54">
        <v>0</v>
      </c>
      <c r="FX38" s="54">
        <v>0</v>
      </c>
      <c r="FY38" s="54">
        <v>0</v>
      </c>
      <c r="FZ38" s="54">
        <v>0</v>
      </c>
      <c r="GA38" s="54">
        <v>0</v>
      </c>
      <c r="GB38" s="54">
        <v>0</v>
      </c>
      <c r="GC38" s="54">
        <v>0</v>
      </c>
      <c r="GD38" s="54">
        <v>0</v>
      </c>
      <c r="GE38" s="54">
        <v>0</v>
      </c>
      <c r="GF38" s="54">
        <v>0</v>
      </c>
      <c r="GG38" s="54">
        <v>0</v>
      </c>
      <c r="GH38" s="54">
        <v>75953</v>
      </c>
      <c r="GI38" s="54">
        <v>61770</v>
      </c>
      <c r="GJ38" s="54">
        <v>46450</v>
      </c>
      <c r="GK38" s="54">
        <v>100194</v>
      </c>
      <c r="GL38" s="54">
        <v>671</v>
      </c>
      <c r="GM38" s="54">
        <v>285038</v>
      </c>
      <c r="GN38" s="54">
        <v>326732</v>
      </c>
      <c r="GO38" s="54">
        <v>205331</v>
      </c>
      <c r="GP38" s="54">
        <v>82542</v>
      </c>
      <c r="GQ38" s="54">
        <v>707485</v>
      </c>
      <c r="GR38" s="54">
        <v>484011</v>
      </c>
      <c r="GS38" s="54">
        <v>1806101</v>
      </c>
      <c r="GT38" s="54">
        <v>297215</v>
      </c>
      <c r="GU38" s="54">
        <v>64456</v>
      </c>
      <c r="GV38" s="54">
        <v>28606</v>
      </c>
      <c r="GW38" s="54">
        <v>228853</v>
      </c>
      <c r="GX38" s="54">
        <v>334560</v>
      </c>
      <c r="GY38" s="54">
        <v>953690</v>
      </c>
      <c r="GZ38" s="54">
        <v>170456</v>
      </c>
      <c r="HA38" s="54">
        <v>78219</v>
      </c>
      <c r="HB38" s="54">
        <v>38119</v>
      </c>
      <c r="HC38" s="54">
        <v>66884</v>
      </c>
      <c r="HD38" s="54">
        <v>21552</v>
      </c>
      <c r="HE38" s="54">
        <v>375230</v>
      </c>
      <c r="HF38" s="54">
        <v>0</v>
      </c>
      <c r="HG38" s="54">
        <v>0</v>
      </c>
      <c r="HH38" s="54">
        <v>0</v>
      </c>
      <c r="HI38" s="54">
        <v>0</v>
      </c>
      <c r="HJ38" s="54">
        <v>329043</v>
      </c>
      <c r="HK38" s="54">
        <v>329043</v>
      </c>
      <c r="HL38" s="54">
        <v>5367</v>
      </c>
      <c r="HM38" s="54">
        <v>13405</v>
      </c>
      <c r="HN38" s="54">
        <v>13925</v>
      </c>
      <c r="HO38" s="54">
        <v>269167</v>
      </c>
      <c r="HP38" s="54">
        <v>434187</v>
      </c>
      <c r="HQ38" s="54">
        <v>736051</v>
      </c>
      <c r="HR38" s="54">
        <v>42506</v>
      </c>
      <c r="HS38" s="54">
        <v>1607</v>
      </c>
      <c r="HT38" s="54">
        <v>308</v>
      </c>
      <c r="HU38" s="54">
        <v>27670</v>
      </c>
      <c r="HV38" s="54">
        <v>443152</v>
      </c>
      <c r="HW38" s="54">
        <v>515243</v>
      </c>
      <c r="HX38" s="54">
        <v>0</v>
      </c>
      <c r="HY38" s="54">
        <v>0</v>
      </c>
      <c r="HZ38" s="54">
        <v>0</v>
      </c>
      <c r="IA38" s="54">
        <v>0</v>
      </c>
      <c r="IB38" s="54">
        <v>26484</v>
      </c>
      <c r="IC38" s="54">
        <v>26484</v>
      </c>
      <c r="ID38" s="54">
        <v>0</v>
      </c>
      <c r="IE38" s="54">
        <v>0</v>
      </c>
      <c r="IF38" s="54">
        <v>0</v>
      </c>
      <c r="IG38" s="54">
        <v>0</v>
      </c>
      <c r="IH38" s="54">
        <v>500000</v>
      </c>
      <c r="II38" s="54">
        <v>500000</v>
      </c>
      <c r="IJ38" s="54">
        <v>0</v>
      </c>
      <c r="IK38" s="54">
        <v>0</v>
      </c>
      <c r="IL38" s="54">
        <v>0</v>
      </c>
      <c r="IM38" s="54">
        <v>0</v>
      </c>
      <c r="IN38" s="54">
        <v>256824</v>
      </c>
      <c r="IO38" s="54">
        <v>256824</v>
      </c>
      <c r="IP38" s="54">
        <v>720</v>
      </c>
      <c r="IQ38" s="54">
        <v>1053</v>
      </c>
      <c r="IR38" s="54">
        <v>515</v>
      </c>
      <c r="IS38" s="54">
        <v>7497</v>
      </c>
      <c r="IT38" s="54">
        <v>272149</v>
      </c>
      <c r="IU38" s="54">
        <v>281934</v>
      </c>
      <c r="IV38" s="54">
        <v>0</v>
      </c>
      <c r="IW38" s="54">
        <v>0</v>
      </c>
      <c r="IX38" s="54">
        <v>0</v>
      </c>
      <c r="IY38" s="54">
        <v>0</v>
      </c>
      <c r="IZ38" s="54">
        <v>493235</v>
      </c>
      <c r="JA38" s="54">
        <v>493235</v>
      </c>
      <c r="JB38" s="54">
        <v>4605679</v>
      </c>
      <c r="JC38" s="54">
        <v>1595879</v>
      </c>
      <c r="JD38" s="54">
        <v>959567</v>
      </c>
      <c r="JE38" s="54">
        <v>6069328</v>
      </c>
      <c r="JF38" s="54">
        <v>7526292</v>
      </c>
      <c r="JG38" s="54">
        <v>20756745</v>
      </c>
      <c r="JH38" s="54">
        <v>0</v>
      </c>
      <c r="JI38" s="54">
        <v>0</v>
      </c>
      <c r="JJ38" s="54">
        <v>0</v>
      </c>
      <c r="JK38" s="54">
        <v>0</v>
      </c>
      <c r="JL38" s="54">
        <v>0</v>
      </c>
      <c r="JM38" s="54">
        <v>0</v>
      </c>
      <c r="JN38" s="54">
        <v>4605679</v>
      </c>
      <c r="JO38" s="54">
        <v>1595879</v>
      </c>
      <c r="JP38" s="54">
        <v>959567</v>
      </c>
      <c r="JQ38" s="54">
        <v>6069328</v>
      </c>
      <c r="JR38" s="54">
        <v>7526292</v>
      </c>
      <c r="JS38" s="54">
        <v>20756745</v>
      </c>
      <c r="JU38" s="5">
        <f t="shared" si="80"/>
        <v>669316</v>
      </c>
      <c r="JV38" s="26">
        <f t="shared" si="81"/>
        <v>0</v>
      </c>
      <c r="JW38" s="5">
        <f t="shared" si="82"/>
        <v>12151130</v>
      </c>
      <c r="JX38" s="26">
        <f t="shared" si="83"/>
        <v>0</v>
      </c>
      <c r="JY38" s="5">
        <f t="shared" si="84"/>
        <v>822050</v>
      </c>
      <c r="JZ38" s="26">
        <f t="shared" si="85"/>
        <v>0</v>
      </c>
      <c r="KA38" s="5">
        <f t="shared" si="86"/>
        <v>435339</v>
      </c>
      <c r="KB38" s="26">
        <f t="shared" si="87"/>
        <v>0</v>
      </c>
      <c r="KC38" s="5">
        <f t="shared" si="88"/>
        <v>63500</v>
      </c>
      <c r="KD38" s="26">
        <f t="shared" si="89"/>
        <v>0</v>
      </c>
      <c r="KE38" s="5">
        <f t="shared" si="90"/>
        <v>0</v>
      </c>
      <c r="KF38" s="26">
        <f t="shared" si="91"/>
        <v>0</v>
      </c>
      <c r="KG38" s="5">
        <f>SUM(CJ38:CN38)</f>
        <v>4066774</v>
      </c>
      <c r="KH38" s="26">
        <f>CO38-KG38</f>
        <v>0</v>
      </c>
      <c r="KI38" s="5">
        <f t="shared" si="94"/>
        <v>500000</v>
      </c>
      <c r="KJ38" s="26">
        <f t="shared" si="95"/>
        <v>0</v>
      </c>
      <c r="KK38" s="5">
        <f t="shared" si="96"/>
        <v>1147776</v>
      </c>
      <c r="KL38" s="26">
        <f t="shared" si="97"/>
        <v>0</v>
      </c>
      <c r="KM38" s="5">
        <f t="shared" si="98"/>
        <v>5193</v>
      </c>
      <c r="KN38" s="26">
        <f t="shared" si="99"/>
        <v>0</v>
      </c>
      <c r="KO38" s="5">
        <f t="shared" si="100"/>
        <v>126971</v>
      </c>
      <c r="KP38" s="26">
        <f t="shared" si="101"/>
        <v>0</v>
      </c>
      <c r="KQ38" s="5">
        <f t="shared" si="102"/>
        <v>126971</v>
      </c>
      <c r="KR38" s="26">
        <f t="shared" si="103"/>
        <v>0</v>
      </c>
      <c r="KS38" s="5">
        <f t="shared" si="104"/>
        <v>0</v>
      </c>
      <c r="KT38" s="26">
        <f t="shared" si="105"/>
        <v>0</v>
      </c>
      <c r="KU38" s="5">
        <f t="shared" si="106"/>
        <v>236499</v>
      </c>
      <c r="KV38" s="26">
        <f t="shared" si="107"/>
        <v>0</v>
      </c>
      <c r="KW38" s="5">
        <f t="shared" si="108"/>
        <v>0</v>
      </c>
      <c r="KX38" s="26">
        <f t="shared" si="109"/>
        <v>0</v>
      </c>
      <c r="KY38" s="5">
        <f t="shared" si="110"/>
        <v>21448821</v>
      </c>
      <c r="KZ38" s="26">
        <f t="shared" si="111"/>
        <v>0</v>
      </c>
      <c r="LA38" s="5">
        <f t="shared" si="112"/>
        <v>5287795</v>
      </c>
      <c r="LB38" s="26">
        <f t="shared" si="113"/>
        <v>0</v>
      </c>
      <c r="LC38" s="5">
        <f t="shared" si="114"/>
        <v>569185</v>
      </c>
      <c r="LD38" s="26">
        <f t="shared" si="115"/>
        <v>0</v>
      </c>
      <c r="LE38" s="5">
        <f t="shared" si="116"/>
        <v>3699840</v>
      </c>
      <c r="LF38" s="26">
        <f t="shared" si="117"/>
        <v>0</v>
      </c>
      <c r="LG38" s="5">
        <f t="shared" si="118"/>
        <v>63500</v>
      </c>
      <c r="LH38" s="26">
        <f t="shared" si="119"/>
        <v>0</v>
      </c>
      <c r="LI38" s="5">
        <f t="shared" si="120"/>
        <v>4577552</v>
      </c>
      <c r="LJ38" s="26">
        <f t="shared" si="121"/>
        <v>0</v>
      </c>
      <c r="LK38" s="5">
        <f t="shared" si="122"/>
        <v>0</v>
      </c>
      <c r="LL38" s="26">
        <f t="shared" si="123"/>
        <v>0</v>
      </c>
      <c r="LM38" s="5">
        <f t="shared" si="124"/>
        <v>0</v>
      </c>
      <c r="LN38" s="26">
        <f t="shared" si="125"/>
        <v>0</v>
      </c>
      <c r="LO38" s="5">
        <f t="shared" si="126"/>
        <v>285038</v>
      </c>
      <c r="LP38" s="26">
        <f t="shared" si="127"/>
        <v>0</v>
      </c>
      <c r="LQ38" s="5">
        <f t="shared" si="128"/>
        <v>1806101</v>
      </c>
      <c r="LR38" s="26">
        <f t="shared" si="129"/>
        <v>0</v>
      </c>
      <c r="LS38" s="5">
        <f t="shared" si="130"/>
        <v>953690</v>
      </c>
      <c r="LT38" s="26">
        <f t="shared" si="131"/>
        <v>0</v>
      </c>
      <c r="LU38" s="5">
        <f t="shared" si="132"/>
        <v>375230</v>
      </c>
      <c r="LV38" s="26">
        <f t="shared" si="133"/>
        <v>0</v>
      </c>
      <c r="LW38" s="5">
        <f t="shared" si="134"/>
        <v>329043</v>
      </c>
      <c r="LX38" s="26">
        <f t="shared" si="135"/>
        <v>0</v>
      </c>
      <c r="LY38" s="5">
        <f t="shared" si="136"/>
        <v>736051</v>
      </c>
      <c r="LZ38" s="26">
        <f t="shared" si="137"/>
        <v>0</v>
      </c>
      <c r="MA38" s="5">
        <f t="shared" si="138"/>
        <v>515243</v>
      </c>
      <c r="MB38" s="26">
        <f t="shared" si="139"/>
        <v>0</v>
      </c>
      <c r="MC38" s="5">
        <f t="shared" si="140"/>
        <v>26484</v>
      </c>
      <c r="MD38" s="26">
        <f t="shared" si="141"/>
        <v>0</v>
      </c>
      <c r="ME38" s="5">
        <f t="shared" si="142"/>
        <v>500000</v>
      </c>
      <c r="MF38" s="26">
        <f t="shared" si="143"/>
        <v>0</v>
      </c>
      <c r="MG38" s="5">
        <f t="shared" si="144"/>
        <v>256824</v>
      </c>
      <c r="MH38" s="26">
        <f t="shared" si="145"/>
        <v>0</v>
      </c>
      <c r="MI38" s="5">
        <f>SUM(IP38:IT38)</f>
        <v>281934</v>
      </c>
      <c r="MJ38" s="26">
        <f>IU38-MI38</f>
        <v>0</v>
      </c>
      <c r="MK38" s="5">
        <f t="shared" si="148"/>
        <v>493235</v>
      </c>
      <c r="ML38" s="26">
        <f t="shared" si="149"/>
        <v>0</v>
      </c>
      <c r="MM38" s="5">
        <f t="shared" si="150"/>
        <v>20756745</v>
      </c>
      <c r="MN38" s="26">
        <f t="shared" si="151"/>
        <v>0</v>
      </c>
      <c r="MO38" s="5">
        <f t="shared" si="152"/>
        <v>0</v>
      </c>
      <c r="MP38" s="26">
        <f t="shared" si="153"/>
        <v>0</v>
      </c>
      <c r="MQ38" s="5">
        <f t="shared" si="154"/>
        <v>20756745</v>
      </c>
      <c r="MR38" s="26">
        <f t="shared" si="155"/>
        <v>0</v>
      </c>
      <c r="MT38" s="5">
        <f t="shared" si="76"/>
        <v>0</v>
      </c>
      <c r="MV38" s="4">
        <f t="shared" si="77"/>
        <v>0</v>
      </c>
    </row>
    <row r="39" spans="1:360" x14ac:dyDescent="0.15">
      <c r="A39" s="157" t="s">
        <v>330</v>
      </c>
      <c r="B39" s="25" t="s">
        <v>475</v>
      </c>
      <c r="C39" s="105">
        <v>181464</v>
      </c>
      <c r="D39" s="105">
        <v>2011</v>
      </c>
      <c r="E39" s="106">
        <v>1</v>
      </c>
      <c r="F39" s="106">
        <v>5</v>
      </c>
      <c r="G39" s="107">
        <v>9177</v>
      </c>
      <c r="H39" s="107">
        <v>9039</v>
      </c>
      <c r="I39" s="114">
        <v>2196654000</v>
      </c>
      <c r="J39" s="108"/>
      <c r="K39" s="108">
        <v>2741679</v>
      </c>
      <c r="L39" s="108"/>
      <c r="M39" s="108">
        <v>93411000</v>
      </c>
      <c r="N39" s="108"/>
      <c r="O39" s="114">
        <v>18695000</v>
      </c>
      <c r="P39" s="108"/>
      <c r="Q39" s="114">
        <v>731950000</v>
      </c>
      <c r="R39" s="108"/>
      <c r="S39" s="108">
        <v>11137320001</v>
      </c>
      <c r="T39" s="108"/>
      <c r="U39" s="108">
        <v>18574</v>
      </c>
      <c r="V39" s="108"/>
      <c r="W39" s="108">
        <v>27635</v>
      </c>
      <c r="X39" s="108"/>
      <c r="Y39" s="108">
        <v>21200</v>
      </c>
      <c r="Z39" s="108"/>
      <c r="AA39" s="108">
        <v>30300</v>
      </c>
      <c r="AB39" s="108"/>
      <c r="AC39" s="129">
        <v>11</v>
      </c>
      <c r="AD39" s="129">
        <v>12</v>
      </c>
      <c r="AE39" s="129">
        <v>1</v>
      </c>
      <c r="AF39" s="26">
        <v>4830225</v>
      </c>
      <c r="AG39" s="42">
        <v>3328871</v>
      </c>
      <c r="AH39" s="42">
        <v>865254</v>
      </c>
      <c r="AI39" s="42">
        <v>394811</v>
      </c>
      <c r="AJ39" s="42">
        <v>1045119.6</v>
      </c>
      <c r="AK39" s="43">
        <v>7.5</v>
      </c>
      <c r="AL39" s="42">
        <v>870933</v>
      </c>
      <c r="AM39" s="43">
        <v>9</v>
      </c>
      <c r="AN39" s="42">
        <v>212413.76</v>
      </c>
      <c r="AO39" s="43">
        <v>8.5</v>
      </c>
      <c r="AP39" s="42">
        <v>180551.7</v>
      </c>
      <c r="AQ39" s="43">
        <v>10</v>
      </c>
      <c r="AR39" s="42">
        <v>216428.6</v>
      </c>
      <c r="AS39" s="43">
        <v>23.5</v>
      </c>
      <c r="AT39" s="42">
        <v>175381.79</v>
      </c>
      <c r="AU39" s="43">
        <v>29</v>
      </c>
      <c r="AV39" s="26">
        <v>84571.08</v>
      </c>
      <c r="AW39" s="36">
        <v>18.5</v>
      </c>
      <c r="AX39" s="26">
        <v>65190.21</v>
      </c>
      <c r="AY39" s="36">
        <v>24</v>
      </c>
      <c r="AZ39" s="52">
        <v>15433628</v>
      </c>
      <c r="BA39" s="52">
        <v>12253033</v>
      </c>
      <c r="BB39" s="52">
        <v>253648</v>
      </c>
      <c r="BC39" s="52">
        <v>122027</v>
      </c>
      <c r="BD39" s="52">
        <v>335388</v>
      </c>
      <c r="BE39" s="52">
        <v>28397724</v>
      </c>
      <c r="BF39" s="52">
        <v>0</v>
      </c>
      <c r="BG39" s="52">
        <v>0</v>
      </c>
      <c r="BH39" s="52">
        <v>0</v>
      </c>
      <c r="BI39" s="52">
        <v>0</v>
      </c>
      <c r="BJ39" s="52">
        <v>819124</v>
      </c>
      <c r="BK39" s="52">
        <v>819124</v>
      </c>
      <c r="BL39" s="52">
        <v>300000</v>
      </c>
      <c r="BM39" s="52">
        <v>124659</v>
      </c>
      <c r="BN39" s="52">
        <v>0</v>
      </c>
      <c r="BO39" s="52">
        <v>24000</v>
      </c>
      <c r="BP39" s="52">
        <v>0</v>
      </c>
      <c r="BQ39" s="52">
        <v>448659</v>
      </c>
      <c r="BR39" s="52">
        <v>0</v>
      </c>
      <c r="BS39" s="52">
        <v>0</v>
      </c>
      <c r="BT39" s="52">
        <v>0</v>
      </c>
      <c r="BU39" s="52">
        <v>5600</v>
      </c>
      <c r="BV39" s="52">
        <v>14634830</v>
      </c>
      <c r="BW39" s="52">
        <v>14640430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0</v>
      </c>
      <c r="CD39" s="52">
        <v>0</v>
      </c>
      <c r="CE39" s="52">
        <v>0</v>
      </c>
      <c r="CF39" s="52">
        <v>0</v>
      </c>
      <c r="CG39" s="52">
        <v>0</v>
      </c>
      <c r="CH39" s="52">
        <v>0</v>
      </c>
      <c r="CI39" s="52">
        <v>0</v>
      </c>
      <c r="CJ39" s="52">
        <v>0</v>
      </c>
      <c r="CK39" s="52">
        <v>0</v>
      </c>
      <c r="CL39" s="52">
        <v>0</v>
      </c>
      <c r="CM39" s="52">
        <v>0</v>
      </c>
      <c r="CN39" s="52">
        <v>0</v>
      </c>
      <c r="CO39" s="52">
        <v>0</v>
      </c>
      <c r="CP39" s="52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0</v>
      </c>
      <c r="CV39" s="52">
        <v>15366495</v>
      </c>
      <c r="CW39" s="52">
        <v>5513949</v>
      </c>
      <c r="CX39" s="52">
        <v>56788</v>
      </c>
      <c r="CY39" s="52">
        <v>75017</v>
      </c>
      <c r="CZ39" s="52">
        <v>334539</v>
      </c>
      <c r="DA39" s="52">
        <v>21346788</v>
      </c>
      <c r="DB39" s="52">
        <v>16250</v>
      </c>
      <c r="DC39" s="52">
        <v>37748</v>
      </c>
      <c r="DD39" s="52">
        <v>0</v>
      </c>
      <c r="DE39" s="52">
        <v>0</v>
      </c>
      <c r="DF39" s="52">
        <v>7825000</v>
      </c>
      <c r="DG39" s="52">
        <v>7878998</v>
      </c>
      <c r="DH39" s="52">
        <v>2590449</v>
      </c>
      <c r="DI39" s="52">
        <v>8500</v>
      </c>
      <c r="DJ39" s="52">
        <v>24886</v>
      </c>
      <c r="DK39" s="52">
        <v>21517</v>
      </c>
      <c r="DL39" s="52">
        <v>363534</v>
      </c>
      <c r="DM39" s="52">
        <v>3008886</v>
      </c>
      <c r="DN39" s="52">
        <v>145000</v>
      </c>
      <c r="DO39" s="52">
        <v>65500</v>
      </c>
      <c r="DP39" s="52">
        <v>55000</v>
      </c>
      <c r="DQ39" s="52">
        <v>318000</v>
      </c>
      <c r="DR39" s="52">
        <v>4721793</v>
      </c>
      <c r="DS39" s="52">
        <v>5305293</v>
      </c>
      <c r="DT39" s="52">
        <v>167754</v>
      </c>
      <c r="DU39" s="52">
        <v>553854</v>
      </c>
      <c r="DV39" s="52">
        <v>95625</v>
      </c>
      <c r="DW39" s="52">
        <v>879129</v>
      </c>
      <c r="DX39" s="52">
        <v>278975</v>
      </c>
      <c r="DY39" s="52">
        <v>1975337</v>
      </c>
      <c r="DZ39" s="52">
        <v>0</v>
      </c>
      <c r="EA39" s="52">
        <v>0</v>
      </c>
      <c r="EB39" s="52">
        <v>0</v>
      </c>
      <c r="EC39" s="52">
        <v>0</v>
      </c>
      <c r="ED39" s="52">
        <v>886301</v>
      </c>
      <c r="EE39" s="52">
        <v>886301</v>
      </c>
      <c r="EF39" s="52">
        <v>700</v>
      </c>
      <c r="EG39" s="52">
        <v>0</v>
      </c>
      <c r="EH39" s="52">
        <v>656</v>
      </c>
      <c r="EI39" s="52">
        <v>7780</v>
      </c>
      <c r="EJ39" s="52">
        <v>161635</v>
      </c>
      <c r="EK39" s="52">
        <v>170771</v>
      </c>
      <c r="EL39" s="52">
        <v>34020276</v>
      </c>
      <c r="EM39" s="52">
        <v>18557243</v>
      </c>
      <c r="EN39" s="52">
        <v>486603</v>
      </c>
      <c r="EO39" s="52">
        <v>1453070</v>
      </c>
      <c r="EP39" s="52">
        <v>30361119</v>
      </c>
      <c r="EQ39" s="52">
        <v>84878311</v>
      </c>
      <c r="ER39" s="52">
        <v>2745464</v>
      </c>
      <c r="ES39" s="52">
        <v>442100</v>
      </c>
      <c r="ET39" s="52">
        <v>448008</v>
      </c>
      <c r="EU39" s="52">
        <v>4624352</v>
      </c>
      <c r="EV39" s="52">
        <v>1119751</v>
      </c>
      <c r="EW39" s="52">
        <v>9379675</v>
      </c>
      <c r="EX39" s="52">
        <v>1160000</v>
      </c>
      <c r="EY39" s="52">
        <v>722500</v>
      </c>
      <c r="EZ39" s="52">
        <v>79592</v>
      </c>
      <c r="FA39" s="52">
        <v>62360</v>
      </c>
      <c r="FB39" s="52">
        <v>9577</v>
      </c>
      <c r="FC39" s="52">
        <v>2034029</v>
      </c>
      <c r="FD39" s="52">
        <v>4769345</v>
      </c>
      <c r="FE39" s="52">
        <v>6116585</v>
      </c>
      <c r="FF39" s="52">
        <v>1269518</v>
      </c>
      <c r="FG39" s="52">
        <v>4139103</v>
      </c>
      <c r="FH39" s="52">
        <v>0</v>
      </c>
      <c r="FI39" s="52">
        <v>16294551</v>
      </c>
      <c r="FJ39" s="52">
        <v>0</v>
      </c>
      <c r="FK39" s="53">
        <v>0</v>
      </c>
      <c r="FL39" s="53">
        <v>0</v>
      </c>
      <c r="FM39" s="53">
        <v>0</v>
      </c>
      <c r="FN39" s="52">
        <v>0</v>
      </c>
      <c r="FO39" s="52">
        <v>0</v>
      </c>
      <c r="FP39" s="52">
        <v>635889</v>
      </c>
      <c r="FQ39" s="52">
        <v>979906</v>
      </c>
      <c r="FR39" s="52">
        <v>271023</v>
      </c>
      <c r="FS39" s="52">
        <v>225239</v>
      </c>
      <c r="FT39" s="52">
        <v>9444792</v>
      </c>
      <c r="FU39" s="52">
        <v>11556849</v>
      </c>
      <c r="FV39" s="52">
        <v>0</v>
      </c>
      <c r="FW39" s="52">
        <v>0</v>
      </c>
      <c r="FX39" s="52">
        <v>0</v>
      </c>
      <c r="FY39" s="52">
        <v>0</v>
      </c>
      <c r="FZ39" s="52">
        <v>0</v>
      </c>
      <c r="GA39" s="52">
        <v>0</v>
      </c>
      <c r="GB39" s="52">
        <v>635230</v>
      </c>
      <c r="GC39" s="52">
        <v>0</v>
      </c>
      <c r="GD39" s="52">
        <v>0</v>
      </c>
      <c r="GE39" s="52">
        <v>38253</v>
      </c>
      <c r="GF39" s="52">
        <v>0</v>
      </c>
      <c r="GG39" s="52">
        <v>673483</v>
      </c>
      <c r="GH39" s="52">
        <v>336035</v>
      </c>
      <c r="GI39" s="52">
        <v>317426</v>
      </c>
      <c r="GJ39" s="52">
        <v>115758</v>
      </c>
      <c r="GK39" s="52">
        <v>498364</v>
      </c>
      <c r="GL39" s="52">
        <v>0</v>
      </c>
      <c r="GM39" s="52">
        <v>1267583</v>
      </c>
      <c r="GN39" s="52">
        <v>1055177</v>
      </c>
      <c r="GO39" s="52">
        <v>1382407</v>
      </c>
      <c r="GP39" s="52">
        <v>530359</v>
      </c>
      <c r="GQ39" s="52">
        <v>2037248</v>
      </c>
      <c r="GR39" s="52">
        <v>29156</v>
      </c>
      <c r="GS39" s="52">
        <v>5034347</v>
      </c>
      <c r="GT39" s="52">
        <v>726708</v>
      </c>
      <c r="GU39" s="52">
        <v>239643</v>
      </c>
      <c r="GV39" s="52">
        <v>69808</v>
      </c>
      <c r="GW39" s="52">
        <v>697375</v>
      </c>
      <c r="GX39" s="52">
        <v>973755</v>
      </c>
      <c r="GY39" s="52">
        <v>2707289</v>
      </c>
      <c r="GZ39" s="52">
        <v>184722</v>
      </c>
      <c r="HA39" s="52">
        <v>640376</v>
      </c>
      <c r="HB39" s="52">
        <v>101717</v>
      </c>
      <c r="HC39" s="52">
        <v>203809</v>
      </c>
      <c r="HD39" s="52">
        <v>2289653</v>
      </c>
      <c r="HE39" s="52">
        <v>3420277</v>
      </c>
      <c r="HF39" s="52">
        <v>33980</v>
      </c>
      <c r="HG39" s="52">
        <v>7172</v>
      </c>
      <c r="HH39" s="52">
        <v>739</v>
      </c>
      <c r="HI39" s="52">
        <v>2378</v>
      </c>
      <c r="HJ39" s="52">
        <v>2312780</v>
      </c>
      <c r="HK39" s="52">
        <v>2357049</v>
      </c>
      <c r="HL39" s="52">
        <v>104151</v>
      </c>
      <c r="HM39" s="52">
        <v>200855</v>
      </c>
      <c r="HN39" s="52">
        <v>62273</v>
      </c>
      <c r="HO39" s="52">
        <v>504125</v>
      </c>
      <c r="HP39" s="52">
        <v>278975</v>
      </c>
      <c r="HQ39" s="52">
        <v>1150379</v>
      </c>
      <c r="HR39" s="52">
        <v>101548</v>
      </c>
      <c r="HS39" s="52">
        <v>580413</v>
      </c>
      <c r="HT39" s="52">
        <v>1105</v>
      </c>
      <c r="HU39" s="52">
        <v>64153</v>
      </c>
      <c r="HV39" s="52">
        <v>18275028</v>
      </c>
      <c r="HW39" s="52">
        <v>19022247</v>
      </c>
      <c r="HX39" s="52">
        <v>0</v>
      </c>
      <c r="HY39" s="52">
        <v>0</v>
      </c>
      <c r="HZ39" s="52">
        <v>0</v>
      </c>
      <c r="IA39" s="52">
        <v>0</v>
      </c>
      <c r="IB39" s="52">
        <v>723549</v>
      </c>
      <c r="IC39" s="52">
        <v>723549</v>
      </c>
      <c r="ID39" s="52">
        <v>0</v>
      </c>
      <c r="IE39" s="52">
        <v>0</v>
      </c>
      <c r="IF39" s="52">
        <v>0</v>
      </c>
      <c r="IG39" s="52">
        <v>0</v>
      </c>
      <c r="IH39" s="52">
        <v>0</v>
      </c>
      <c r="II39" s="52">
        <v>0</v>
      </c>
      <c r="IJ39" s="52">
        <v>143716</v>
      </c>
      <c r="IK39" s="52">
        <v>23802</v>
      </c>
      <c r="IL39" s="52">
        <v>17336</v>
      </c>
      <c r="IM39" s="52">
        <v>347107</v>
      </c>
      <c r="IN39" s="52">
        <v>77440</v>
      </c>
      <c r="IO39" s="52">
        <v>609401</v>
      </c>
      <c r="IP39" s="52">
        <v>0</v>
      </c>
      <c r="IQ39" s="52">
        <v>0</v>
      </c>
      <c r="IR39" s="52">
        <v>0</v>
      </c>
      <c r="IS39" s="52">
        <v>8706</v>
      </c>
      <c r="IT39" s="52">
        <v>18902</v>
      </c>
      <c r="IU39" s="52">
        <v>27608</v>
      </c>
      <c r="IV39" s="52">
        <v>1020145</v>
      </c>
      <c r="IW39" s="52">
        <v>402192</v>
      </c>
      <c r="IX39" s="52">
        <v>105980</v>
      </c>
      <c r="IY39" s="52">
        <v>325443</v>
      </c>
      <c r="IZ39" s="52">
        <v>4727930</v>
      </c>
      <c r="JA39" s="52">
        <v>6581690</v>
      </c>
      <c r="JB39" s="52">
        <v>13652110</v>
      </c>
      <c r="JC39" s="52">
        <v>12055377</v>
      </c>
      <c r="JD39" s="52">
        <v>3073216</v>
      </c>
      <c r="JE39" s="52">
        <v>13778015</v>
      </c>
      <c r="JF39" s="52">
        <v>40281288</v>
      </c>
      <c r="JG39" s="52">
        <v>82840006</v>
      </c>
      <c r="JH39" s="52">
        <v>700000</v>
      </c>
      <c r="JI39" s="52">
        <v>300000</v>
      </c>
      <c r="JJ39" s="52">
        <v>0</v>
      </c>
      <c r="JK39" s="52">
        <v>0</v>
      </c>
      <c r="JL39" s="52">
        <v>660000</v>
      </c>
      <c r="JM39" s="52">
        <v>1660000</v>
      </c>
      <c r="JN39" s="52">
        <v>14352110</v>
      </c>
      <c r="JO39" s="52">
        <v>12355377</v>
      </c>
      <c r="JP39" s="52">
        <v>3073216</v>
      </c>
      <c r="JQ39" s="52">
        <v>13778015</v>
      </c>
      <c r="JR39" s="52">
        <v>40941288</v>
      </c>
      <c r="JS39" s="52">
        <v>84500006</v>
      </c>
      <c r="JU39" s="5">
        <f>SUM(AZ39:BD39)</f>
        <v>28397724</v>
      </c>
      <c r="JV39" s="26">
        <f t="shared" si="81"/>
        <v>0</v>
      </c>
      <c r="JW39" s="5">
        <f t="shared" si="82"/>
        <v>819124</v>
      </c>
      <c r="JX39" s="26">
        <f t="shared" si="83"/>
        <v>0</v>
      </c>
      <c r="JY39" s="5">
        <f t="shared" si="84"/>
        <v>448659</v>
      </c>
      <c r="JZ39" s="26">
        <f t="shared" si="85"/>
        <v>0</v>
      </c>
      <c r="KA39" s="5">
        <f t="shared" si="86"/>
        <v>14640430</v>
      </c>
      <c r="KB39" s="26">
        <f t="shared" si="87"/>
        <v>0</v>
      </c>
      <c r="KC39" s="5">
        <f t="shared" si="88"/>
        <v>0</v>
      </c>
      <c r="KD39" s="26">
        <f t="shared" si="89"/>
        <v>0</v>
      </c>
      <c r="KE39" s="5">
        <f t="shared" si="90"/>
        <v>0</v>
      </c>
      <c r="KF39" s="26">
        <f t="shared" si="91"/>
        <v>0</v>
      </c>
      <c r="KG39" s="5">
        <f t="shared" si="92"/>
        <v>0</v>
      </c>
      <c r="KH39" s="26">
        <f t="shared" si="93"/>
        <v>0</v>
      </c>
      <c r="KI39" s="5">
        <f t="shared" si="94"/>
        <v>0</v>
      </c>
      <c r="KJ39" s="26">
        <f t="shared" si="95"/>
        <v>0</v>
      </c>
      <c r="KK39" s="5">
        <f t="shared" si="96"/>
        <v>21346788</v>
      </c>
      <c r="KL39" s="26">
        <f t="shared" si="97"/>
        <v>0</v>
      </c>
      <c r="KM39" s="5">
        <f t="shared" si="98"/>
        <v>7878998</v>
      </c>
      <c r="KN39" s="26">
        <f t="shared" si="99"/>
        <v>0</v>
      </c>
      <c r="KO39" s="5">
        <f t="shared" si="100"/>
        <v>3008886</v>
      </c>
      <c r="KP39" s="26">
        <f t="shared" si="101"/>
        <v>0</v>
      </c>
      <c r="KQ39" s="5">
        <f t="shared" si="102"/>
        <v>5305293</v>
      </c>
      <c r="KR39" s="26">
        <f t="shared" si="103"/>
        <v>0</v>
      </c>
      <c r="KS39" s="5">
        <f t="shared" si="104"/>
        <v>1975337</v>
      </c>
      <c r="KT39" s="26">
        <f t="shared" si="105"/>
        <v>0</v>
      </c>
      <c r="KU39" s="5">
        <f t="shared" si="106"/>
        <v>886301</v>
      </c>
      <c r="KV39" s="26">
        <f t="shared" si="107"/>
        <v>0</v>
      </c>
      <c r="KW39" s="5">
        <f t="shared" si="108"/>
        <v>170771</v>
      </c>
      <c r="KX39" s="26">
        <f t="shared" si="109"/>
        <v>0</v>
      </c>
      <c r="KY39" s="5">
        <f t="shared" si="110"/>
        <v>84878311</v>
      </c>
      <c r="KZ39" s="26">
        <f t="shared" si="111"/>
        <v>0</v>
      </c>
      <c r="LA39" s="5">
        <f t="shared" si="112"/>
        <v>9379675</v>
      </c>
      <c r="LB39" s="26">
        <f t="shared" si="113"/>
        <v>0</v>
      </c>
      <c r="LC39" s="5">
        <f t="shared" si="114"/>
        <v>2034029</v>
      </c>
      <c r="LD39" s="26">
        <f t="shared" si="115"/>
        <v>0</v>
      </c>
      <c r="LE39" s="5">
        <f t="shared" si="116"/>
        <v>16294551</v>
      </c>
      <c r="LF39" s="26">
        <f t="shared" si="117"/>
        <v>0</v>
      </c>
      <c r="LG39" s="5">
        <f t="shared" si="118"/>
        <v>0</v>
      </c>
      <c r="LH39" s="26">
        <f t="shared" si="119"/>
        <v>0</v>
      </c>
      <c r="LI39" s="5">
        <f t="shared" si="120"/>
        <v>11556849</v>
      </c>
      <c r="LJ39" s="26">
        <f t="shared" si="121"/>
        <v>0</v>
      </c>
      <c r="LK39" s="5">
        <f t="shared" si="122"/>
        <v>0</v>
      </c>
      <c r="LL39" s="26">
        <f t="shared" si="123"/>
        <v>0</v>
      </c>
      <c r="LM39" s="5">
        <f t="shared" si="124"/>
        <v>673483</v>
      </c>
      <c r="LN39" s="26">
        <f t="shared" si="125"/>
        <v>0</v>
      </c>
      <c r="LO39" s="5">
        <f t="shared" si="126"/>
        <v>1267583</v>
      </c>
      <c r="LP39" s="26">
        <f t="shared" si="127"/>
        <v>0</v>
      </c>
      <c r="LQ39" s="5">
        <f t="shared" si="128"/>
        <v>5034347</v>
      </c>
      <c r="LR39" s="26">
        <f t="shared" si="129"/>
        <v>0</v>
      </c>
      <c r="LS39" s="5">
        <f t="shared" si="130"/>
        <v>2707289</v>
      </c>
      <c r="LT39" s="26">
        <f t="shared" si="131"/>
        <v>0</v>
      </c>
      <c r="LU39" s="5">
        <f t="shared" si="132"/>
        <v>3420277</v>
      </c>
      <c r="LV39" s="26">
        <f t="shared" si="133"/>
        <v>0</v>
      </c>
      <c r="LW39" s="5">
        <f t="shared" si="134"/>
        <v>2357049</v>
      </c>
      <c r="LX39" s="26">
        <f t="shared" si="135"/>
        <v>0</v>
      </c>
      <c r="LY39" s="5">
        <f t="shared" si="136"/>
        <v>1150379</v>
      </c>
      <c r="LZ39" s="26">
        <f t="shared" si="137"/>
        <v>0</v>
      </c>
      <c r="MA39" s="5">
        <f t="shared" si="138"/>
        <v>19022247</v>
      </c>
      <c r="MB39" s="26">
        <f t="shared" si="139"/>
        <v>0</v>
      </c>
      <c r="MC39" s="5">
        <f t="shared" si="140"/>
        <v>723549</v>
      </c>
      <c r="MD39" s="26">
        <f t="shared" si="141"/>
        <v>0</v>
      </c>
      <c r="ME39" s="5">
        <f t="shared" si="142"/>
        <v>0</v>
      </c>
      <c r="MF39" s="26">
        <f t="shared" si="143"/>
        <v>0</v>
      </c>
      <c r="MG39" s="5">
        <f t="shared" si="144"/>
        <v>609401</v>
      </c>
      <c r="MH39" s="26">
        <f t="shared" si="145"/>
        <v>0</v>
      </c>
      <c r="MI39" s="5">
        <f t="shared" si="146"/>
        <v>27608</v>
      </c>
      <c r="MJ39" s="26">
        <f t="shared" si="147"/>
        <v>0</v>
      </c>
      <c r="MK39" s="5">
        <f t="shared" si="148"/>
        <v>6581690</v>
      </c>
      <c r="ML39" s="26">
        <f t="shared" si="149"/>
        <v>0</v>
      </c>
      <c r="MM39" s="5">
        <f>SUM(JB39:JF39)</f>
        <v>82840006</v>
      </c>
      <c r="MN39" s="26">
        <f>JG39-MM39</f>
        <v>0</v>
      </c>
      <c r="MO39" s="5">
        <f t="shared" si="152"/>
        <v>1660000</v>
      </c>
      <c r="MP39" s="26">
        <f t="shared" si="153"/>
        <v>0</v>
      </c>
      <c r="MQ39" s="5">
        <f t="shared" si="154"/>
        <v>84500006</v>
      </c>
      <c r="MR39" s="26">
        <f t="shared" si="155"/>
        <v>0</v>
      </c>
      <c r="MT39" s="5">
        <f t="shared" si="76"/>
        <v>0</v>
      </c>
      <c r="MV39" s="4">
        <f t="shared" si="77"/>
        <v>0</v>
      </c>
    </row>
    <row r="40" spans="1:360" x14ac:dyDescent="0.15">
      <c r="A40" s="157" t="s">
        <v>434</v>
      </c>
      <c r="B40" s="25" t="s">
        <v>461</v>
      </c>
      <c r="C40" s="109">
        <v>160658</v>
      </c>
      <c r="D40" s="105">
        <v>2011</v>
      </c>
      <c r="E40" s="106">
        <v>1</v>
      </c>
      <c r="F40" s="106">
        <v>8</v>
      </c>
      <c r="G40" s="107">
        <v>5672</v>
      </c>
      <c r="H40" s="107">
        <v>7203</v>
      </c>
      <c r="I40" s="108">
        <v>239381119</v>
      </c>
      <c r="J40" s="108"/>
      <c r="K40" s="108">
        <v>0</v>
      </c>
      <c r="L40" s="108"/>
      <c r="M40" s="108">
        <v>1939070</v>
      </c>
      <c r="N40" s="108"/>
      <c r="O40" s="108">
        <v>0</v>
      </c>
      <c r="P40" s="108"/>
      <c r="Q40" s="108">
        <v>151550000</v>
      </c>
      <c r="R40" s="108"/>
      <c r="S40" s="108">
        <v>209733599</v>
      </c>
      <c r="T40" s="108"/>
      <c r="U40" s="108">
        <v>9572</v>
      </c>
      <c r="V40" s="108"/>
      <c r="W40" s="108">
        <v>18144</v>
      </c>
      <c r="X40" s="108"/>
      <c r="Y40" s="108">
        <v>15198</v>
      </c>
      <c r="Z40" s="108"/>
      <c r="AA40" s="108">
        <v>21770</v>
      </c>
      <c r="AB40" s="108"/>
      <c r="AC40" s="130">
        <v>9</v>
      </c>
      <c r="AD40" s="130">
        <v>11</v>
      </c>
      <c r="AE40" s="130">
        <v>0</v>
      </c>
      <c r="AF40" s="26">
        <v>1455301</v>
      </c>
      <c r="AG40" s="26">
        <v>855612</v>
      </c>
      <c r="AH40" s="26">
        <v>255592</v>
      </c>
      <c r="AI40" s="26">
        <v>84787</v>
      </c>
      <c r="AJ40" s="26">
        <v>191737.64</v>
      </c>
      <c r="AK40" s="36">
        <v>5.5</v>
      </c>
      <c r="AL40" s="26">
        <v>175759.5</v>
      </c>
      <c r="AM40" s="36">
        <v>6</v>
      </c>
      <c r="AN40" s="26">
        <v>75272.91</v>
      </c>
      <c r="AO40" s="36">
        <v>5.5</v>
      </c>
      <c r="AP40" s="26">
        <v>69000.17</v>
      </c>
      <c r="AQ40" s="36">
        <v>6</v>
      </c>
      <c r="AR40" s="26">
        <v>113408</v>
      </c>
      <c r="AS40" s="36">
        <v>15.5</v>
      </c>
      <c r="AT40" s="26">
        <v>103401.41</v>
      </c>
      <c r="AU40" s="36">
        <v>17</v>
      </c>
      <c r="AV40" s="26">
        <v>49983.41</v>
      </c>
      <c r="AW40" s="36">
        <v>8.5</v>
      </c>
      <c r="AX40" s="26">
        <v>42485.9</v>
      </c>
      <c r="AY40" s="36">
        <v>10</v>
      </c>
      <c r="AZ40" s="54">
        <v>627060</v>
      </c>
      <c r="BA40" s="65">
        <v>314685</v>
      </c>
      <c r="BB40" s="65">
        <v>2179</v>
      </c>
      <c r="BC40" s="65">
        <v>371566</v>
      </c>
      <c r="BD40" s="65">
        <v>0</v>
      </c>
      <c r="BE40" s="65">
        <v>1315490</v>
      </c>
      <c r="BF40" s="65">
        <v>0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  <c r="BL40" s="54">
        <v>1864020</v>
      </c>
      <c r="BM40" s="65">
        <v>125000</v>
      </c>
      <c r="BN40" s="65">
        <v>2000</v>
      </c>
      <c r="BO40" s="65">
        <v>7760</v>
      </c>
      <c r="BP40" s="65">
        <v>0</v>
      </c>
      <c r="BQ40" s="65">
        <v>1998780</v>
      </c>
      <c r="BR40" s="65">
        <v>686739</v>
      </c>
      <c r="BS40" s="65">
        <v>233282</v>
      </c>
      <c r="BT40" s="65">
        <v>92657</v>
      </c>
      <c r="BU40" s="65">
        <v>783046</v>
      </c>
      <c r="BV40" s="65">
        <v>245703</v>
      </c>
      <c r="BW40" s="65">
        <v>2041427</v>
      </c>
      <c r="BX40" s="65">
        <v>0</v>
      </c>
      <c r="BY40" s="65">
        <v>0</v>
      </c>
      <c r="BZ40" s="65">
        <v>0</v>
      </c>
      <c r="CA40" s="65">
        <v>0</v>
      </c>
      <c r="CB40" s="65">
        <v>0</v>
      </c>
      <c r="CC40" s="65">
        <v>0</v>
      </c>
      <c r="CD40" s="65">
        <v>0</v>
      </c>
      <c r="CE40" s="65">
        <v>0</v>
      </c>
      <c r="CF40" s="65">
        <v>0</v>
      </c>
      <c r="CG40" s="65">
        <v>0</v>
      </c>
      <c r="CH40" s="65">
        <v>0</v>
      </c>
      <c r="CI40" s="65">
        <v>0</v>
      </c>
      <c r="CJ40" s="54">
        <v>1409356</v>
      </c>
      <c r="CK40" s="65">
        <v>809110</v>
      </c>
      <c r="CL40" s="65">
        <v>647023</v>
      </c>
      <c r="CM40" s="65">
        <v>2446589</v>
      </c>
      <c r="CN40" s="65">
        <v>515368</v>
      </c>
      <c r="CO40" s="65">
        <v>5827446</v>
      </c>
      <c r="CP40" s="65">
        <v>0</v>
      </c>
      <c r="CQ40" s="65">
        <v>0</v>
      </c>
      <c r="CR40" s="65">
        <v>0</v>
      </c>
      <c r="CS40" s="65">
        <v>0</v>
      </c>
      <c r="CT40" s="65">
        <v>0</v>
      </c>
      <c r="CU40" s="65">
        <v>0</v>
      </c>
      <c r="CV40" s="54">
        <v>0</v>
      </c>
      <c r="CW40" s="65">
        <v>0</v>
      </c>
      <c r="CX40" s="65">
        <v>0</v>
      </c>
      <c r="CY40" s="65">
        <v>18480</v>
      </c>
      <c r="CZ40" s="65">
        <v>1450500</v>
      </c>
      <c r="DA40" s="65">
        <v>1468980</v>
      </c>
      <c r="DB40" s="65">
        <v>0</v>
      </c>
      <c r="DC40" s="54">
        <v>0</v>
      </c>
      <c r="DD40" s="54">
        <v>0</v>
      </c>
      <c r="DE40" s="54">
        <v>0</v>
      </c>
      <c r="DF40" s="54">
        <v>35500</v>
      </c>
      <c r="DG40" s="54">
        <v>35500</v>
      </c>
      <c r="DH40" s="54">
        <v>95557</v>
      </c>
      <c r="DI40" s="65">
        <v>0</v>
      </c>
      <c r="DJ40" s="65">
        <v>261</v>
      </c>
      <c r="DK40" s="65">
        <v>73236</v>
      </c>
      <c r="DL40" s="65">
        <v>70958</v>
      </c>
      <c r="DM40" s="65">
        <v>240012</v>
      </c>
      <c r="DN40" s="65">
        <v>34153</v>
      </c>
      <c r="DO40" s="65">
        <v>6854</v>
      </c>
      <c r="DP40" s="65">
        <v>4582</v>
      </c>
      <c r="DQ40" s="65">
        <v>94290</v>
      </c>
      <c r="DR40" s="65">
        <v>284669</v>
      </c>
      <c r="DS40" s="65">
        <v>424548</v>
      </c>
      <c r="DT40" s="65">
        <v>0</v>
      </c>
      <c r="DU40" s="65">
        <v>0</v>
      </c>
      <c r="DV40" s="65">
        <v>0</v>
      </c>
      <c r="DW40" s="65">
        <v>0</v>
      </c>
      <c r="DX40" s="65">
        <v>0</v>
      </c>
      <c r="DY40" s="65">
        <v>0</v>
      </c>
      <c r="DZ40" s="65">
        <v>0</v>
      </c>
      <c r="EA40" s="65">
        <v>0</v>
      </c>
      <c r="EB40" s="65">
        <v>0</v>
      </c>
      <c r="EC40" s="65">
        <v>0</v>
      </c>
      <c r="ED40" s="65">
        <v>0</v>
      </c>
      <c r="EE40" s="65">
        <v>0</v>
      </c>
      <c r="EF40" s="65">
        <v>113189</v>
      </c>
      <c r="EG40" s="65">
        <v>90</v>
      </c>
      <c r="EH40" s="65">
        <v>0</v>
      </c>
      <c r="EI40" s="65">
        <v>0</v>
      </c>
      <c r="EJ40" s="65">
        <v>91439</v>
      </c>
      <c r="EK40" s="65">
        <v>204718</v>
      </c>
      <c r="EL40" s="65">
        <v>4830074</v>
      </c>
      <c r="EM40" s="65">
        <v>1489021</v>
      </c>
      <c r="EN40" s="65">
        <v>748702</v>
      </c>
      <c r="EO40" s="65">
        <v>3794967</v>
      </c>
      <c r="EP40" s="65">
        <v>2694137</v>
      </c>
      <c r="EQ40" s="65">
        <v>13556901</v>
      </c>
      <c r="ER40" s="65">
        <v>988806</v>
      </c>
      <c r="ES40" s="65">
        <v>158282</v>
      </c>
      <c r="ET40" s="65">
        <v>175796</v>
      </c>
      <c r="EU40" s="65">
        <v>992051</v>
      </c>
      <c r="EV40" s="65">
        <v>216235</v>
      </c>
      <c r="EW40" s="65">
        <v>2531170</v>
      </c>
      <c r="EX40" s="65">
        <v>400000</v>
      </c>
      <c r="EY40" s="65">
        <v>50000</v>
      </c>
      <c r="EZ40" s="65">
        <v>3000</v>
      </c>
      <c r="FA40" s="65">
        <v>25854</v>
      </c>
      <c r="FB40" s="65">
        <v>0</v>
      </c>
      <c r="FC40" s="65">
        <v>478854</v>
      </c>
      <c r="FD40" s="65">
        <v>1597784</v>
      </c>
      <c r="FE40" s="65">
        <v>699860</v>
      </c>
      <c r="FF40" s="65">
        <v>335702</v>
      </c>
      <c r="FG40" s="65">
        <v>1017895</v>
      </c>
      <c r="FH40" s="65">
        <v>0</v>
      </c>
      <c r="FI40" s="65">
        <v>3651241</v>
      </c>
      <c r="FJ40" s="65">
        <v>0</v>
      </c>
      <c r="FK40" s="65">
        <v>0</v>
      </c>
      <c r="FL40" s="65">
        <v>0</v>
      </c>
      <c r="FM40" s="65">
        <v>0</v>
      </c>
      <c r="FN40" s="65">
        <v>0</v>
      </c>
      <c r="FO40" s="65">
        <v>0</v>
      </c>
      <c r="FP40" s="54">
        <v>39382</v>
      </c>
      <c r="FQ40" s="65">
        <v>20000</v>
      </c>
      <c r="FR40" s="65">
        <v>0</v>
      </c>
      <c r="FS40" s="65">
        <v>0</v>
      </c>
      <c r="FT40" s="65">
        <v>1306796</v>
      </c>
      <c r="FU40" s="65">
        <v>1366178</v>
      </c>
      <c r="FV40" s="65">
        <v>0</v>
      </c>
      <c r="FW40" s="65">
        <v>0</v>
      </c>
      <c r="FX40" s="65">
        <v>0</v>
      </c>
      <c r="FY40" s="65">
        <v>0</v>
      </c>
      <c r="FZ40" s="65">
        <v>0</v>
      </c>
      <c r="GA40" s="65">
        <v>0</v>
      </c>
      <c r="GB40" s="54">
        <v>202064</v>
      </c>
      <c r="GC40" s="54">
        <v>7804</v>
      </c>
      <c r="GD40" s="54">
        <v>2341</v>
      </c>
      <c r="GE40" s="54">
        <v>9380</v>
      </c>
      <c r="GF40" s="54">
        <v>59063</v>
      </c>
      <c r="GG40" s="54">
        <v>280652</v>
      </c>
      <c r="GH40" s="54">
        <v>132922</v>
      </c>
      <c r="GI40" s="54">
        <v>66360</v>
      </c>
      <c r="GJ40" s="54">
        <v>36203</v>
      </c>
      <c r="GK40" s="54">
        <v>104894</v>
      </c>
      <c r="GL40" s="54">
        <v>19516</v>
      </c>
      <c r="GM40" s="54">
        <v>359895</v>
      </c>
      <c r="GN40" s="54">
        <v>596283</v>
      </c>
      <c r="GO40" s="54">
        <v>163593</v>
      </c>
      <c r="GP40" s="54">
        <v>101254</v>
      </c>
      <c r="GQ40" s="54">
        <v>671701</v>
      </c>
      <c r="GR40" s="54">
        <v>0</v>
      </c>
      <c r="GS40" s="54">
        <v>1532831</v>
      </c>
      <c r="GT40" s="54">
        <v>273261</v>
      </c>
      <c r="GU40" s="54">
        <v>60314</v>
      </c>
      <c r="GV40" s="54">
        <v>31243</v>
      </c>
      <c r="GW40" s="54">
        <v>496346</v>
      </c>
      <c r="GX40" s="54">
        <v>77356</v>
      </c>
      <c r="GY40" s="54">
        <v>938520</v>
      </c>
      <c r="GZ40" s="54">
        <v>321464</v>
      </c>
      <c r="HA40" s="54">
        <v>177911</v>
      </c>
      <c r="HB40" s="54">
        <v>51171</v>
      </c>
      <c r="HC40" s="54">
        <v>226214</v>
      </c>
      <c r="HD40" s="54">
        <v>216161</v>
      </c>
      <c r="HE40" s="54">
        <v>992921</v>
      </c>
      <c r="HF40" s="54">
        <v>194848</v>
      </c>
      <c r="HG40" s="54">
        <v>62258</v>
      </c>
      <c r="HH40" s="54">
        <v>3371</v>
      </c>
      <c r="HI40" s="54">
        <v>148369</v>
      </c>
      <c r="HJ40" s="54">
        <v>60169</v>
      </c>
      <c r="HK40" s="54">
        <v>469015</v>
      </c>
      <c r="HL40" s="54">
        <v>0</v>
      </c>
      <c r="HM40" s="54">
        <v>0</v>
      </c>
      <c r="HN40" s="54">
        <v>0</v>
      </c>
      <c r="HO40" s="54">
        <v>0</v>
      </c>
      <c r="HP40" s="54">
        <v>0</v>
      </c>
      <c r="HQ40" s="54">
        <v>0</v>
      </c>
      <c r="HR40" s="54">
        <v>32669</v>
      </c>
      <c r="HS40" s="54">
        <v>5960</v>
      </c>
      <c r="HT40" s="54">
        <v>239</v>
      </c>
      <c r="HU40" s="54">
        <v>66737</v>
      </c>
      <c r="HV40" s="54">
        <v>513551</v>
      </c>
      <c r="HW40" s="54">
        <v>619156</v>
      </c>
      <c r="HX40" s="54">
        <v>0</v>
      </c>
      <c r="HY40" s="54">
        <v>0</v>
      </c>
      <c r="HZ40" s="54">
        <v>0</v>
      </c>
      <c r="IA40" s="54">
        <v>0</v>
      </c>
      <c r="IB40" s="54">
        <v>0</v>
      </c>
      <c r="IC40" s="54">
        <v>0</v>
      </c>
      <c r="ID40" s="54">
        <v>0</v>
      </c>
      <c r="IE40" s="54">
        <v>0</v>
      </c>
      <c r="IF40" s="54">
        <v>0</v>
      </c>
      <c r="IG40" s="54">
        <v>0</v>
      </c>
      <c r="IH40" s="54">
        <v>0</v>
      </c>
      <c r="II40" s="54">
        <v>0</v>
      </c>
      <c r="IJ40" s="54">
        <v>1387</v>
      </c>
      <c r="IK40" s="54">
        <v>0</v>
      </c>
      <c r="IL40" s="54">
        <v>0</v>
      </c>
      <c r="IM40" s="54">
        <v>0</v>
      </c>
      <c r="IN40" s="54">
        <v>380295</v>
      </c>
      <c r="IO40" s="54">
        <v>381682</v>
      </c>
      <c r="IP40" s="54">
        <v>600</v>
      </c>
      <c r="IQ40" s="54">
        <v>594</v>
      </c>
      <c r="IR40" s="54">
        <v>580</v>
      </c>
      <c r="IS40" s="54">
        <v>4144</v>
      </c>
      <c r="IT40" s="54">
        <v>88565</v>
      </c>
      <c r="IU40" s="54">
        <v>94483</v>
      </c>
      <c r="IV40" s="54">
        <v>48604</v>
      </c>
      <c r="IW40" s="54">
        <v>16085</v>
      </c>
      <c r="IX40" s="54">
        <v>7802</v>
      </c>
      <c r="IY40" s="54">
        <v>31382</v>
      </c>
      <c r="IZ40" s="54">
        <v>145733</v>
      </c>
      <c r="JA40" s="54">
        <v>249606</v>
      </c>
      <c r="JB40" s="54">
        <v>4830074</v>
      </c>
      <c r="JC40" s="54">
        <v>1489021</v>
      </c>
      <c r="JD40" s="54">
        <v>748702</v>
      </c>
      <c r="JE40" s="54">
        <v>3794967</v>
      </c>
      <c r="JF40" s="54">
        <v>3083440</v>
      </c>
      <c r="JG40" s="54">
        <v>13946204</v>
      </c>
      <c r="JH40" s="54">
        <v>0</v>
      </c>
      <c r="JI40" s="54">
        <v>0</v>
      </c>
      <c r="JJ40" s="54">
        <v>0</v>
      </c>
      <c r="JK40" s="54">
        <v>0</v>
      </c>
      <c r="JL40" s="54">
        <v>0</v>
      </c>
      <c r="JM40" s="54">
        <v>0</v>
      </c>
      <c r="JN40" s="54">
        <v>4830074</v>
      </c>
      <c r="JO40" s="54">
        <v>1489021</v>
      </c>
      <c r="JP40" s="54">
        <v>748702</v>
      </c>
      <c r="JQ40" s="54">
        <v>3794967</v>
      </c>
      <c r="JR40" s="54">
        <v>3083440</v>
      </c>
      <c r="JS40" s="54">
        <v>13946204</v>
      </c>
      <c r="JU40" s="5">
        <f t="shared" si="80"/>
        <v>1315490</v>
      </c>
      <c r="JV40" s="26">
        <f t="shared" si="81"/>
        <v>0</v>
      </c>
      <c r="JW40" s="5">
        <f t="shared" si="82"/>
        <v>0</v>
      </c>
      <c r="JX40" s="26">
        <f t="shared" si="83"/>
        <v>0</v>
      </c>
      <c r="JY40" s="5">
        <f t="shared" si="84"/>
        <v>1998780</v>
      </c>
      <c r="JZ40" s="26">
        <f t="shared" si="85"/>
        <v>0</v>
      </c>
      <c r="KA40" s="5">
        <f t="shared" si="86"/>
        <v>2041427</v>
      </c>
      <c r="KB40" s="26">
        <f t="shared" si="87"/>
        <v>0</v>
      </c>
      <c r="KC40" s="5">
        <f t="shared" si="88"/>
        <v>0</v>
      </c>
      <c r="KD40" s="26">
        <f t="shared" si="89"/>
        <v>0</v>
      </c>
      <c r="KE40" s="5">
        <f t="shared" si="90"/>
        <v>0</v>
      </c>
      <c r="KF40" s="26">
        <f t="shared" si="91"/>
        <v>0</v>
      </c>
      <c r="KG40" s="5">
        <f t="shared" si="92"/>
        <v>5827446</v>
      </c>
      <c r="KH40" s="26">
        <f t="shared" si="93"/>
        <v>0</v>
      </c>
      <c r="KI40" s="5">
        <f t="shared" si="94"/>
        <v>0</v>
      </c>
      <c r="KJ40" s="26">
        <f t="shared" si="95"/>
        <v>0</v>
      </c>
      <c r="KK40" s="5">
        <f t="shared" si="96"/>
        <v>1468980</v>
      </c>
      <c r="KL40" s="26">
        <f t="shared" si="97"/>
        <v>0</v>
      </c>
      <c r="KM40" s="5">
        <f t="shared" si="98"/>
        <v>35500</v>
      </c>
      <c r="KN40" s="26">
        <f t="shared" si="99"/>
        <v>0</v>
      </c>
      <c r="KO40" s="5">
        <f t="shared" si="100"/>
        <v>240012</v>
      </c>
      <c r="KP40" s="26">
        <f t="shared" si="101"/>
        <v>0</v>
      </c>
      <c r="KQ40" s="5">
        <f t="shared" si="102"/>
        <v>424548</v>
      </c>
      <c r="KR40" s="26">
        <f t="shared" si="103"/>
        <v>0</v>
      </c>
      <c r="KS40" s="5">
        <f t="shared" si="104"/>
        <v>0</v>
      </c>
      <c r="KT40" s="26">
        <f t="shared" si="105"/>
        <v>0</v>
      </c>
      <c r="KU40" s="5">
        <f t="shared" si="106"/>
        <v>0</v>
      </c>
      <c r="KV40" s="26">
        <f t="shared" si="107"/>
        <v>0</v>
      </c>
      <c r="KW40" s="5">
        <f t="shared" si="108"/>
        <v>204718</v>
      </c>
      <c r="KX40" s="26">
        <f t="shared" si="109"/>
        <v>0</v>
      </c>
      <c r="KY40" s="5">
        <f t="shared" si="110"/>
        <v>13556901</v>
      </c>
      <c r="KZ40" s="26">
        <f t="shared" si="111"/>
        <v>0</v>
      </c>
      <c r="LA40" s="5">
        <f t="shared" si="112"/>
        <v>2531170</v>
      </c>
      <c r="LB40" s="26">
        <f t="shared" si="113"/>
        <v>0</v>
      </c>
      <c r="LC40" s="5">
        <f t="shared" si="114"/>
        <v>478854</v>
      </c>
      <c r="LD40" s="26">
        <f t="shared" si="115"/>
        <v>0</v>
      </c>
      <c r="LE40" s="5">
        <f t="shared" si="116"/>
        <v>3651241</v>
      </c>
      <c r="LF40" s="26">
        <f t="shared" si="117"/>
        <v>0</v>
      </c>
      <c r="LG40" s="5">
        <f t="shared" si="118"/>
        <v>0</v>
      </c>
      <c r="LH40" s="26">
        <f t="shared" si="119"/>
        <v>0</v>
      </c>
      <c r="LI40" s="5">
        <f t="shared" si="120"/>
        <v>1366178</v>
      </c>
      <c r="LJ40" s="26">
        <f t="shared" si="121"/>
        <v>0</v>
      </c>
      <c r="LK40" s="5">
        <f t="shared" si="122"/>
        <v>0</v>
      </c>
      <c r="LL40" s="26">
        <f t="shared" si="123"/>
        <v>0</v>
      </c>
      <c r="LM40" s="5">
        <f t="shared" si="124"/>
        <v>280652</v>
      </c>
      <c r="LN40" s="26">
        <f t="shared" si="125"/>
        <v>0</v>
      </c>
      <c r="LO40" s="5">
        <f t="shared" si="126"/>
        <v>359895</v>
      </c>
      <c r="LP40" s="26">
        <f t="shared" si="127"/>
        <v>0</v>
      </c>
      <c r="LQ40" s="5">
        <f t="shared" si="128"/>
        <v>1532831</v>
      </c>
      <c r="LR40" s="26">
        <f t="shared" si="129"/>
        <v>0</v>
      </c>
      <c r="LS40" s="5">
        <f t="shared" si="130"/>
        <v>938520</v>
      </c>
      <c r="LT40" s="26">
        <f t="shared" si="131"/>
        <v>0</v>
      </c>
      <c r="LU40" s="5">
        <f t="shared" si="132"/>
        <v>992921</v>
      </c>
      <c r="LV40" s="26">
        <f t="shared" si="133"/>
        <v>0</v>
      </c>
      <c r="LW40" s="5">
        <f t="shared" si="134"/>
        <v>469015</v>
      </c>
      <c r="LX40" s="26">
        <f t="shared" si="135"/>
        <v>0</v>
      </c>
      <c r="LY40" s="5">
        <f t="shared" si="136"/>
        <v>0</v>
      </c>
      <c r="LZ40" s="26">
        <f t="shared" si="137"/>
        <v>0</v>
      </c>
      <c r="MA40" s="5">
        <f t="shared" si="138"/>
        <v>619156</v>
      </c>
      <c r="MB40" s="26">
        <f t="shared" si="139"/>
        <v>0</v>
      </c>
      <c r="MC40" s="5">
        <f t="shared" si="140"/>
        <v>0</v>
      </c>
      <c r="MD40" s="26">
        <f t="shared" si="141"/>
        <v>0</v>
      </c>
      <c r="ME40" s="5">
        <f t="shared" si="142"/>
        <v>0</v>
      </c>
      <c r="MF40" s="26">
        <f t="shared" si="143"/>
        <v>0</v>
      </c>
      <c r="MG40" s="5">
        <f t="shared" si="144"/>
        <v>381682</v>
      </c>
      <c r="MH40" s="26">
        <f t="shared" si="145"/>
        <v>0</v>
      </c>
      <c r="MI40" s="5">
        <f t="shared" si="146"/>
        <v>94483</v>
      </c>
      <c r="MJ40" s="26">
        <f t="shared" si="147"/>
        <v>0</v>
      </c>
      <c r="MK40" s="5">
        <f t="shared" si="148"/>
        <v>249606</v>
      </c>
      <c r="ML40" s="26">
        <f t="shared" si="149"/>
        <v>0</v>
      </c>
      <c r="MM40" s="5">
        <f t="shared" si="150"/>
        <v>13946204</v>
      </c>
      <c r="MN40" s="26">
        <f t="shared" si="151"/>
        <v>0</v>
      </c>
      <c r="MO40" s="5">
        <f t="shared" si="152"/>
        <v>0</v>
      </c>
      <c r="MP40" s="26">
        <f t="shared" si="153"/>
        <v>0</v>
      </c>
      <c r="MQ40" s="5">
        <f t="shared" si="154"/>
        <v>13946204</v>
      </c>
      <c r="MR40" s="26">
        <f t="shared" si="155"/>
        <v>0</v>
      </c>
      <c r="MT40" s="5">
        <f t="shared" si="76"/>
        <v>0</v>
      </c>
      <c r="MV40" s="4">
        <f t="shared" si="77"/>
        <v>0</v>
      </c>
    </row>
    <row r="41" spans="1:360" x14ac:dyDescent="0.15">
      <c r="A41" s="157" t="s">
        <v>331</v>
      </c>
      <c r="B41" s="25" t="s">
        <v>458</v>
      </c>
      <c r="C41" s="105">
        <v>159647</v>
      </c>
      <c r="D41" s="105">
        <v>2011</v>
      </c>
      <c r="E41" s="106">
        <v>1</v>
      </c>
      <c r="F41" s="106">
        <v>8</v>
      </c>
      <c r="G41" s="107">
        <v>3408</v>
      </c>
      <c r="H41" s="107">
        <v>2913</v>
      </c>
      <c r="I41" s="108">
        <v>154999189</v>
      </c>
      <c r="J41" s="108"/>
      <c r="K41" s="108">
        <v>0</v>
      </c>
      <c r="L41" s="108"/>
      <c r="M41" s="108">
        <v>1487759</v>
      </c>
      <c r="N41" s="108"/>
      <c r="O41" s="108">
        <v>0</v>
      </c>
      <c r="P41" s="108"/>
      <c r="Q41" s="108">
        <v>75004018</v>
      </c>
      <c r="R41" s="108"/>
      <c r="S41" s="108">
        <v>127428500</v>
      </c>
      <c r="T41" s="108"/>
      <c r="U41" s="108">
        <v>12198</v>
      </c>
      <c r="V41" s="108"/>
      <c r="W41" s="108">
        <v>16791</v>
      </c>
      <c r="X41" s="108"/>
      <c r="Y41" s="108">
        <v>15903</v>
      </c>
      <c r="Z41" s="108"/>
      <c r="AA41" s="108">
        <v>15903</v>
      </c>
      <c r="AB41" s="108"/>
      <c r="AC41" s="129">
        <v>7</v>
      </c>
      <c r="AD41" s="129">
        <v>9</v>
      </c>
      <c r="AE41" s="129">
        <v>0</v>
      </c>
      <c r="AF41" s="26">
        <v>2052762</v>
      </c>
      <c r="AG41" s="26">
        <v>1327330</v>
      </c>
      <c r="AH41" s="26">
        <v>218906</v>
      </c>
      <c r="AI41" s="26">
        <v>83029</v>
      </c>
      <c r="AJ41" s="26">
        <v>215670</v>
      </c>
      <c r="AK41" s="36">
        <v>4.5</v>
      </c>
      <c r="AL41" s="26">
        <v>194103</v>
      </c>
      <c r="AM41" s="36">
        <v>5</v>
      </c>
      <c r="AN41" s="26">
        <v>87531</v>
      </c>
      <c r="AO41" s="36">
        <v>4</v>
      </c>
      <c r="AP41" s="26">
        <v>67524</v>
      </c>
      <c r="AQ41" s="36">
        <v>7</v>
      </c>
      <c r="AR41" s="26">
        <v>102023</v>
      </c>
      <c r="AS41" s="36">
        <v>15.05</v>
      </c>
      <c r="AT41" s="26">
        <v>90320</v>
      </c>
      <c r="AU41" s="36">
        <v>17</v>
      </c>
      <c r="AV41" s="26">
        <v>50529</v>
      </c>
      <c r="AW41" s="36">
        <v>9.0500000000000007</v>
      </c>
      <c r="AX41" s="26">
        <v>41571</v>
      </c>
      <c r="AY41" s="36">
        <v>11</v>
      </c>
      <c r="AZ41" s="54">
        <v>1138044</v>
      </c>
      <c r="BA41" s="54">
        <v>74804</v>
      </c>
      <c r="BB41" s="54">
        <v>100515</v>
      </c>
      <c r="BC41" s="54">
        <v>46911</v>
      </c>
      <c r="BD41" s="54">
        <v>0</v>
      </c>
      <c r="BE41" s="54">
        <v>1360274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750000</v>
      </c>
      <c r="BM41" s="54">
        <v>135000</v>
      </c>
      <c r="BN41" s="54">
        <v>5000</v>
      </c>
      <c r="BO41" s="54">
        <v>5443</v>
      </c>
      <c r="BP41" s="54">
        <v>0</v>
      </c>
      <c r="BQ41" s="54">
        <v>895443</v>
      </c>
      <c r="BR41" s="54">
        <v>448570</v>
      </c>
      <c r="BS41" s="54">
        <v>205374</v>
      </c>
      <c r="BT41" s="54">
        <v>51413</v>
      </c>
      <c r="BU41" s="54">
        <v>187269</v>
      </c>
      <c r="BV41" s="54">
        <v>1631108</v>
      </c>
      <c r="BW41" s="54">
        <v>2523734</v>
      </c>
      <c r="BX41" s="54">
        <v>0</v>
      </c>
      <c r="BY41" s="54">
        <v>0</v>
      </c>
      <c r="BZ41" s="54">
        <v>0</v>
      </c>
      <c r="CA41" s="54">
        <v>0</v>
      </c>
      <c r="CB41" s="54">
        <v>0</v>
      </c>
      <c r="CC41" s="54">
        <v>0</v>
      </c>
      <c r="CD41" s="54">
        <v>0</v>
      </c>
      <c r="CE41" s="54">
        <v>0</v>
      </c>
      <c r="CF41" s="54">
        <v>0</v>
      </c>
      <c r="CG41" s="54">
        <v>0</v>
      </c>
      <c r="CH41" s="54">
        <v>0</v>
      </c>
      <c r="CI41" s="54">
        <v>0</v>
      </c>
      <c r="CJ41" s="54">
        <v>2295857</v>
      </c>
      <c r="CK41" s="54">
        <v>899605</v>
      </c>
      <c r="CL41" s="54">
        <v>877169</v>
      </c>
      <c r="CM41" s="54">
        <v>3043087</v>
      </c>
      <c r="CN41" s="54">
        <v>93677</v>
      </c>
      <c r="CO41" s="54">
        <v>7209395</v>
      </c>
      <c r="CP41" s="54">
        <v>0</v>
      </c>
      <c r="CQ41" s="54">
        <v>0</v>
      </c>
      <c r="CR41" s="54">
        <v>0</v>
      </c>
      <c r="CS41" s="54">
        <v>0</v>
      </c>
      <c r="CT41" s="54">
        <v>2029516</v>
      </c>
      <c r="CU41" s="54">
        <v>2029516</v>
      </c>
      <c r="CV41" s="54">
        <v>434826</v>
      </c>
      <c r="CW41" s="54">
        <v>176648</v>
      </c>
      <c r="CX41" s="54">
        <v>203912</v>
      </c>
      <c r="CY41" s="54">
        <v>469084</v>
      </c>
      <c r="CZ41" s="54">
        <v>663048</v>
      </c>
      <c r="DA41" s="54">
        <v>1947518</v>
      </c>
      <c r="DB41" s="54">
        <v>0</v>
      </c>
      <c r="DC41" s="54">
        <v>0</v>
      </c>
      <c r="DD41" s="54">
        <v>0</v>
      </c>
      <c r="DE41" s="54">
        <v>0</v>
      </c>
      <c r="DF41" s="54">
        <v>0</v>
      </c>
      <c r="DG41" s="54">
        <v>0</v>
      </c>
      <c r="DH41" s="54">
        <v>61143</v>
      </c>
      <c r="DI41" s="54">
        <v>2970</v>
      </c>
      <c r="DJ41" s="54">
        <v>3681</v>
      </c>
      <c r="DK41" s="54">
        <v>2733</v>
      </c>
      <c r="DL41" s="54">
        <v>213901</v>
      </c>
      <c r="DM41" s="54">
        <v>284428</v>
      </c>
      <c r="DN41" s="54">
        <v>0</v>
      </c>
      <c r="DO41" s="54">
        <v>0</v>
      </c>
      <c r="DP41" s="54">
        <v>0</v>
      </c>
      <c r="DQ41" s="54">
        <v>0</v>
      </c>
      <c r="DR41" s="54">
        <v>635142</v>
      </c>
      <c r="DS41" s="54">
        <v>635142</v>
      </c>
      <c r="DT41" s="54">
        <v>0</v>
      </c>
      <c r="DU41" s="54">
        <v>0</v>
      </c>
      <c r="DV41" s="54">
        <v>0</v>
      </c>
      <c r="DW41" s="54">
        <v>0</v>
      </c>
      <c r="DX41" s="54">
        <v>0</v>
      </c>
      <c r="DY41" s="54">
        <v>0</v>
      </c>
      <c r="DZ41" s="54">
        <v>0</v>
      </c>
      <c r="EA41" s="54">
        <v>0</v>
      </c>
      <c r="EB41" s="54">
        <v>0</v>
      </c>
      <c r="EC41" s="54">
        <v>0</v>
      </c>
      <c r="ED41" s="54">
        <v>0</v>
      </c>
      <c r="EE41" s="54">
        <v>0</v>
      </c>
      <c r="EF41" s="54">
        <v>700</v>
      </c>
      <c r="EG41" s="54">
        <v>0</v>
      </c>
      <c r="EH41" s="54">
        <v>0</v>
      </c>
      <c r="EI41" s="54">
        <v>1113</v>
      </c>
      <c r="EJ41" s="54">
        <v>259296</v>
      </c>
      <c r="EK41" s="54">
        <v>261109</v>
      </c>
      <c r="EL41" s="54">
        <v>5129140</v>
      </c>
      <c r="EM41" s="54">
        <v>1494401</v>
      </c>
      <c r="EN41" s="54">
        <v>1241690</v>
      </c>
      <c r="EO41" s="54">
        <v>3755640</v>
      </c>
      <c r="EP41" s="54">
        <v>5525688</v>
      </c>
      <c r="EQ41" s="54">
        <v>17146559</v>
      </c>
      <c r="ER41" s="54">
        <v>1363172</v>
      </c>
      <c r="ES41" s="54">
        <v>236130</v>
      </c>
      <c r="ET41" s="54">
        <v>236869</v>
      </c>
      <c r="EU41" s="54">
        <v>1543921</v>
      </c>
      <c r="EV41" s="54">
        <v>236212</v>
      </c>
      <c r="EW41" s="54">
        <v>3616304</v>
      </c>
      <c r="EX41" s="54">
        <v>400000</v>
      </c>
      <c r="EY41" s="54">
        <v>7800</v>
      </c>
      <c r="EZ41" s="54">
        <v>14265</v>
      </c>
      <c r="FA41" s="54">
        <v>7283</v>
      </c>
      <c r="FB41" s="54">
        <v>0</v>
      </c>
      <c r="FC41" s="54">
        <v>429348</v>
      </c>
      <c r="FD41" s="54">
        <v>1572869</v>
      </c>
      <c r="FE41" s="54">
        <v>583016</v>
      </c>
      <c r="FF41" s="54">
        <v>471178</v>
      </c>
      <c r="FG41" s="54">
        <v>808851</v>
      </c>
      <c r="FH41" s="54">
        <v>0</v>
      </c>
      <c r="FI41" s="54">
        <v>3435914</v>
      </c>
      <c r="FJ41" s="54">
        <v>0</v>
      </c>
      <c r="FK41" s="54">
        <v>0</v>
      </c>
      <c r="FL41" s="54">
        <v>0</v>
      </c>
      <c r="FM41" s="54">
        <v>0</v>
      </c>
      <c r="FN41" s="54">
        <v>0</v>
      </c>
      <c r="FO41" s="54">
        <v>0</v>
      </c>
      <c r="FP41" s="54">
        <v>170858</v>
      </c>
      <c r="FQ41" s="54">
        <v>100236</v>
      </c>
      <c r="FR41" s="54">
        <v>91592</v>
      </c>
      <c r="FS41" s="54">
        <v>1143</v>
      </c>
      <c r="FT41" s="54">
        <v>1309255</v>
      </c>
      <c r="FU41" s="54">
        <v>1673084</v>
      </c>
      <c r="FV41" s="54">
        <v>0</v>
      </c>
      <c r="FW41" s="54">
        <v>0</v>
      </c>
      <c r="FX41" s="54">
        <v>0</v>
      </c>
      <c r="FY41" s="54">
        <v>0</v>
      </c>
      <c r="FZ41" s="54">
        <v>0</v>
      </c>
      <c r="GA41" s="54">
        <v>0</v>
      </c>
      <c r="GB41" s="54">
        <v>0</v>
      </c>
      <c r="GC41" s="54">
        <v>100000</v>
      </c>
      <c r="GD41" s="54">
        <v>0</v>
      </c>
      <c r="GE41" s="54">
        <v>0</v>
      </c>
      <c r="GF41" s="54">
        <v>0</v>
      </c>
      <c r="GG41" s="54">
        <v>100000</v>
      </c>
      <c r="GH41" s="54">
        <v>144058</v>
      </c>
      <c r="GI41" s="54">
        <v>40641</v>
      </c>
      <c r="GJ41" s="54">
        <v>36235</v>
      </c>
      <c r="GK41" s="54">
        <v>81001</v>
      </c>
      <c r="GL41" s="54">
        <v>2785</v>
      </c>
      <c r="GM41" s="54">
        <v>304720</v>
      </c>
      <c r="GN41" s="54">
        <v>144058</v>
      </c>
      <c r="GO41" s="54">
        <v>40641</v>
      </c>
      <c r="GP41" s="54">
        <v>36235</v>
      </c>
      <c r="GQ41" s="54">
        <v>81001</v>
      </c>
      <c r="GR41" s="54">
        <v>2785</v>
      </c>
      <c r="GS41" s="54">
        <v>304720</v>
      </c>
      <c r="GT41" s="54">
        <v>432956</v>
      </c>
      <c r="GU41" s="54">
        <v>58267</v>
      </c>
      <c r="GV41" s="54">
        <v>34145</v>
      </c>
      <c r="GW41" s="54">
        <v>302436</v>
      </c>
      <c r="GX41" s="54">
        <v>842994</v>
      </c>
      <c r="GY41" s="54">
        <v>1670798</v>
      </c>
      <c r="GZ41" s="54">
        <v>78694</v>
      </c>
      <c r="HA41" s="54">
        <v>80200</v>
      </c>
      <c r="HB41" s="54">
        <v>69846</v>
      </c>
      <c r="HC41" s="54">
        <v>70856</v>
      </c>
      <c r="HD41" s="54">
        <v>74084</v>
      </c>
      <c r="HE41" s="54">
        <v>373680</v>
      </c>
      <c r="HF41" s="54">
        <v>27326</v>
      </c>
      <c r="HG41" s="54">
        <v>1954</v>
      </c>
      <c r="HH41" s="54">
        <v>3098</v>
      </c>
      <c r="HI41" s="54">
        <v>7356</v>
      </c>
      <c r="HJ41" s="54">
        <v>193714</v>
      </c>
      <c r="HK41" s="54">
        <v>233448</v>
      </c>
      <c r="HL41" s="54">
        <v>0</v>
      </c>
      <c r="HM41" s="54">
        <v>0</v>
      </c>
      <c r="HN41" s="54">
        <v>0</v>
      </c>
      <c r="HO41" s="54">
        <v>0</v>
      </c>
      <c r="HP41" s="54">
        <v>0</v>
      </c>
      <c r="HQ41" s="54">
        <v>0</v>
      </c>
      <c r="HR41" s="54">
        <v>35804</v>
      </c>
      <c r="HS41" s="54">
        <v>14254</v>
      </c>
      <c r="HT41" s="54">
        <v>17447</v>
      </c>
      <c r="HU41" s="54">
        <v>12159</v>
      </c>
      <c r="HV41" s="54">
        <v>398467</v>
      </c>
      <c r="HW41" s="54">
        <v>478131</v>
      </c>
      <c r="HX41" s="54">
        <v>0</v>
      </c>
      <c r="HY41" s="54">
        <v>0</v>
      </c>
      <c r="HZ41" s="54">
        <v>0</v>
      </c>
      <c r="IA41" s="54">
        <v>0</v>
      </c>
      <c r="IB41" s="54">
        <v>0</v>
      </c>
      <c r="IC41" s="54">
        <v>0</v>
      </c>
      <c r="ID41" s="54">
        <v>0</v>
      </c>
      <c r="IE41" s="54">
        <v>0</v>
      </c>
      <c r="IF41" s="54">
        <v>0</v>
      </c>
      <c r="IG41" s="54">
        <v>0</v>
      </c>
      <c r="IH41" s="54">
        <v>2029516</v>
      </c>
      <c r="II41" s="54">
        <v>2029516</v>
      </c>
      <c r="IJ41" s="54">
        <v>0</v>
      </c>
      <c r="IK41" s="54">
        <v>0</v>
      </c>
      <c r="IL41" s="54">
        <v>0</v>
      </c>
      <c r="IM41" s="54">
        <v>0</v>
      </c>
      <c r="IN41" s="54">
        <v>195672</v>
      </c>
      <c r="IO41" s="54">
        <v>195672</v>
      </c>
      <c r="IP41" s="54">
        <v>680</v>
      </c>
      <c r="IQ41" s="54">
        <v>125</v>
      </c>
      <c r="IR41" s="54">
        <v>580</v>
      </c>
      <c r="IS41" s="54">
        <v>3716</v>
      </c>
      <c r="IT41" s="54">
        <v>409924</v>
      </c>
      <c r="IU41" s="54">
        <v>415025</v>
      </c>
      <c r="IV41" s="54">
        <v>38195</v>
      </c>
      <c r="IW41" s="54">
        <v>5774</v>
      </c>
      <c r="IX41" s="54">
        <v>44245</v>
      </c>
      <c r="IY41" s="54">
        <v>7566</v>
      </c>
      <c r="IZ41" s="54">
        <v>53121</v>
      </c>
      <c r="JA41" s="54">
        <v>148901</v>
      </c>
      <c r="JB41" s="54">
        <v>5045127</v>
      </c>
      <c r="JC41" s="54">
        <v>1464770</v>
      </c>
      <c r="JD41" s="54">
        <v>1212742</v>
      </c>
      <c r="JE41" s="54">
        <v>3665084</v>
      </c>
      <c r="JF41" s="54">
        <v>5747560</v>
      </c>
      <c r="JG41" s="54">
        <v>17135283</v>
      </c>
      <c r="JH41" s="54">
        <v>0</v>
      </c>
      <c r="JI41" s="54">
        <v>0</v>
      </c>
      <c r="JJ41" s="54">
        <v>0</v>
      </c>
      <c r="JK41" s="54">
        <v>0</v>
      </c>
      <c r="JL41" s="54">
        <v>0</v>
      </c>
      <c r="JM41" s="54">
        <v>0</v>
      </c>
      <c r="JN41" s="54">
        <v>5045127</v>
      </c>
      <c r="JO41" s="54">
        <v>1464770</v>
      </c>
      <c r="JP41" s="54">
        <v>1212742</v>
      </c>
      <c r="JQ41" s="54">
        <v>3665084</v>
      </c>
      <c r="JR41" s="54">
        <v>5747560</v>
      </c>
      <c r="JS41" s="54">
        <v>17135283</v>
      </c>
      <c r="JU41" s="5">
        <f t="shared" si="80"/>
        <v>1360274</v>
      </c>
      <c r="JV41" s="26">
        <f t="shared" si="81"/>
        <v>0</v>
      </c>
      <c r="JW41" s="5">
        <f t="shared" si="82"/>
        <v>0</v>
      </c>
      <c r="JX41" s="26">
        <f t="shared" si="83"/>
        <v>0</v>
      </c>
      <c r="JY41" s="5">
        <f t="shared" si="84"/>
        <v>895443</v>
      </c>
      <c r="JZ41" s="26">
        <f t="shared" si="85"/>
        <v>0</v>
      </c>
      <c r="KA41" s="5">
        <f t="shared" si="86"/>
        <v>2523734</v>
      </c>
      <c r="KB41" s="26">
        <f t="shared" si="87"/>
        <v>0</v>
      </c>
      <c r="KC41" s="5">
        <f t="shared" si="88"/>
        <v>0</v>
      </c>
      <c r="KD41" s="26">
        <f t="shared" si="89"/>
        <v>0</v>
      </c>
      <c r="KE41" s="5">
        <f t="shared" si="90"/>
        <v>0</v>
      </c>
      <c r="KF41" s="26">
        <f t="shared" si="91"/>
        <v>0</v>
      </c>
      <c r="KG41" s="5">
        <f t="shared" si="92"/>
        <v>7209395</v>
      </c>
      <c r="KH41" s="26">
        <f t="shared" si="93"/>
        <v>0</v>
      </c>
      <c r="KI41" s="5">
        <f t="shared" si="94"/>
        <v>2029516</v>
      </c>
      <c r="KJ41" s="26">
        <f t="shared" si="95"/>
        <v>0</v>
      </c>
      <c r="KK41" s="5">
        <f t="shared" si="96"/>
        <v>1947518</v>
      </c>
      <c r="KL41" s="26">
        <f t="shared" si="97"/>
        <v>0</v>
      </c>
      <c r="KM41" s="5">
        <f t="shared" si="98"/>
        <v>0</v>
      </c>
      <c r="KN41" s="26">
        <f t="shared" si="99"/>
        <v>0</v>
      </c>
      <c r="KO41" s="5">
        <f t="shared" si="100"/>
        <v>284428</v>
      </c>
      <c r="KP41" s="26">
        <f t="shared" si="101"/>
        <v>0</v>
      </c>
      <c r="KQ41" s="5">
        <f t="shared" si="102"/>
        <v>635142</v>
      </c>
      <c r="KR41" s="26">
        <f t="shared" si="103"/>
        <v>0</v>
      </c>
      <c r="KS41" s="5">
        <f t="shared" si="104"/>
        <v>0</v>
      </c>
      <c r="KT41" s="26">
        <f t="shared" si="105"/>
        <v>0</v>
      </c>
      <c r="KU41" s="5">
        <f t="shared" si="106"/>
        <v>0</v>
      </c>
      <c r="KV41" s="26">
        <f t="shared" si="107"/>
        <v>0</v>
      </c>
      <c r="KW41" s="5">
        <f t="shared" si="108"/>
        <v>261109</v>
      </c>
      <c r="KX41" s="26">
        <f t="shared" si="109"/>
        <v>0</v>
      </c>
      <c r="KY41" s="5">
        <f t="shared" si="110"/>
        <v>17146559</v>
      </c>
      <c r="KZ41" s="26">
        <f t="shared" si="111"/>
        <v>0</v>
      </c>
      <c r="LA41" s="5">
        <f t="shared" si="112"/>
        <v>3616304</v>
      </c>
      <c r="LB41" s="26">
        <f t="shared" si="113"/>
        <v>0</v>
      </c>
      <c r="LC41" s="5">
        <f t="shared" si="114"/>
        <v>429348</v>
      </c>
      <c r="LD41" s="26">
        <f t="shared" si="115"/>
        <v>0</v>
      </c>
      <c r="LE41" s="5">
        <f t="shared" si="116"/>
        <v>3435914</v>
      </c>
      <c r="LF41" s="26">
        <f t="shared" si="117"/>
        <v>0</v>
      </c>
      <c r="LG41" s="5">
        <f t="shared" si="118"/>
        <v>0</v>
      </c>
      <c r="LH41" s="26">
        <f t="shared" si="119"/>
        <v>0</v>
      </c>
      <c r="LI41" s="5">
        <f t="shared" si="120"/>
        <v>1673084</v>
      </c>
      <c r="LJ41" s="26">
        <f t="shared" si="121"/>
        <v>0</v>
      </c>
      <c r="LK41" s="5">
        <f t="shared" si="122"/>
        <v>0</v>
      </c>
      <c r="LL41" s="26">
        <f t="shared" si="123"/>
        <v>0</v>
      </c>
      <c r="LM41" s="5">
        <f t="shared" si="124"/>
        <v>100000</v>
      </c>
      <c r="LN41" s="26">
        <f t="shared" si="125"/>
        <v>0</v>
      </c>
      <c r="LO41" s="5">
        <f t="shared" si="126"/>
        <v>304720</v>
      </c>
      <c r="LP41" s="26">
        <f t="shared" si="127"/>
        <v>0</v>
      </c>
      <c r="LQ41" s="5">
        <f t="shared" si="128"/>
        <v>304720</v>
      </c>
      <c r="LR41" s="26">
        <f t="shared" si="129"/>
        <v>0</v>
      </c>
      <c r="LS41" s="5">
        <f t="shared" si="130"/>
        <v>1670798</v>
      </c>
      <c r="LT41" s="26">
        <f t="shared" si="131"/>
        <v>0</v>
      </c>
      <c r="LU41" s="5">
        <f t="shared" si="132"/>
        <v>373680</v>
      </c>
      <c r="LV41" s="26">
        <f t="shared" si="133"/>
        <v>0</v>
      </c>
      <c r="LW41" s="5">
        <f t="shared" si="134"/>
        <v>233448</v>
      </c>
      <c r="LX41" s="26">
        <f t="shared" si="135"/>
        <v>0</v>
      </c>
      <c r="LY41" s="5">
        <f t="shared" si="136"/>
        <v>0</v>
      </c>
      <c r="LZ41" s="26">
        <f t="shared" si="137"/>
        <v>0</v>
      </c>
      <c r="MA41" s="5">
        <f t="shared" si="138"/>
        <v>478131</v>
      </c>
      <c r="MB41" s="26">
        <f t="shared" si="139"/>
        <v>0</v>
      </c>
      <c r="MC41" s="5">
        <f t="shared" si="140"/>
        <v>0</v>
      </c>
      <c r="MD41" s="26">
        <f t="shared" si="141"/>
        <v>0</v>
      </c>
      <c r="ME41" s="5">
        <f t="shared" si="142"/>
        <v>2029516</v>
      </c>
      <c r="MF41" s="26">
        <f t="shared" si="143"/>
        <v>0</v>
      </c>
      <c r="MG41" s="5">
        <f t="shared" si="144"/>
        <v>195672</v>
      </c>
      <c r="MH41" s="26">
        <f t="shared" si="145"/>
        <v>0</v>
      </c>
      <c r="MI41" s="5">
        <f t="shared" si="146"/>
        <v>415025</v>
      </c>
      <c r="MJ41" s="26">
        <f t="shared" si="147"/>
        <v>0</v>
      </c>
      <c r="MK41" s="5">
        <f t="shared" si="148"/>
        <v>148901</v>
      </c>
      <c r="ML41" s="26">
        <f t="shared" si="149"/>
        <v>0</v>
      </c>
      <c r="MM41" s="5">
        <f t="shared" si="150"/>
        <v>17135283</v>
      </c>
      <c r="MN41" s="26">
        <f t="shared" si="151"/>
        <v>0</v>
      </c>
      <c r="MO41" s="5">
        <f t="shared" si="152"/>
        <v>0</v>
      </c>
      <c r="MP41" s="26">
        <f t="shared" si="153"/>
        <v>0</v>
      </c>
      <c r="MQ41" s="5">
        <f t="shared" si="154"/>
        <v>17135283</v>
      </c>
      <c r="MR41" s="26">
        <f t="shared" si="155"/>
        <v>0</v>
      </c>
      <c r="MT41" s="5">
        <f t="shared" si="76"/>
        <v>0</v>
      </c>
      <c r="MV41" s="4">
        <f t="shared" si="77"/>
        <v>0</v>
      </c>
    </row>
    <row r="42" spans="1:360" x14ac:dyDescent="0.15">
      <c r="A42" s="155" t="s">
        <v>332</v>
      </c>
      <c r="B42" s="25" t="s">
        <v>475</v>
      </c>
      <c r="C42" s="105">
        <v>182290</v>
      </c>
      <c r="D42" s="105">
        <v>2011</v>
      </c>
      <c r="E42" s="106">
        <v>1</v>
      </c>
      <c r="F42" s="106">
        <v>7</v>
      </c>
      <c r="G42" s="107">
        <v>7750</v>
      </c>
      <c r="H42" s="107">
        <v>8068</v>
      </c>
      <c r="I42" s="108">
        <v>794928000</v>
      </c>
      <c r="J42" s="108"/>
      <c r="K42" s="108">
        <v>11733000</v>
      </c>
      <c r="L42" s="108"/>
      <c r="M42" s="108">
        <v>24815000</v>
      </c>
      <c r="N42" s="108"/>
      <c r="O42" s="108">
        <v>99756000</v>
      </c>
      <c r="P42" s="108"/>
      <c r="Q42" s="108">
        <v>190387000</v>
      </c>
      <c r="R42" s="108"/>
      <c r="S42" s="108">
        <v>683302000</v>
      </c>
      <c r="T42" s="108"/>
      <c r="U42" s="108">
        <v>17621</v>
      </c>
      <c r="V42" s="108"/>
      <c r="W42" s="108">
        <v>29628</v>
      </c>
      <c r="X42" s="108"/>
      <c r="Y42" s="108">
        <v>20994</v>
      </c>
      <c r="Z42" s="108"/>
      <c r="AA42" s="108">
        <v>32994</v>
      </c>
      <c r="AB42" s="108"/>
      <c r="AC42" s="129">
        <v>10</v>
      </c>
      <c r="AD42" s="129">
        <v>13</v>
      </c>
      <c r="AE42" s="129">
        <v>0</v>
      </c>
      <c r="AF42" s="26">
        <v>4331590</v>
      </c>
      <c r="AG42" s="26">
        <v>4008922</v>
      </c>
      <c r="AH42" s="26">
        <v>786576</v>
      </c>
      <c r="AI42" s="26">
        <v>342071</v>
      </c>
      <c r="AJ42" s="26">
        <v>935301.86</v>
      </c>
      <c r="AK42" s="36">
        <v>7</v>
      </c>
      <c r="AL42" s="26">
        <v>818389.13</v>
      </c>
      <c r="AM42" s="36">
        <v>8</v>
      </c>
      <c r="AN42" s="26">
        <v>194739.5</v>
      </c>
      <c r="AO42" s="36">
        <v>10</v>
      </c>
      <c r="AP42" s="26">
        <v>177035.91</v>
      </c>
      <c r="AQ42" s="36">
        <v>11</v>
      </c>
      <c r="AR42" s="26">
        <v>198378.91</v>
      </c>
      <c r="AS42" s="36">
        <v>22</v>
      </c>
      <c r="AT42" s="26">
        <v>167859.08</v>
      </c>
      <c r="AU42" s="36">
        <v>26</v>
      </c>
      <c r="AV42" s="26">
        <v>80191.48</v>
      </c>
      <c r="AW42" s="36">
        <v>21</v>
      </c>
      <c r="AX42" s="26">
        <v>67360.84</v>
      </c>
      <c r="AY42" s="36">
        <v>25</v>
      </c>
      <c r="AZ42" s="54">
        <v>11712953</v>
      </c>
      <c r="BA42" s="54">
        <v>14211513</v>
      </c>
      <c r="BB42" s="54">
        <v>488083</v>
      </c>
      <c r="BC42" s="54">
        <v>55049</v>
      </c>
      <c r="BD42" s="54">
        <v>0</v>
      </c>
      <c r="BE42" s="54">
        <v>26467598</v>
      </c>
      <c r="BF42" s="54">
        <v>0</v>
      </c>
      <c r="BG42" s="54">
        <v>0</v>
      </c>
      <c r="BH42" s="54">
        <v>0</v>
      </c>
      <c r="BI42" s="54">
        <v>0</v>
      </c>
      <c r="BJ42" s="54">
        <v>1861502</v>
      </c>
      <c r="BK42" s="54">
        <v>1861502</v>
      </c>
      <c r="BL42" s="54">
        <v>950000</v>
      </c>
      <c r="BM42" s="54">
        <v>50000</v>
      </c>
      <c r="BN42" s="54">
        <v>0</v>
      </c>
      <c r="BO42" s="54">
        <v>1150</v>
      </c>
      <c r="BP42" s="54">
        <v>0</v>
      </c>
      <c r="BQ42" s="54">
        <v>1001150</v>
      </c>
      <c r="BR42" s="54">
        <v>6252103</v>
      </c>
      <c r="BS42" s="54">
        <v>20208644</v>
      </c>
      <c r="BT42" s="54">
        <v>353001</v>
      </c>
      <c r="BU42" s="54">
        <v>699376</v>
      </c>
      <c r="BV42" s="54">
        <v>711784</v>
      </c>
      <c r="BW42" s="54">
        <v>28224908</v>
      </c>
      <c r="BX42" s="54">
        <v>0</v>
      </c>
      <c r="BY42" s="54">
        <v>0</v>
      </c>
      <c r="BZ42" s="54">
        <v>0</v>
      </c>
      <c r="CA42" s="54">
        <v>0</v>
      </c>
      <c r="CB42" s="54">
        <v>0</v>
      </c>
      <c r="CC42" s="54">
        <v>0</v>
      </c>
      <c r="CD42" s="54">
        <v>0</v>
      </c>
      <c r="CE42" s="54">
        <v>0</v>
      </c>
      <c r="CF42" s="54">
        <v>0</v>
      </c>
      <c r="CG42" s="54">
        <v>0</v>
      </c>
      <c r="CH42" s="54">
        <v>0</v>
      </c>
      <c r="CI42" s="54">
        <v>0</v>
      </c>
      <c r="CJ42" s="54">
        <v>0</v>
      </c>
      <c r="CK42" s="54">
        <v>0</v>
      </c>
      <c r="CL42" s="54">
        <v>0</v>
      </c>
      <c r="CM42" s="54">
        <v>0</v>
      </c>
      <c r="CN42" s="54">
        <v>2152967</v>
      </c>
      <c r="CO42" s="54">
        <v>2152967</v>
      </c>
      <c r="CP42" s="54">
        <v>0</v>
      </c>
      <c r="CQ42" s="54">
        <v>0</v>
      </c>
      <c r="CR42" s="54">
        <v>0</v>
      </c>
      <c r="CS42" s="54">
        <v>0</v>
      </c>
      <c r="CT42" s="54">
        <v>6046543</v>
      </c>
      <c r="CU42" s="54">
        <v>6046543</v>
      </c>
      <c r="CV42" s="54">
        <v>5069350</v>
      </c>
      <c r="CW42" s="54">
        <v>1988836</v>
      </c>
      <c r="CX42" s="54">
        <v>890</v>
      </c>
      <c r="CY42" s="54">
        <v>341976</v>
      </c>
      <c r="CZ42" s="54">
        <v>1228461</v>
      </c>
      <c r="DA42" s="54">
        <v>8629513</v>
      </c>
      <c r="DB42" s="54">
        <v>0</v>
      </c>
      <c r="DC42" s="54">
        <v>1175000</v>
      </c>
      <c r="DD42" s="54">
        <v>0</v>
      </c>
      <c r="DE42" s="54">
        <v>5000</v>
      </c>
      <c r="DF42" s="54">
        <v>0</v>
      </c>
      <c r="DG42" s="54">
        <v>1180000</v>
      </c>
      <c r="DH42" s="54">
        <v>1561331</v>
      </c>
      <c r="DI42" s="54">
        <v>981216</v>
      </c>
      <c r="DJ42" s="54">
        <v>33565</v>
      </c>
      <c r="DK42" s="54">
        <v>5743</v>
      </c>
      <c r="DL42" s="54">
        <v>462168</v>
      </c>
      <c r="DM42" s="54">
        <v>3044023</v>
      </c>
      <c r="DN42" s="54">
        <v>0</v>
      </c>
      <c r="DO42" s="54">
        <v>0</v>
      </c>
      <c r="DP42" s="54">
        <v>0</v>
      </c>
      <c r="DQ42" s="54">
        <v>0</v>
      </c>
      <c r="DR42" s="54">
        <v>3527018</v>
      </c>
      <c r="DS42" s="54">
        <v>3527018</v>
      </c>
      <c r="DT42" s="54">
        <v>0</v>
      </c>
      <c r="DU42" s="54">
        <v>0</v>
      </c>
      <c r="DV42" s="54">
        <v>0</v>
      </c>
      <c r="DW42" s="54">
        <v>0</v>
      </c>
      <c r="DX42" s="54">
        <v>0</v>
      </c>
      <c r="DY42" s="54">
        <v>0</v>
      </c>
      <c r="DZ42" s="54">
        <v>0</v>
      </c>
      <c r="EA42" s="54">
        <v>0</v>
      </c>
      <c r="EB42" s="54">
        <v>0</v>
      </c>
      <c r="EC42" s="54">
        <v>0</v>
      </c>
      <c r="ED42" s="54">
        <v>271653</v>
      </c>
      <c r="EE42" s="54">
        <v>271653</v>
      </c>
      <c r="EF42" s="54">
        <v>112916</v>
      </c>
      <c r="EG42" s="54">
        <v>2272730</v>
      </c>
      <c r="EH42" s="54">
        <v>72</v>
      </c>
      <c r="EI42" s="54">
        <v>425</v>
      </c>
      <c r="EJ42" s="54">
        <v>2943305</v>
      </c>
      <c r="EK42" s="54">
        <v>5329448</v>
      </c>
      <c r="EL42" s="54">
        <v>25658653</v>
      </c>
      <c r="EM42" s="54">
        <v>40887939</v>
      </c>
      <c r="EN42" s="54">
        <v>875611</v>
      </c>
      <c r="EO42" s="54">
        <v>1108719</v>
      </c>
      <c r="EP42" s="54">
        <v>19205401</v>
      </c>
      <c r="EQ42" s="54">
        <v>87736323</v>
      </c>
      <c r="ER42" s="54">
        <v>2457243</v>
      </c>
      <c r="ES42" s="54">
        <v>420460</v>
      </c>
      <c r="ET42" s="54">
        <v>452607</v>
      </c>
      <c r="EU42" s="54">
        <v>5010202</v>
      </c>
      <c r="EV42" s="54">
        <v>550867</v>
      </c>
      <c r="EW42" s="54">
        <v>8891379</v>
      </c>
      <c r="EX42" s="54">
        <v>1450000</v>
      </c>
      <c r="EY42" s="54">
        <v>940000</v>
      </c>
      <c r="EZ42" s="54">
        <v>47000</v>
      </c>
      <c r="FA42" s="54">
        <v>13350</v>
      </c>
      <c r="FB42" s="54">
        <v>0</v>
      </c>
      <c r="FC42" s="54">
        <v>2450350</v>
      </c>
      <c r="FD42" s="54">
        <v>4728858</v>
      </c>
      <c r="FE42" s="54">
        <v>3941139</v>
      </c>
      <c r="FF42" s="54">
        <v>1167411</v>
      </c>
      <c r="FG42" s="54">
        <v>4705457</v>
      </c>
      <c r="FH42" s="54">
        <v>0</v>
      </c>
      <c r="FI42" s="54">
        <v>14542865</v>
      </c>
      <c r="FJ42" s="54">
        <v>0</v>
      </c>
      <c r="FK42" s="54">
        <v>0</v>
      </c>
      <c r="FL42" s="54">
        <v>0</v>
      </c>
      <c r="FM42" s="54">
        <v>0</v>
      </c>
      <c r="FN42" s="54">
        <v>0</v>
      </c>
      <c r="FO42" s="54">
        <v>0</v>
      </c>
      <c r="FP42" s="54">
        <v>866225</v>
      </c>
      <c r="FQ42" s="54">
        <v>973656</v>
      </c>
      <c r="FR42" s="54">
        <v>141444</v>
      </c>
      <c r="FS42" s="54">
        <v>219142</v>
      </c>
      <c r="FT42" s="54">
        <v>9962066</v>
      </c>
      <c r="FU42" s="54">
        <v>12162533</v>
      </c>
      <c r="FV42" s="54">
        <v>0</v>
      </c>
      <c r="FW42" s="54">
        <v>0</v>
      </c>
      <c r="FX42" s="54">
        <v>0</v>
      </c>
      <c r="FY42" s="54">
        <v>0</v>
      </c>
      <c r="FZ42" s="54">
        <v>0</v>
      </c>
      <c r="GA42" s="54">
        <v>0</v>
      </c>
      <c r="GB42" s="54">
        <v>0</v>
      </c>
      <c r="GC42" s="54">
        <v>0</v>
      </c>
      <c r="GD42" s="54">
        <v>0</v>
      </c>
      <c r="GE42" s="54">
        <v>100000</v>
      </c>
      <c r="GF42" s="54">
        <v>0</v>
      </c>
      <c r="GG42" s="54">
        <v>100000</v>
      </c>
      <c r="GH42" s="54">
        <v>230650</v>
      </c>
      <c r="GI42" s="54">
        <v>419322</v>
      </c>
      <c r="GJ42" s="54">
        <v>90568</v>
      </c>
      <c r="GK42" s="54">
        <v>388107</v>
      </c>
      <c r="GL42" s="54">
        <v>542</v>
      </c>
      <c r="GM42" s="54">
        <v>1129189</v>
      </c>
      <c r="GN42" s="54">
        <v>1153033</v>
      </c>
      <c r="GO42" s="54">
        <v>860664</v>
      </c>
      <c r="GP42" s="54">
        <v>277093</v>
      </c>
      <c r="GQ42" s="54">
        <v>2256227</v>
      </c>
      <c r="GR42" s="54">
        <v>29992</v>
      </c>
      <c r="GS42" s="54">
        <v>4577009</v>
      </c>
      <c r="GT42" s="54">
        <v>571244</v>
      </c>
      <c r="GU42" s="54">
        <v>176381</v>
      </c>
      <c r="GV42" s="54">
        <v>38391</v>
      </c>
      <c r="GW42" s="54">
        <v>503297</v>
      </c>
      <c r="GX42" s="54">
        <v>795643</v>
      </c>
      <c r="GY42" s="54">
        <v>2084956</v>
      </c>
      <c r="GZ42" s="54">
        <v>1764123</v>
      </c>
      <c r="HA42" s="54">
        <v>609534</v>
      </c>
      <c r="HB42" s="54">
        <v>223148</v>
      </c>
      <c r="HC42" s="54">
        <v>372763</v>
      </c>
      <c r="HD42" s="54">
        <v>19467</v>
      </c>
      <c r="HE42" s="54">
        <v>2989035</v>
      </c>
      <c r="HF42" s="54">
        <v>45126</v>
      </c>
      <c r="HG42" s="54">
        <v>5953</v>
      </c>
      <c r="HH42" s="54">
        <v>257</v>
      </c>
      <c r="HI42" s="54">
        <v>30322</v>
      </c>
      <c r="HJ42" s="54">
        <v>222904</v>
      </c>
      <c r="HK42" s="54">
        <v>304562</v>
      </c>
      <c r="HL42" s="54">
        <v>0</v>
      </c>
      <c r="HM42" s="54">
        <v>0</v>
      </c>
      <c r="HN42" s="54">
        <v>0</v>
      </c>
      <c r="HO42" s="54">
        <v>0</v>
      </c>
      <c r="HP42" s="54">
        <v>0</v>
      </c>
      <c r="HQ42" s="54">
        <v>0</v>
      </c>
      <c r="HR42" s="54">
        <v>104151</v>
      </c>
      <c r="HS42" s="54">
        <v>3874104</v>
      </c>
      <c r="HT42" s="54">
        <v>100680</v>
      </c>
      <c r="HU42" s="54">
        <v>140884</v>
      </c>
      <c r="HV42" s="54">
        <v>3840252</v>
      </c>
      <c r="HW42" s="54">
        <v>8060071</v>
      </c>
      <c r="HX42" s="54">
        <v>0</v>
      </c>
      <c r="HY42" s="54">
        <v>0</v>
      </c>
      <c r="HZ42" s="54">
        <v>0</v>
      </c>
      <c r="IA42" s="54">
        <v>0</v>
      </c>
      <c r="IB42" s="54">
        <v>206249</v>
      </c>
      <c r="IC42" s="54">
        <v>206249</v>
      </c>
      <c r="ID42" s="54">
        <v>0</v>
      </c>
      <c r="IE42" s="54">
        <v>0</v>
      </c>
      <c r="IF42" s="54">
        <v>0</v>
      </c>
      <c r="IG42" s="54">
        <v>0</v>
      </c>
      <c r="IH42" s="54">
        <v>6046543</v>
      </c>
      <c r="II42" s="54">
        <v>6046543</v>
      </c>
      <c r="IJ42" s="54">
        <v>193418</v>
      </c>
      <c r="IK42" s="54">
        <v>40521</v>
      </c>
      <c r="IL42" s="54">
        <v>41141</v>
      </c>
      <c r="IM42" s="54">
        <v>376350</v>
      </c>
      <c r="IN42" s="54">
        <v>49</v>
      </c>
      <c r="IO42" s="54">
        <v>651479</v>
      </c>
      <c r="IP42" s="54">
        <v>7939</v>
      </c>
      <c r="IQ42" s="54">
        <v>10256</v>
      </c>
      <c r="IR42" s="54">
        <v>9540</v>
      </c>
      <c r="IS42" s="54">
        <v>32804</v>
      </c>
      <c r="IT42" s="54">
        <v>45148</v>
      </c>
      <c r="IU42" s="54">
        <v>105687</v>
      </c>
      <c r="IV42" s="54">
        <v>2010150</v>
      </c>
      <c r="IW42" s="54">
        <v>1064659</v>
      </c>
      <c r="IX42" s="54">
        <v>300717</v>
      </c>
      <c r="IY42" s="54">
        <v>1338551</v>
      </c>
      <c r="IZ42" s="54">
        <v>12821070</v>
      </c>
      <c r="JA42" s="54">
        <v>17535147</v>
      </c>
      <c r="JB42" s="54">
        <v>15582160</v>
      </c>
      <c r="JC42" s="54">
        <v>13336649</v>
      </c>
      <c r="JD42" s="54">
        <v>2889997</v>
      </c>
      <c r="JE42" s="54">
        <v>15487456</v>
      </c>
      <c r="JF42" s="54">
        <v>34540792</v>
      </c>
      <c r="JG42" s="54">
        <v>81837054</v>
      </c>
      <c r="JH42" s="54">
        <v>0</v>
      </c>
      <c r="JI42" s="54">
        <v>0</v>
      </c>
      <c r="JJ42" s="54">
        <v>0</v>
      </c>
      <c r="JK42" s="54">
        <v>0</v>
      </c>
      <c r="JL42" s="54">
        <v>0</v>
      </c>
      <c r="JM42" s="54">
        <v>0</v>
      </c>
      <c r="JN42" s="54">
        <v>15582160</v>
      </c>
      <c r="JO42" s="54">
        <v>13336649</v>
      </c>
      <c r="JP42" s="54">
        <v>2889997</v>
      </c>
      <c r="JQ42" s="54">
        <v>15487456</v>
      </c>
      <c r="JR42" s="54">
        <v>34540792</v>
      </c>
      <c r="JS42" s="54">
        <v>81837054</v>
      </c>
      <c r="JU42" s="5">
        <f t="shared" si="80"/>
        <v>26467598</v>
      </c>
      <c r="JV42" s="26">
        <f t="shared" si="81"/>
        <v>0</v>
      </c>
      <c r="JW42" s="5">
        <f t="shared" si="82"/>
        <v>1861502</v>
      </c>
      <c r="JX42" s="26">
        <f t="shared" si="83"/>
        <v>0</v>
      </c>
      <c r="JY42" s="5">
        <f t="shared" si="84"/>
        <v>1001150</v>
      </c>
      <c r="JZ42" s="26">
        <f t="shared" si="85"/>
        <v>0</v>
      </c>
      <c r="KA42" s="5">
        <f t="shared" si="86"/>
        <v>28224908</v>
      </c>
      <c r="KB42" s="26">
        <f t="shared" si="87"/>
        <v>0</v>
      </c>
      <c r="KC42" s="5">
        <f t="shared" si="88"/>
        <v>0</v>
      </c>
      <c r="KD42" s="26">
        <f t="shared" si="89"/>
        <v>0</v>
      </c>
      <c r="KE42" s="5">
        <f t="shared" si="90"/>
        <v>0</v>
      </c>
      <c r="KF42" s="26">
        <f t="shared" si="91"/>
        <v>0</v>
      </c>
      <c r="KG42" s="5">
        <f t="shared" si="92"/>
        <v>2152967</v>
      </c>
      <c r="KH42" s="26">
        <f t="shared" si="93"/>
        <v>0</v>
      </c>
      <c r="KI42" s="5">
        <f t="shared" si="94"/>
        <v>6046543</v>
      </c>
      <c r="KJ42" s="26">
        <f t="shared" si="95"/>
        <v>0</v>
      </c>
      <c r="KK42" s="5">
        <f t="shared" si="96"/>
        <v>8629513</v>
      </c>
      <c r="KL42" s="26">
        <f t="shared" si="97"/>
        <v>0</v>
      </c>
      <c r="KM42" s="5">
        <f t="shared" si="98"/>
        <v>1180000</v>
      </c>
      <c r="KN42" s="26">
        <f t="shared" si="99"/>
        <v>0</v>
      </c>
      <c r="KO42" s="5">
        <f t="shared" si="100"/>
        <v>3044023</v>
      </c>
      <c r="KP42" s="26">
        <f t="shared" si="101"/>
        <v>0</v>
      </c>
      <c r="KQ42" s="5">
        <f t="shared" si="102"/>
        <v>3527018</v>
      </c>
      <c r="KR42" s="26">
        <f t="shared" si="103"/>
        <v>0</v>
      </c>
      <c r="KS42" s="5">
        <f t="shared" si="104"/>
        <v>0</v>
      </c>
      <c r="KT42" s="26">
        <f t="shared" si="105"/>
        <v>0</v>
      </c>
      <c r="KU42" s="5">
        <f t="shared" si="106"/>
        <v>271653</v>
      </c>
      <c r="KV42" s="26">
        <f t="shared" si="107"/>
        <v>0</v>
      </c>
      <c r="KW42" s="5">
        <f t="shared" si="108"/>
        <v>5329448</v>
      </c>
      <c r="KX42" s="26">
        <f t="shared" si="109"/>
        <v>0</v>
      </c>
      <c r="KY42" s="5">
        <f t="shared" si="110"/>
        <v>87736323</v>
      </c>
      <c r="KZ42" s="26">
        <f t="shared" si="111"/>
        <v>0</v>
      </c>
      <c r="LA42" s="5">
        <f t="shared" si="112"/>
        <v>8891379</v>
      </c>
      <c r="LB42" s="26">
        <f t="shared" si="113"/>
        <v>0</v>
      </c>
      <c r="LC42" s="5">
        <f t="shared" si="114"/>
        <v>2450350</v>
      </c>
      <c r="LD42" s="26">
        <f t="shared" si="115"/>
        <v>0</v>
      </c>
      <c r="LE42" s="5">
        <f t="shared" si="116"/>
        <v>14542865</v>
      </c>
      <c r="LF42" s="26">
        <f t="shared" si="117"/>
        <v>0</v>
      </c>
      <c r="LG42" s="5">
        <f t="shared" si="118"/>
        <v>0</v>
      </c>
      <c r="LH42" s="26">
        <f t="shared" si="119"/>
        <v>0</v>
      </c>
      <c r="LI42" s="5">
        <f t="shared" si="120"/>
        <v>12162533</v>
      </c>
      <c r="LJ42" s="26">
        <f t="shared" si="121"/>
        <v>0</v>
      </c>
      <c r="LK42" s="5">
        <f t="shared" si="122"/>
        <v>0</v>
      </c>
      <c r="LL42" s="26">
        <f t="shared" si="123"/>
        <v>0</v>
      </c>
      <c r="LM42" s="5">
        <f t="shared" si="124"/>
        <v>100000</v>
      </c>
      <c r="LN42" s="26">
        <f t="shared" si="125"/>
        <v>0</v>
      </c>
      <c r="LO42" s="5">
        <f t="shared" si="126"/>
        <v>1129189</v>
      </c>
      <c r="LP42" s="26">
        <f t="shared" si="127"/>
        <v>0</v>
      </c>
      <c r="LQ42" s="5">
        <f t="shared" si="128"/>
        <v>4577009</v>
      </c>
      <c r="LR42" s="26">
        <f t="shared" si="129"/>
        <v>0</v>
      </c>
      <c r="LS42" s="5">
        <f t="shared" si="130"/>
        <v>2084956</v>
      </c>
      <c r="LT42" s="26">
        <f t="shared" si="131"/>
        <v>0</v>
      </c>
      <c r="LU42" s="5">
        <f t="shared" si="132"/>
        <v>2989035</v>
      </c>
      <c r="LV42" s="26">
        <f t="shared" si="133"/>
        <v>0</v>
      </c>
      <c r="LW42" s="5">
        <f t="shared" si="134"/>
        <v>304562</v>
      </c>
      <c r="LX42" s="26">
        <f t="shared" si="135"/>
        <v>0</v>
      </c>
      <c r="LY42" s="5">
        <f t="shared" si="136"/>
        <v>0</v>
      </c>
      <c r="LZ42" s="26">
        <f t="shared" si="137"/>
        <v>0</v>
      </c>
      <c r="MA42" s="5">
        <f t="shared" si="138"/>
        <v>8060071</v>
      </c>
      <c r="MB42" s="26">
        <f t="shared" si="139"/>
        <v>0</v>
      </c>
      <c r="MC42" s="5">
        <f t="shared" si="140"/>
        <v>206249</v>
      </c>
      <c r="MD42" s="26">
        <f t="shared" si="141"/>
        <v>0</v>
      </c>
      <c r="ME42" s="5">
        <f t="shared" si="142"/>
        <v>6046543</v>
      </c>
      <c r="MF42" s="26">
        <f t="shared" si="143"/>
        <v>0</v>
      </c>
      <c r="MG42" s="5">
        <f t="shared" si="144"/>
        <v>651479</v>
      </c>
      <c r="MH42" s="26">
        <f t="shared" si="145"/>
        <v>0</v>
      </c>
      <c r="MI42" s="5">
        <f t="shared" si="146"/>
        <v>105687</v>
      </c>
      <c r="MJ42" s="26">
        <f t="shared" si="147"/>
        <v>0</v>
      </c>
      <c r="MK42" s="5">
        <f t="shared" si="148"/>
        <v>17535147</v>
      </c>
      <c r="ML42" s="26">
        <f t="shared" si="149"/>
        <v>0</v>
      </c>
      <c r="MM42" s="5">
        <f t="shared" si="150"/>
        <v>81837054</v>
      </c>
      <c r="MN42" s="26">
        <f t="shared" si="151"/>
        <v>0</v>
      </c>
      <c r="MO42" s="5">
        <f t="shared" si="152"/>
        <v>0</v>
      </c>
      <c r="MP42" s="26">
        <f t="shared" si="153"/>
        <v>0</v>
      </c>
      <c r="MQ42" s="5">
        <f t="shared" si="154"/>
        <v>81837054</v>
      </c>
      <c r="MR42" s="26">
        <f t="shared" si="155"/>
        <v>0</v>
      </c>
      <c r="MT42" s="5">
        <f t="shared" si="76"/>
        <v>0</v>
      </c>
      <c r="MV42" s="4">
        <f t="shared" si="77"/>
        <v>0</v>
      </c>
    </row>
    <row r="43" spans="1:360" x14ac:dyDescent="0.15">
      <c r="A43" s="157" t="s">
        <v>436</v>
      </c>
      <c r="B43" s="25" t="s">
        <v>407</v>
      </c>
      <c r="C43" s="109">
        <v>176372</v>
      </c>
      <c r="D43" s="105">
        <v>2011</v>
      </c>
      <c r="E43" s="106">
        <v>1</v>
      </c>
      <c r="F43" s="106">
        <v>5</v>
      </c>
      <c r="G43" s="107">
        <v>10802</v>
      </c>
      <c r="H43" s="107">
        <v>11197</v>
      </c>
      <c r="I43" s="108">
        <v>755920659</v>
      </c>
      <c r="J43" s="108"/>
      <c r="K43" s="108">
        <v>13515036</v>
      </c>
      <c r="L43" s="108"/>
      <c r="M43" s="108">
        <v>27087707</v>
      </c>
      <c r="N43" s="108"/>
      <c r="O43" s="108">
        <v>201998800</v>
      </c>
      <c r="P43" s="108"/>
      <c r="Q43" s="108">
        <v>384815000</v>
      </c>
      <c r="R43" s="108"/>
      <c r="S43" s="108">
        <v>628964973</v>
      </c>
      <c r="T43" s="108"/>
      <c r="U43" s="108">
        <v>18580</v>
      </c>
      <c r="V43" s="108"/>
      <c r="W43" s="108">
        <v>29363</v>
      </c>
      <c r="X43" s="108"/>
      <c r="Y43" s="108">
        <v>21450</v>
      </c>
      <c r="Z43" s="108"/>
      <c r="AA43" s="108">
        <v>32233</v>
      </c>
      <c r="AB43" s="108"/>
      <c r="AC43" s="129">
        <v>9</v>
      </c>
      <c r="AD43" s="129">
        <v>11</v>
      </c>
      <c r="AE43" s="129">
        <v>0</v>
      </c>
      <c r="AF43" s="26">
        <v>5103447</v>
      </c>
      <c r="AG43" s="26">
        <v>4162716</v>
      </c>
      <c r="AH43" s="26">
        <v>574182</v>
      </c>
      <c r="AI43" s="26">
        <v>353808</v>
      </c>
      <c r="AJ43" s="26">
        <v>949494</v>
      </c>
      <c r="AK43" s="36">
        <v>7</v>
      </c>
      <c r="AL43" s="26">
        <v>771464</v>
      </c>
      <c r="AM43" s="36">
        <v>8</v>
      </c>
      <c r="AN43" s="26">
        <v>239566</v>
      </c>
      <c r="AO43" s="36">
        <v>9</v>
      </c>
      <c r="AP43" s="26">
        <v>203631</v>
      </c>
      <c r="AQ43" s="36">
        <v>10</v>
      </c>
      <c r="AR43" s="26">
        <v>305606</v>
      </c>
      <c r="AS43" s="36">
        <v>20</v>
      </c>
      <c r="AT43" s="26">
        <v>259101</v>
      </c>
      <c r="AU43" s="36">
        <v>23</v>
      </c>
      <c r="AV43" s="26">
        <v>98492</v>
      </c>
      <c r="AW43" s="36">
        <v>18</v>
      </c>
      <c r="AX43" s="26">
        <v>82077</v>
      </c>
      <c r="AY43" s="36">
        <v>21</v>
      </c>
      <c r="AZ43" s="54">
        <v>29571245</v>
      </c>
      <c r="BA43" s="54">
        <v>1330670</v>
      </c>
      <c r="BB43" s="54">
        <v>241263</v>
      </c>
      <c r="BC43" s="54">
        <v>2816207</v>
      </c>
      <c r="BD43" s="54">
        <v>1120194</v>
      </c>
      <c r="BE43" s="54">
        <v>35079579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73170</v>
      </c>
      <c r="BM43" s="54">
        <v>0</v>
      </c>
      <c r="BN43" s="54">
        <v>25000</v>
      </c>
      <c r="BO43" s="54">
        <v>0</v>
      </c>
      <c r="BP43" s="54">
        <v>0</v>
      </c>
      <c r="BQ43" s="54">
        <v>98170</v>
      </c>
      <c r="BR43" s="54">
        <v>22184862</v>
      </c>
      <c r="BS43" s="54">
        <v>594247</v>
      </c>
      <c r="BT43" s="54">
        <v>156757</v>
      </c>
      <c r="BU43" s="54">
        <v>5148750</v>
      </c>
      <c r="BV43" s="54">
        <v>3842413</v>
      </c>
      <c r="BW43" s="54">
        <v>31927029</v>
      </c>
      <c r="BX43" s="54">
        <v>631950</v>
      </c>
      <c r="BY43" s="54">
        <v>0</v>
      </c>
      <c r="BZ43" s="54">
        <v>6850</v>
      </c>
      <c r="CA43" s="54">
        <v>52600</v>
      </c>
      <c r="CB43" s="54">
        <v>146281</v>
      </c>
      <c r="CC43" s="54">
        <v>837681</v>
      </c>
      <c r="CD43" s="54">
        <v>0</v>
      </c>
      <c r="CE43" s="54">
        <v>0</v>
      </c>
      <c r="CF43" s="54">
        <v>0</v>
      </c>
      <c r="CG43" s="54">
        <v>0</v>
      </c>
      <c r="CH43" s="54">
        <v>0</v>
      </c>
      <c r="CI43" s="54">
        <v>0</v>
      </c>
      <c r="CJ43" s="54">
        <v>0</v>
      </c>
      <c r="CK43" s="54">
        <v>0</v>
      </c>
      <c r="CL43" s="54">
        <v>0</v>
      </c>
      <c r="CM43" s="54">
        <v>0</v>
      </c>
      <c r="CN43" s="54">
        <v>0</v>
      </c>
      <c r="CO43" s="54">
        <v>0</v>
      </c>
      <c r="CP43" s="54">
        <v>0</v>
      </c>
      <c r="CQ43" s="54">
        <v>0</v>
      </c>
      <c r="CR43" s="54">
        <v>0</v>
      </c>
      <c r="CS43" s="54">
        <v>0</v>
      </c>
      <c r="CT43" s="54">
        <v>0</v>
      </c>
      <c r="CU43" s="54">
        <v>0</v>
      </c>
      <c r="CV43" s="54">
        <v>14445811</v>
      </c>
      <c r="CW43" s="54">
        <v>4969251</v>
      </c>
      <c r="CX43" s="54">
        <v>0</v>
      </c>
      <c r="CY43" s="54">
        <v>1737</v>
      </c>
      <c r="CZ43" s="54">
        <v>1111947</v>
      </c>
      <c r="DA43" s="54">
        <v>20528746</v>
      </c>
      <c r="DB43" s="54">
        <v>0</v>
      </c>
      <c r="DC43" s="54">
        <v>0</v>
      </c>
      <c r="DD43" s="54">
        <v>0</v>
      </c>
      <c r="DE43" s="54">
        <v>0</v>
      </c>
      <c r="DF43" s="54">
        <v>6839228</v>
      </c>
      <c r="DG43" s="54">
        <v>6839228</v>
      </c>
      <c r="DH43" s="54">
        <v>2235053</v>
      </c>
      <c r="DI43" s="54">
        <v>88600</v>
      </c>
      <c r="DJ43" s="54">
        <v>7590</v>
      </c>
      <c r="DK43" s="54">
        <v>200543</v>
      </c>
      <c r="DL43" s="54">
        <v>5225952</v>
      </c>
      <c r="DM43" s="54">
        <v>7757738</v>
      </c>
      <c r="DN43" s="54">
        <v>0</v>
      </c>
      <c r="DO43" s="54">
        <v>0</v>
      </c>
      <c r="DP43" s="54">
        <v>0</v>
      </c>
      <c r="DQ43" s="54">
        <v>0</v>
      </c>
      <c r="DR43" s="54">
        <v>2339891</v>
      </c>
      <c r="DS43" s="54">
        <v>2339891</v>
      </c>
      <c r="DT43" s="54">
        <v>0</v>
      </c>
      <c r="DU43" s="54">
        <v>0</v>
      </c>
      <c r="DV43" s="54">
        <v>0</v>
      </c>
      <c r="DW43" s="54">
        <v>0</v>
      </c>
      <c r="DX43" s="54">
        <v>0</v>
      </c>
      <c r="DY43" s="54">
        <v>0</v>
      </c>
      <c r="DZ43" s="54">
        <v>0</v>
      </c>
      <c r="EA43" s="54">
        <v>0</v>
      </c>
      <c r="EB43" s="54">
        <v>0</v>
      </c>
      <c r="EC43" s="54">
        <v>0</v>
      </c>
      <c r="ED43" s="54">
        <v>1029603</v>
      </c>
      <c r="EE43" s="54">
        <v>1029603</v>
      </c>
      <c r="EF43" s="54">
        <v>0</v>
      </c>
      <c r="EG43" s="54">
        <v>0</v>
      </c>
      <c r="EH43" s="54">
        <v>0</v>
      </c>
      <c r="EI43" s="54">
        <v>0</v>
      </c>
      <c r="EJ43" s="54">
        <v>821687</v>
      </c>
      <c r="EK43" s="54">
        <v>821687</v>
      </c>
      <c r="EL43" s="54">
        <v>69142091</v>
      </c>
      <c r="EM43" s="54">
        <v>6982768</v>
      </c>
      <c r="EN43" s="54">
        <v>437460</v>
      </c>
      <c r="EO43" s="54">
        <v>8219837</v>
      </c>
      <c r="EP43" s="54">
        <v>22477196</v>
      </c>
      <c r="EQ43" s="54">
        <v>107259352</v>
      </c>
      <c r="ER43" s="54">
        <v>2927507</v>
      </c>
      <c r="ES43" s="54">
        <v>440269</v>
      </c>
      <c r="ET43" s="54">
        <v>561080</v>
      </c>
      <c r="EU43" s="54">
        <v>5337307</v>
      </c>
      <c r="EV43" s="54">
        <v>699944</v>
      </c>
      <c r="EW43" s="54">
        <v>9966107</v>
      </c>
      <c r="EX43" s="54">
        <v>1705000</v>
      </c>
      <c r="EY43" s="54">
        <v>530000</v>
      </c>
      <c r="EZ43" s="54">
        <v>60000</v>
      </c>
      <c r="FA43" s="54">
        <v>78574</v>
      </c>
      <c r="FB43" s="54">
        <v>0</v>
      </c>
      <c r="FC43" s="54">
        <v>2373574</v>
      </c>
      <c r="FD43" s="54">
        <v>8025227</v>
      </c>
      <c r="FE43" s="54">
        <v>1993509</v>
      </c>
      <c r="FF43" s="54">
        <v>1385745</v>
      </c>
      <c r="FG43" s="54">
        <v>4486495</v>
      </c>
      <c r="FH43" s="54">
        <v>0</v>
      </c>
      <c r="FI43" s="54">
        <v>15890976</v>
      </c>
      <c r="FJ43" s="54">
        <v>615000</v>
      </c>
      <c r="FK43" s="54">
        <v>0</v>
      </c>
      <c r="FL43" s="54">
        <v>6850</v>
      </c>
      <c r="FM43" s="54">
        <v>52600</v>
      </c>
      <c r="FN43" s="54">
        <v>0</v>
      </c>
      <c r="FO43" s="54">
        <v>674450</v>
      </c>
      <c r="FP43" s="54">
        <v>1333354</v>
      </c>
      <c r="FQ43" s="54">
        <v>146907</v>
      </c>
      <c r="FR43" s="54">
        <v>151416</v>
      </c>
      <c r="FS43" s="54">
        <v>318225</v>
      </c>
      <c r="FT43" s="54">
        <v>11873082</v>
      </c>
      <c r="FU43" s="54">
        <v>13822984</v>
      </c>
      <c r="FV43" s="54">
        <v>16950</v>
      </c>
      <c r="FW43" s="54">
        <v>0</v>
      </c>
      <c r="FX43" s="54">
        <v>0</v>
      </c>
      <c r="FY43" s="54">
        <v>0</v>
      </c>
      <c r="FZ43" s="54">
        <v>146281</v>
      </c>
      <c r="GA43" s="54">
        <v>163231</v>
      </c>
      <c r="GB43" s="54">
        <v>90129</v>
      </c>
      <c r="GC43" s="54">
        <v>200000</v>
      </c>
      <c r="GD43" s="54">
        <v>43885</v>
      </c>
      <c r="GE43" s="54">
        <v>51133</v>
      </c>
      <c r="GF43" s="54">
        <v>80038</v>
      </c>
      <c r="GG43" s="54">
        <v>465185</v>
      </c>
      <c r="GH43" s="54">
        <v>302882</v>
      </c>
      <c r="GI43" s="54">
        <v>78266</v>
      </c>
      <c r="GJ43" s="54">
        <v>88684</v>
      </c>
      <c r="GK43" s="54">
        <v>458158</v>
      </c>
      <c r="GL43" s="54">
        <v>5570</v>
      </c>
      <c r="GM43" s="54">
        <v>933560</v>
      </c>
      <c r="GN43" s="54">
        <v>1127536</v>
      </c>
      <c r="GO43" s="54">
        <v>354852</v>
      </c>
      <c r="GP43" s="54">
        <v>425493</v>
      </c>
      <c r="GQ43" s="54">
        <v>2197989</v>
      </c>
      <c r="GR43" s="54">
        <v>30555</v>
      </c>
      <c r="GS43" s="54">
        <v>4136425</v>
      </c>
      <c r="GT43" s="54">
        <v>907803</v>
      </c>
      <c r="GU43" s="54">
        <v>77050</v>
      </c>
      <c r="GV43" s="54">
        <v>109035</v>
      </c>
      <c r="GW43" s="54">
        <v>1207052</v>
      </c>
      <c r="GX43" s="54">
        <v>218817</v>
      </c>
      <c r="GY43" s="54">
        <v>2519757</v>
      </c>
      <c r="GZ43" s="54">
        <v>713181</v>
      </c>
      <c r="HA43" s="54">
        <v>180331</v>
      </c>
      <c r="HB43" s="54">
        <v>114724</v>
      </c>
      <c r="HC43" s="54">
        <v>593299</v>
      </c>
      <c r="HD43" s="54">
        <v>4777972</v>
      </c>
      <c r="HE43" s="54">
        <v>6379507</v>
      </c>
      <c r="HF43" s="54">
        <v>206293</v>
      </c>
      <c r="HG43" s="54">
        <v>8737</v>
      </c>
      <c r="HH43" s="54">
        <v>42336</v>
      </c>
      <c r="HI43" s="54">
        <v>150482</v>
      </c>
      <c r="HJ43" s="54">
        <v>548481</v>
      </c>
      <c r="HK43" s="54">
        <v>956329</v>
      </c>
      <c r="HL43" s="54">
        <v>0</v>
      </c>
      <c r="HM43" s="54">
        <v>0</v>
      </c>
      <c r="HN43" s="54">
        <v>0</v>
      </c>
      <c r="HO43" s="54">
        <v>0</v>
      </c>
      <c r="HP43" s="54">
        <v>0</v>
      </c>
      <c r="HQ43" s="54">
        <v>0</v>
      </c>
      <c r="HR43" s="54">
        <v>43161</v>
      </c>
      <c r="HS43" s="54">
        <v>6813</v>
      </c>
      <c r="HT43" s="54">
        <v>3455</v>
      </c>
      <c r="HU43" s="54">
        <v>332965</v>
      </c>
      <c r="HV43" s="54">
        <v>16828414</v>
      </c>
      <c r="HW43" s="54">
        <v>17214808</v>
      </c>
      <c r="HX43" s="54">
        <v>0</v>
      </c>
      <c r="HY43" s="54">
        <v>0</v>
      </c>
      <c r="HZ43" s="54">
        <v>0</v>
      </c>
      <c r="IA43" s="54">
        <v>0</v>
      </c>
      <c r="IB43" s="54">
        <v>705995</v>
      </c>
      <c r="IC43" s="54">
        <v>705995</v>
      </c>
      <c r="ID43" s="54">
        <v>0</v>
      </c>
      <c r="IE43" s="54">
        <v>0</v>
      </c>
      <c r="IF43" s="54">
        <v>0</v>
      </c>
      <c r="IG43" s="54">
        <v>0</v>
      </c>
      <c r="IH43" s="54">
        <v>0</v>
      </c>
      <c r="II43" s="54">
        <v>0</v>
      </c>
      <c r="IJ43" s="54">
        <v>150603</v>
      </c>
      <c r="IK43" s="54">
        <v>16261</v>
      </c>
      <c r="IL43" s="54">
        <v>8112</v>
      </c>
      <c r="IM43" s="54">
        <v>157061</v>
      </c>
      <c r="IN43" s="54">
        <v>241499</v>
      </c>
      <c r="IO43" s="54">
        <v>573536</v>
      </c>
      <c r="IP43" s="54">
        <v>28677</v>
      </c>
      <c r="IQ43" s="54">
        <v>670</v>
      </c>
      <c r="IR43" s="54">
        <v>8090</v>
      </c>
      <c r="IS43" s="54">
        <v>10599</v>
      </c>
      <c r="IT43" s="54">
        <v>21019</v>
      </c>
      <c r="IU43" s="54">
        <v>69055</v>
      </c>
      <c r="IV43" s="54">
        <v>3876643</v>
      </c>
      <c r="IW43" s="54">
        <v>362653</v>
      </c>
      <c r="IX43" s="54">
        <v>174108</v>
      </c>
      <c r="IY43" s="54">
        <v>3143479</v>
      </c>
      <c r="IZ43" s="54">
        <v>7394563</v>
      </c>
      <c r="JA43" s="54">
        <v>14951446</v>
      </c>
      <c r="JB43" s="54">
        <v>22069946</v>
      </c>
      <c r="JC43" s="54">
        <v>4396318</v>
      </c>
      <c r="JD43" s="54">
        <v>3183013</v>
      </c>
      <c r="JE43" s="54">
        <v>18575418</v>
      </c>
      <c r="JF43" s="54">
        <v>43572230</v>
      </c>
      <c r="JG43" s="54">
        <v>91796925</v>
      </c>
      <c r="JH43" s="54">
        <v>0</v>
      </c>
      <c r="JI43" s="54">
        <v>0</v>
      </c>
      <c r="JJ43" s="54">
        <v>0</v>
      </c>
      <c r="JK43" s="54">
        <v>0</v>
      </c>
      <c r="JL43" s="54">
        <v>4509126</v>
      </c>
      <c r="JM43" s="54">
        <v>4509126</v>
      </c>
      <c r="JN43" s="54">
        <v>22069946</v>
      </c>
      <c r="JO43" s="54">
        <v>4396318</v>
      </c>
      <c r="JP43" s="54">
        <v>3183013</v>
      </c>
      <c r="JQ43" s="54">
        <v>18575418</v>
      </c>
      <c r="JR43" s="54">
        <v>48081356</v>
      </c>
      <c r="JS43" s="54">
        <v>96306051</v>
      </c>
      <c r="JU43" s="5">
        <f t="shared" si="80"/>
        <v>35079579</v>
      </c>
      <c r="JV43" s="26">
        <f t="shared" si="81"/>
        <v>0</v>
      </c>
      <c r="JW43" s="5">
        <f t="shared" si="82"/>
        <v>0</v>
      </c>
      <c r="JX43" s="26">
        <f t="shared" si="83"/>
        <v>0</v>
      </c>
      <c r="JY43" s="5">
        <f t="shared" si="84"/>
        <v>98170</v>
      </c>
      <c r="JZ43" s="26">
        <f t="shared" si="85"/>
        <v>0</v>
      </c>
      <c r="KA43" s="5">
        <f t="shared" si="86"/>
        <v>31927029</v>
      </c>
      <c r="KB43" s="26">
        <f t="shared" si="87"/>
        <v>0</v>
      </c>
      <c r="KC43" s="5">
        <f t="shared" si="88"/>
        <v>837681</v>
      </c>
      <c r="KD43" s="26">
        <f t="shared" si="89"/>
        <v>0</v>
      </c>
      <c r="KE43" s="5">
        <f t="shared" si="90"/>
        <v>0</v>
      </c>
      <c r="KF43" s="26">
        <f t="shared" si="91"/>
        <v>0</v>
      </c>
      <c r="KG43" s="5">
        <f t="shared" si="92"/>
        <v>0</v>
      </c>
      <c r="KH43" s="26">
        <f t="shared" si="93"/>
        <v>0</v>
      </c>
      <c r="KI43" s="5">
        <f t="shared" si="94"/>
        <v>0</v>
      </c>
      <c r="KJ43" s="26">
        <f t="shared" si="95"/>
        <v>0</v>
      </c>
      <c r="KK43" s="5">
        <f t="shared" si="96"/>
        <v>20528746</v>
      </c>
      <c r="KL43" s="26">
        <f t="shared" si="97"/>
        <v>0</v>
      </c>
      <c r="KM43" s="5">
        <f t="shared" si="98"/>
        <v>6839228</v>
      </c>
      <c r="KN43" s="26">
        <f t="shared" si="99"/>
        <v>0</v>
      </c>
      <c r="KO43" s="5">
        <f t="shared" si="100"/>
        <v>7757738</v>
      </c>
      <c r="KP43" s="26">
        <f t="shared" si="101"/>
        <v>0</v>
      </c>
      <c r="KQ43" s="5">
        <f t="shared" si="102"/>
        <v>2339891</v>
      </c>
      <c r="KR43" s="26">
        <f t="shared" si="103"/>
        <v>0</v>
      </c>
      <c r="KS43" s="5">
        <f t="shared" si="104"/>
        <v>0</v>
      </c>
      <c r="KT43" s="26">
        <f t="shared" si="105"/>
        <v>0</v>
      </c>
      <c r="KU43" s="5">
        <f t="shared" si="106"/>
        <v>1029603</v>
      </c>
      <c r="KV43" s="26">
        <f t="shared" si="107"/>
        <v>0</v>
      </c>
      <c r="KW43" s="5">
        <f t="shared" si="108"/>
        <v>821687</v>
      </c>
      <c r="KX43" s="26">
        <f t="shared" si="109"/>
        <v>0</v>
      </c>
      <c r="KY43" s="5">
        <f t="shared" si="110"/>
        <v>107259352</v>
      </c>
      <c r="KZ43" s="26">
        <f t="shared" si="111"/>
        <v>0</v>
      </c>
      <c r="LA43" s="5">
        <f t="shared" si="112"/>
        <v>9966107</v>
      </c>
      <c r="LB43" s="26">
        <f t="shared" si="113"/>
        <v>0</v>
      </c>
      <c r="LC43" s="5">
        <f>SUM(EX43:FB43)</f>
        <v>2373574</v>
      </c>
      <c r="LD43" s="26">
        <f>FC43-LC43</f>
        <v>0</v>
      </c>
      <c r="LE43" s="5">
        <f t="shared" si="116"/>
        <v>15890976</v>
      </c>
      <c r="LF43" s="26">
        <f t="shared" si="117"/>
        <v>0</v>
      </c>
      <c r="LG43" s="5">
        <f t="shared" si="118"/>
        <v>674450</v>
      </c>
      <c r="LH43" s="26">
        <f t="shared" si="119"/>
        <v>0</v>
      </c>
      <c r="LI43" s="5">
        <f t="shared" si="120"/>
        <v>13822984</v>
      </c>
      <c r="LJ43" s="26">
        <f t="shared" si="121"/>
        <v>0</v>
      </c>
      <c r="LK43" s="5">
        <f t="shared" si="122"/>
        <v>163231</v>
      </c>
      <c r="LL43" s="26">
        <f t="shared" si="123"/>
        <v>0</v>
      </c>
      <c r="LM43" s="5">
        <f t="shared" si="124"/>
        <v>465185</v>
      </c>
      <c r="LN43" s="26">
        <f t="shared" si="125"/>
        <v>0</v>
      </c>
      <c r="LO43" s="5">
        <f t="shared" si="126"/>
        <v>933560</v>
      </c>
      <c r="LP43" s="26">
        <f t="shared" si="127"/>
        <v>0</v>
      </c>
      <c r="LQ43" s="5">
        <f t="shared" si="128"/>
        <v>4136425</v>
      </c>
      <c r="LR43" s="26">
        <f t="shared" si="129"/>
        <v>0</v>
      </c>
      <c r="LS43" s="5">
        <f t="shared" si="130"/>
        <v>2519757</v>
      </c>
      <c r="LT43" s="26">
        <f t="shared" si="131"/>
        <v>0</v>
      </c>
      <c r="LU43" s="5">
        <f t="shared" si="132"/>
        <v>6379507</v>
      </c>
      <c r="LV43" s="26">
        <f t="shared" si="133"/>
        <v>0</v>
      </c>
      <c r="LW43" s="5">
        <f t="shared" si="134"/>
        <v>956329</v>
      </c>
      <c r="LX43" s="26">
        <f t="shared" si="135"/>
        <v>0</v>
      </c>
      <c r="LY43" s="5">
        <f t="shared" si="136"/>
        <v>0</v>
      </c>
      <c r="LZ43" s="26">
        <f t="shared" si="137"/>
        <v>0</v>
      </c>
      <c r="MA43" s="5">
        <f t="shared" si="138"/>
        <v>17214808</v>
      </c>
      <c r="MB43" s="26">
        <f t="shared" si="139"/>
        <v>0</v>
      </c>
      <c r="MC43" s="5">
        <f t="shared" si="140"/>
        <v>705995</v>
      </c>
      <c r="MD43" s="26">
        <f t="shared" si="141"/>
        <v>0</v>
      </c>
      <c r="ME43" s="5">
        <f t="shared" si="142"/>
        <v>0</v>
      </c>
      <c r="MF43" s="26">
        <f t="shared" si="143"/>
        <v>0</v>
      </c>
      <c r="MG43" s="5">
        <f t="shared" si="144"/>
        <v>573536</v>
      </c>
      <c r="MH43" s="26">
        <f t="shared" si="145"/>
        <v>0</v>
      </c>
      <c r="MI43" s="5">
        <f t="shared" si="146"/>
        <v>69055</v>
      </c>
      <c r="MJ43" s="26">
        <f t="shared" si="147"/>
        <v>0</v>
      </c>
      <c r="MK43" s="5">
        <f t="shared" si="148"/>
        <v>14951446</v>
      </c>
      <c r="ML43" s="26">
        <f t="shared" si="149"/>
        <v>0</v>
      </c>
      <c r="MM43" s="5">
        <f t="shared" si="150"/>
        <v>91796925</v>
      </c>
      <c r="MN43" s="26">
        <f t="shared" si="151"/>
        <v>0</v>
      </c>
      <c r="MO43" s="5">
        <f t="shared" si="152"/>
        <v>4509126</v>
      </c>
      <c r="MP43" s="26">
        <f t="shared" si="153"/>
        <v>0</v>
      </c>
      <c r="MQ43" s="5">
        <f t="shared" si="154"/>
        <v>96306051</v>
      </c>
      <c r="MR43" s="26">
        <f t="shared" si="155"/>
        <v>0</v>
      </c>
      <c r="MT43" s="5">
        <f t="shared" si="76"/>
        <v>0</v>
      </c>
      <c r="MV43" s="4">
        <f t="shared" si="77"/>
        <v>0</v>
      </c>
    </row>
    <row r="44" spans="1:360" x14ac:dyDescent="0.15">
      <c r="A44" s="157" t="s">
        <v>333</v>
      </c>
      <c r="B44" s="25" t="s">
        <v>405</v>
      </c>
      <c r="C44" s="105">
        <v>237525</v>
      </c>
      <c r="D44" s="105">
        <v>2011</v>
      </c>
      <c r="E44" s="106">
        <v>1</v>
      </c>
      <c r="F44" s="106">
        <v>8</v>
      </c>
      <c r="G44" s="107">
        <v>3727</v>
      </c>
      <c r="H44" s="107">
        <v>4549</v>
      </c>
      <c r="I44" s="108">
        <v>260626740</v>
      </c>
      <c r="J44" s="108"/>
      <c r="K44" s="108">
        <v>158810</v>
      </c>
      <c r="L44" s="108"/>
      <c r="M44" s="108">
        <v>8233868</v>
      </c>
      <c r="N44" s="108"/>
      <c r="O44" s="108">
        <v>510275</v>
      </c>
      <c r="P44" s="108"/>
      <c r="Q44" s="108">
        <v>70856537</v>
      </c>
      <c r="R44" s="108"/>
      <c r="S44" s="108">
        <v>198857640</v>
      </c>
      <c r="T44" s="108"/>
      <c r="U44" s="108">
        <v>14009</v>
      </c>
      <c r="V44" s="108"/>
      <c r="W44" s="108">
        <v>21620</v>
      </c>
      <c r="X44" s="108"/>
      <c r="Y44" s="108">
        <v>17173</v>
      </c>
      <c r="Z44" s="108"/>
      <c r="AA44" s="108">
        <v>24784</v>
      </c>
      <c r="AB44" s="108"/>
      <c r="AC44" s="130">
        <v>6</v>
      </c>
      <c r="AD44" s="130">
        <v>10</v>
      </c>
      <c r="AE44" s="130">
        <v>0</v>
      </c>
      <c r="AF44" s="26">
        <v>3146116</v>
      </c>
      <c r="AG44" s="26">
        <v>2253943</v>
      </c>
      <c r="AH44" s="26">
        <v>390190</v>
      </c>
      <c r="AI44" s="26">
        <v>146513</v>
      </c>
      <c r="AJ44" s="26">
        <v>254154.36</v>
      </c>
      <c r="AK44" s="36">
        <v>5.39</v>
      </c>
      <c r="AL44" s="26">
        <v>228315.33</v>
      </c>
      <c r="AM44" s="36">
        <v>6</v>
      </c>
      <c r="AN44" s="26">
        <v>83896.33</v>
      </c>
      <c r="AO44" s="36">
        <v>7.36</v>
      </c>
      <c r="AP44" s="26">
        <v>77184.63</v>
      </c>
      <c r="AQ44" s="36">
        <v>8</v>
      </c>
      <c r="AR44" s="26">
        <v>97219.75</v>
      </c>
      <c r="AS44" s="36">
        <v>16.510000000000002</v>
      </c>
      <c r="AT44" s="26">
        <v>84478.84</v>
      </c>
      <c r="AU44" s="36">
        <v>19</v>
      </c>
      <c r="AV44" s="26">
        <v>43565.42</v>
      </c>
      <c r="AW44" s="36">
        <v>12.55</v>
      </c>
      <c r="AX44" s="26">
        <v>36449.730000000003</v>
      </c>
      <c r="AY44" s="36">
        <v>15</v>
      </c>
      <c r="AZ44" s="54">
        <v>3165333</v>
      </c>
      <c r="BA44" s="54">
        <v>677138</v>
      </c>
      <c r="BB44" s="54">
        <v>10862</v>
      </c>
      <c r="BC44" s="54">
        <v>11605</v>
      </c>
      <c r="BD44" s="54">
        <v>81669</v>
      </c>
      <c r="BE44" s="54">
        <v>3946607</v>
      </c>
      <c r="BF44" s="54">
        <v>0</v>
      </c>
      <c r="BG44" s="54">
        <v>0</v>
      </c>
      <c r="BH44" s="54">
        <v>418244</v>
      </c>
      <c r="BI44" s="54">
        <v>1697521</v>
      </c>
      <c r="BJ44" s="54">
        <v>2171959</v>
      </c>
      <c r="BK44" s="54">
        <v>4287724</v>
      </c>
      <c r="BL44" s="54">
        <v>961920</v>
      </c>
      <c r="BM44" s="54">
        <v>265733</v>
      </c>
      <c r="BN44" s="54">
        <v>0</v>
      </c>
      <c r="BO44" s="54">
        <v>4000</v>
      </c>
      <c r="BP44" s="54">
        <v>0</v>
      </c>
      <c r="BQ44" s="54">
        <v>1231653</v>
      </c>
      <c r="BR44" s="54">
        <v>1154575</v>
      </c>
      <c r="BS44" s="54">
        <v>116859</v>
      </c>
      <c r="BT44" s="54">
        <v>18075</v>
      </c>
      <c r="BU44" s="54">
        <v>67612</v>
      </c>
      <c r="BV44" s="54">
        <v>2498625</v>
      </c>
      <c r="BW44" s="54">
        <v>3855746</v>
      </c>
      <c r="BX44" s="54">
        <v>0</v>
      </c>
      <c r="BY44" s="54">
        <v>0</v>
      </c>
      <c r="BZ44" s="54">
        <v>0</v>
      </c>
      <c r="CA44" s="54">
        <v>0</v>
      </c>
      <c r="CB44" s="54">
        <v>0</v>
      </c>
      <c r="CC44" s="54">
        <v>0</v>
      </c>
      <c r="CD44" s="54">
        <v>0</v>
      </c>
      <c r="CE44" s="54">
        <v>0</v>
      </c>
      <c r="CF44" s="54">
        <v>0</v>
      </c>
      <c r="CG44" s="54">
        <v>0</v>
      </c>
      <c r="CH44" s="54">
        <v>0</v>
      </c>
      <c r="CI44" s="54">
        <v>0</v>
      </c>
      <c r="CJ44" s="54">
        <v>1020582</v>
      </c>
      <c r="CK44" s="54">
        <v>151610</v>
      </c>
      <c r="CL44" s="54">
        <v>519878</v>
      </c>
      <c r="CM44" s="54">
        <v>1419788</v>
      </c>
      <c r="CN44" s="54">
        <v>2327831</v>
      </c>
      <c r="CO44" s="54">
        <v>5439689</v>
      </c>
      <c r="CP44" s="54">
        <v>113937</v>
      </c>
      <c r="CQ44" s="54">
        <v>12290</v>
      </c>
      <c r="CR44" s="54">
        <v>0</v>
      </c>
      <c r="CS44" s="54">
        <v>0</v>
      </c>
      <c r="CT44" s="54">
        <v>2628651</v>
      </c>
      <c r="CU44" s="54">
        <v>2754878</v>
      </c>
      <c r="CV44" s="54">
        <v>878066</v>
      </c>
      <c r="CW44" s="54">
        <v>444059</v>
      </c>
      <c r="CX44" s="54">
        <v>7706</v>
      </c>
      <c r="CY44" s="54">
        <v>113922</v>
      </c>
      <c r="CZ44" s="54">
        <v>1467320</v>
      </c>
      <c r="DA44" s="54">
        <v>2911073</v>
      </c>
      <c r="DB44" s="54">
        <v>760492</v>
      </c>
      <c r="DC44" s="54">
        <v>447097</v>
      </c>
      <c r="DD44" s="54">
        <v>0</v>
      </c>
      <c r="DE44" s="54">
        <v>0</v>
      </c>
      <c r="DF44" s="54">
        <v>23532</v>
      </c>
      <c r="DG44" s="54">
        <v>1231121</v>
      </c>
      <c r="DH44" s="54">
        <v>278841</v>
      </c>
      <c r="DI44" s="54">
        <v>47082</v>
      </c>
      <c r="DJ44" s="54">
        <v>3075</v>
      </c>
      <c r="DK44" s="54">
        <v>2820</v>
      </c>
      <c r="DL44" s="54">
        <v>23728</v>
      </c>
      <c r="DM44" s="54">
        <v>355546</v>
      </c>
      <c r="DN44" s="54">
        <v>101079</v>
      </c>
      <c r="DO44" s="54">
        <v>0</v>
      </c>
      <c r="DP44" s="54">
        <v>0</v>
      </c>
      <c r="DQ44" s="54">
        <v>0</v>
      </c>
      <c r="DR44" s="54">
        <v>75000</v>
      </c>
      <c r="DS44" s="54">
        <v>176079</v>
      </c>
      <c r="DT44" s="54">
        <v>38930</v>
      </c>
      <c r="DU44" s="54">
        <v>10694</v>
      </c>
      <c r="DV44" s="54">
        <v>6991</v>
      </c>
      <c r="DW44" s="54">
        <v>43554</v>
      </c>
      <c r="DX44" s="54">
        <v>0</v>
      </c>
      <c r="DY44" s="64">
        <v>100169</v>
      </c>
      <c r="DZ44" s="54">
        <v>236</v>
      </c>
      <c r="EA44" s="54">
        <v>4</v>
      </c>
      <c r="EB44" s="54">
        <v>69</v>
      </c>
      <c r="EC44" s="54">
        <v>144</v>
      </c>
      <c r="ED44" s="54">
        <v>56276</v>
      </c>
      <c r="EE44" s="54">
        <v>56729</v>
      </c>
      <c r="EF44" s="54">
        <v>185335</v>
      </c>
      <c r="EG44" s="54">
        <v>87267</v>
      </c>
      <c r="EH44" s="54">
        <v>28945</v>
      </c>
      <c r="EI44" s="54">
        <v>184399</v>
      </c>
      <c r="EJ44" s="54">
        <v>611946</v>
      </c>
      <c r="EK44" s="54">
        <v>1097892</v>
      </c>
      <c r="EL44" s="54">
        <v>8659326</v>
      </c>
      <c r="EM44" s="54">
        <v>2259833</v>
      </c>
      <c r="EN44" s="54">
        <v>1013845</v>
      </c>
      <c r="EO44" s="54">
        <v>3545365</v>
      </c>
      <c r="EP44" s="54">
        <v>11966537</v>
      </c>
      <c r="EQ44" s="54">
        <v>27444906</v>
      </c>
      <c r="ER44" s="54">
        <v>2143043</v>
      </c>
      <c r="ES44" s="54">
        <v>329474</v>
      </c>
      <c r="ET44" s="54">
        <v>380483</v>
      </c>
      <c r="EU44" s="54">
        <v>2547059</v>
      </c>
      <c r="EV44" s="54">
        <v>103266</v>
      </c>
      <c r="EW44" s="54">
        <v>5503325</v>
      </c>
      <c r="EX44" s="54">
        <v>200000</v>
      </c>
      <c r="EY44" s="54">
        <v>239500</v>
      </c>
      <c r="EZ44" s="54">
        <v>19252</v>
      </c>
      <c r="FA44" s="54">
        <v>12000</v>
      </c>
      <c r="FB44" s="54">
        <v>0</v>
      </c>
      <c r="FC44" s="54">
        <v>470752</v>
      </c>
      <c r="FD44" s="54">
        <v>1770211</v>
      </c>
      <c r="FE44" s="54">
        <v>801007</v>
      </c>
      <c r="FF44" s="54">
        <v>342559</v>
      </c>
      <c r="FG44" s="54">
        <v>1225436</v>
      </c>
      <c r="FH44" s="54">
        <v>0</v>
      </c>
      <c r="FI44" s="54">
        <v>4139213</v>
      </c>
      <c r="FJ44" s="54">
        <v>0</v>
      </c>
      <c r="FK44" s="54">
        <v>0</v>
      </c>
      <c r="FL44" s="54">
        <v>0</v>
      </c>
      <c r="FM44" s="54">
        <v>0</v>
      </c>
      <c r="FN44" s="54">
        <v>0</v>
      </c>
      <c r="FO44" s="54">
        <v>0</v>
      </c>
      <c r="FP44" s="54">
        <v>269234</v>
      </c>
      <c r="FQ44" s="54">
        <v>60360</v>
      </c>
      <c r="FR44" s="54">
        <v>53830</v>
      </c>
      <c r="FS44" s="54">
        <v>0</v>
      </c>
      <c r="FT44" s="54">
        <v>2451725</v>
      </c>
      <c r="FU44" s="54">
        <v>2835149</v>
      </c>
      <c r="FV44" s="54">
        <v>0</v>
      </c>
      <c r="FW44" s="54">
        <v>0</v>
      </c>
      <c r="FX44" s="54">
        <v>0</v>
      </c>
      <c r="FY44" s="54">
        <v>0</v>
      </c>
      <c r="FZ44" s="54">
        <v>0</v>
      </c>
      <c r="GA44" s="54">
        <v>0</v>
      </c>
      <c r="GB44" s="54">
        <v>25853</v>
      </c>
      <c r="GC44" s="54">
        <v>0</v>
      </c>
      <c r="GD44" s="54">
        <v>0</v>
      </c>
      <c r="GE44" s="54">
        <v>0</v>
      </c>
      <c r="GF44" s="54">
        <v>0</v>
      </c>
      <c r="GG44" s="54">
        <v>25853</v>
      </c>
      <c r="GH44" s="54">
        <v>253486</v>
      </c>
      <c r="GI44" s="54">
        <v>88729</v>
      </c>
      <c r="GJ44" s="54">
        <v>58988</v>
      </c>
      <c r="GK44" s="54">
        <v>135500</v>
      </c>
      <c r="GL44" s="54">
        <v>0</v>
      </c>
      <c r="GM44" s="54">
        <v>536703</v>
      </c>
      <c r="GN44" s="54">
        <v>748481</v>
      </c>
      <c r="GO44" s="54">
        <v>325305</v>
      </c>
      <c r="GP44" s="54">
        <v>211195</v>
      </c>
      <c r="GQ44" s="54">
        <v>1081380</v>
      </c>
      <c r="GR44" s="54">
        <v>0</v>
      </c>
      <c r="GS44" s="54">
        <v>2366361</v>
      </c>
      <c r="GT44" s="54">
        <v>220317</v>
      </c>
      <c r="GU44" s="54">
        <v>42210</v>
      </c>
      <c r="GV44" s="54">
        <v>29716</v>
      </c>
      <c r="GW44" s="54">
        <v>398327</v>
      </c>
      <c r="GX44" s="54">
        <v>178488</v>
      </c>
      <c r="GY44" s="54">
        <v>869058</v>
      </c>
      <c r="GZ44" s="54">
        <v>366270</v>
      </c>
      <c r="HA44" s="54">
        <v>197019</v>
      </c>
      <c r="HB44" s="54">
        <v>60566</v>
      </c>
      <c r="HC44" s="54">
        <v>119323</v>
      </c>
      <c r="HD44" s="54">
        <v>51670</v>
      </c>
      <c r="HE44" s="54">
        <v>794848</v>
      </c>
      <c r="HF44" s="54">
        <v>85863</v>
      </c>
      <c r="HG44" s="54">
        <v>32791</v>
      </c>
      <c r="HH44" s="54">
        <v>9049</v>
      </c>
      <c r="HI44" s="54">
        <v>62075</v>
      </c>
      <c r="HJ44" s="54">
        <v>552248</v>
      </c>
      <c r="HK44" s="54">
        <v>742026</v>
      </c>
      <c r="HL44" s="54">
        <v>10193</v>
      </c>
      <c r="HM44" s="54">
        <v>13920</v>
      </c>
      <c r="HN44" s="54">
        <v>4388</v>
      </c>
      <c r="HO44" s="54">
        <v>39547</v>
      </c>
      <c r="HP44" s="54">
        <v>0</v>
      </c>
      <c r="HQ44" s="64">
        <v>68048</v>
      </c>
      <c r="HR44" s="54">
        <v>5019</v>
      </c>
      <c r="HS44" s="54">
        <v>125533</v>
      </c>
      <c r="HT44" s="54">
        <v>122705</v>
      </c>
      <c r="HU44" s="54">
        <v>35759</v>
      </c>
      <c r="HV44" s="54">
        <v>752399</v>
      </c>
      <c r="HW44" s="54">
        <v>1041415</v>
      </c>
      <c r="HX44" s="54">
        <v>0</v>
      </c>
      <c r="HY44" s="54">
        <v>0</v>
      </c>
      <c r="HZ44" s="54">
        <v>0</v>
      </c>
      <c r="IA44" s="54">
        <v>0</v>
      </c>
      <c r="IB44" s="54">
        <v>87824</v>
      </c>
      <c r="IC44" s="54">
        <v>87824</v>
      </c>
      <c r="ID44" s="54">
        <v>113937</v>
      </c>
      <c r="IE44" s="54">
        <v>12290</v>
      </c>
      <c r="IF44" s="54">
        <v>0</v>
      </c>
      <c r="IG44" s="54">
        <v>0</v>
      </c>
      <c r="IH44" s="54">
        <v>2628651</v>
      </c>
      <c r="II44" s="54">
        <v>2754878</v>
      </c>
      <c r="IJ44" s="54">
        <v>0</v>
      </c>
      <c r="IK44" s="54">
        <v>0</v>
      </c>
      <c r="IL44" s="54">
        <v>0</v>
      </c>
      <c r="IM44" s="54">
        <v>0</v>
      </c>
      <c r="IN44" s="54">
        <v>983399</v>
      </c>
      <c r="IO44" s="54">
        <v>983399</v>
      </c>
      <c r="IP44" s="54">
        <v>1882</v>
      </c>
      <c r="IQ44" s="54">
        <v>225</v>
      </c>
      <c r="IR44" s="54">
        <v>435</v>
      </c>
      <c r="IS44" s="54">
        <v>8801</v>
      </c>
      <c r="IT44" s="54">
        <v>310175</v>
      </c>
      <c r="IU44" s="54">
        <v>321518</v>
      </c>
      <c r="IV44" s="54">
        <v>225017</v>
      </c>
      <c r="IW44" s="54">
        <v>227822</v>
      </c>
      <c r="IX44" s="54">
        <v>77328</v>
      </c>
      <c r="IY44" s="54">
        <v>170622</v>
      </c>
      <c r="IZ44" s="54">
        <v>1905808</v>
      </c>
      <c r="JA44" s="54">
        <v>2606597</v>
      </c>
      <c r="JB44" s="54">
        <v>6438806</v>
      </c>
      <c r="JC44" s="54">
        <v>2496185</v>
      </c>
      <c r="JD44" s="54">
        <v>1370494</v>
      </c>
      <c r="JE44" s="54">
        <v>5835829</v>
      </c>
      <c r="JF44" s="54">
        <v>10005653</v>
      </c>
      <c r="JG44" s="54">
        <v>26146967</v>
      </c>
      <c r="JH44" s="54">
        <v>0</v>
      </c>
      <c r="JI44" s="54">
        <v>0</v>
      </c>
      <c r="JJ44" s="54">
        <v>0</v>
      </c>
      <c r="JK44" s="54">
        <v>0</v>
      </c>
      <c r="JL44" s="54">
        <v>0</v>
      </c>
      <c r="JM44" s="54">
        <v>0</v>
      </c>
      <c r="JN44" s="54">
        <v>6438806</v>
      </c>
      <c r="JO44" s="64">
        <v>2496185</v>
      </c>
      <c r="JP44" s="64">
        <v>1370494</v>
      </c>
      <c r="JQ44" s="64">
        <v>5835829</v>
      </c>
      <c r="JR44" s="64">
        <v>10005653</v>
      </c>
      <c r="JS44" s="64">
        <v>26146967</v>
      </c>
      <c r="JU44" s="5">
        <f t="shared" si="80"/>
        <v>3946607</v>
      </c>
      <c r="JV44" s="26">
        <f t="shared" si="81"/>
        <v>0</v>
      </c>
      <c r="JW44" s="5">
        <f t="shared" si="82"/>
        <v>4287724</v>
      </c>
      <c r="JX44" s="26">
        <f t="shared" si="83"/>
        <v>0</v>
      </c>
      <c r="JY44" s="5">
        <f t="shared" si="84"/>
        <v>1231653</v>
      </c>
      <c r="JZ44" s="26">
        <f t="shared" si="85"/>
        <v>0</v>
      </c>
      <c r="KA44" s="5">
        <f t="shared" si="86"/>
        <v>3855746</v>
      </c>
      <c r="KB44" s="26">
        <f t="shared" si="87"/>
        <v>0</v>
      </c>
      <c r="KC44" s="5">
        <f t="shared" si="88"/>
        <v>0</v>
      </c>
      <c r="KD44" s="26">
        <f t="shared" si="89"/>
        <v>0</v>
      </c>
      <c r="KE44" s="5">
        <f t="shared" si="90"/>
        <v>0</v>
      </c>
      <c r="KF44" s="26">
        <f t="shared" si="91"/>
        <v>0</v>
      </c>
      <c r="KG44" s="5">
        <f t="shared" si="92"/>
        <v>5439689</v>
      </c>
      <c r="KH44" s="26">
        <f t="shared" si="93"/>
        <v>0</v>
      </c>
      <c r="KI44" s="5">
        <f t="shared" si="94"/>
        <v>2754878</v>
      </c>
      <c r="KJ44" s="26">
        <f t="shared" si="95"/>
        <v>0</v>
      </c>
      <c r="KK44" s="5">
        <f t="shared" si="96"/>
        <v>2911073</v>
      </c>
      <c r="KL44" s="26">
        <f t="shared" si="97"/>
        <v>0</v>
      </c>
      <c r="KM44" s="5">
        <f t="shared" si="98"/>
        <v>1231121</v>
      </c>
      <c r="KN44" s="26">
        <f t="shared" si="99"/>
        <v>0</v>
      </c>
      <c r="KO44" s="5">
        <f t="shared" si="100"/>
        <v>355546</v>
      </c>
      <c r="KP44" s="26">
        <f t="shared" si="101"/>
        <v>0</v>
      </c>
      <c r="KQ44" s="5">
        <f t="shared" si="102"/>
        <v>176079</v>
      </c>
      <c r="KR44" s="26">
        <f t="shared" si="103"/>
        <v>0</v>
      </c>
      <c r="KS44" s="5">
        <f t="shared" si="104"/>
        <v>100169</v>
      </c>
      <c r="KT44" s="26">
        <f t="shared" si="105"/>
        <v>0</v>
      </c>
      <c r="KU44" s="5">
        <f t="shared" si="106"/>
        <v>56729</v>
      </c>
      <c r="KV44" s="26">
        <f t="shared" si="107"/>
        <v>0</v>
      </c>
      <c r="KW44" s="5">
        <f t="shared" si="108"/>
        <v>1097892</v>
      </c>
      <c r="KX44" s="26">
        <f t="shared" si="109"/>
        <v>0</v>
      </c>
      <c r="KY44" s="5">
        <f t="shared" si="110"/>
        <v>27444906</v>
      </c>
      <c r="KZ44" s="26">
        <f t="shared" si="111"/>
        <v>0</v>
      </c>
      <c r="LA44" s="5">
        <f t="shared" si="112"/>
        <v>5503325</v>
      </c>
      <c r="LB44" s="26">
        <f t="shared" si="113"/>
        <v>0</v>
      </c>
      <c r="LC44" s="5">
        <f t="shared" si="114"/>
        <v>470752</v>
      </c>
      <c r="LD44" s="26">
        <f t="shared" si="115"/>
        <v>0</v>
      </c>
      <c r="LE44" s="5">
        <f t="shared" si="116"/>
        <v>4139213</v>
      </c>
      <c r="LF44" s="26">
        <f t="shared" si="117"/>
        <v>0</v>
      </c>
      <c r="LG44" s="5">
        <f t="shared" si="118"/>
        <v>0</v>
      </c>
      <c r="LH44" s="26">
        <f t="shared" si="119"/>
        <v>0</v>
      </c>
      <c r="LI44" s="5">
        <f t="shared" si="120"/>
        <v>2835149</v>
      </c>
      <c r="LJ44" s="26">
        <f t="shared" si="121"/>
        <v>0</v>
      </c>
      <c r="LK44" s="5">
        <f t="shared" si="122"/>
        <v>0</v>
      </c>
      <c r="LL44" s="26">
        <f t="shared" si="123"/>
        <v>0</v>
      </c>
      <c r="LM44" s="5">
        <f t="shared" si="124"/>
        <v>25853</v>
      </c>
      <c r="LN44" s="26">
        <f t="shared" si="125"/>
        <v>0</v>
      </c>
      <c r="LO44" s="5">
        <f t="shared" si="126"/>
        <v>536703</v>
      </c>
      <c r="LP44" s="26">
        <f t="shared" si="127"/>
        <v>0</v>
      </c>
      <c r="LQ44" s="5">
        <f t="shared" si="128"/>
        <v>2366361</v>
      </c>
      <c r="LR44" s="26">
        <f t="shared" si="129"/>
        <v>0</v>
      </c>
      <c r="LS44" s="5">
        <f t="shared" si="130"/>
        <v>869058</v>
      </c>
      <c r="LT44" s="26">
        <f t="shared" si="131"/>
        <v>0</v>
      </c>
      <c r="LU44" s="5">
        <f t="shared" si="132"/>
        <v>794848</v>
      </c>
      <c r="LV44" s="26">
        <f t="shared" si="133"/>
        <v>0</v>
      </c>
      <c r="LW44" s="5">
        <f t="shared" si="134"/>
        <v>742026</v>
      </c>
      <c r="LX44" s="26">
        <f t="shared" si="135"/>
        <v>0</v>
      </c>
      <c r="LY44" s="5">
        <f t="shared" si="136"/>
        <v>68048</v>
      </c>
      <c r="LZ44" s="26">
        <f t="shared" si="137"/>
        <v>0</v>
      </c>
      <c r="MA44" s="5">
        <f t="shared" si="138"/>
        <v>1041415</v>
      </c>
      <c r="MB44" s="26">
        <f t="shared" si="139"/>
        <v>0</v>
      </c>
      <c r="MC44" s="5">
        <f t="shared" si="140"/>
        <v>87824</v>
      </c>
      <c r="MD44" s="26">
        <f t="shared" si="141"/>
        <v>0</v>
      </c>
      <c r="ME44" s="5">
        <f t="shared" si="142"/>
        <v>2754878</v>
      </c>
      <c r="MF44" s="26">
        <f t="shared" si="143"/>
        <v>0</v>
      </c>
      <c r="MG44" s="5">
        <f t="shared" si="144"/>
        <v>983399</v>
      </c>
      <c r="MH44" s="26">
        <f t="shared" si="145"/>
        <v>0</v>
      </c>
      <c r="MI44" s="5">
        <f t="shared" si="146"/>
        <v>321518</v>
      </c>
      <c r="MJ44" s="26">
        <f t="shared" si="147"/>
        <v>0</v>
      </c>
      <c r="MK44" s="5">
        <f t="shared" si="148"/>
        <v>2606597</v>
      </c>
      <c r="ML44" s="26">
        <f t="shared" si="149"/>
        <v>0</v>
      </c>
      <c r="MM44" s="5">
        <f t="shared" si="150"/>
        <v>26146967</v>
      </c>
      <c r="MN44" s="26">
        <f t="shared" si="151"/>
        <v>0</v>
      </c>
      <c r="MO44" s="5">
        <f t="shared" si="152"/>
        <v>0</v>
      </c>
      <c r="MP44" s="26">
        <f t="shared" si="153"/>
        <v>0</v>
      </c>
      <c r="MQ44" s="5">
        <f t="shared" si="154"/>
        <v>26146967</v>
      </c>
      <c r="MR44" s="26">
        <f t="shared" si="155"/>
        <v>0</v>
      </c>
      <c r="MT44" s="5">
        <f t="shared" si="76"/>
        <v>0</v>
      </c>
      <c r="MV44" s="4">
        <f t="shared" si="77"/>
        <v>0</v>
      </c>
    </row>
    <row r="45" spans="1:360" x14ac:dyDescent="0.15">
      <c r="A45" s="155" t="s">
        <v>334</v>
      </c>
      <c r="B45" s="25" t="s">
        <v>481</v>
      </c>
      <c r="C45" s="105">
        <v>163286</v>
      </c>
      <c r="D45" s="105">
        <v>2011</v>
      </c>
      <c r="E45" s="106">
        <v>1</v>
      </c>
      <c r="F45" s="107">
        <v>1</v>
      </c>
      <c r="G45" s="107">
        <v>13098</v>
      </c>
      <c r="H45" s="107">
        <v>11651</v>
      </c>
      <c r="I45" s="108">
        <v>1459297672</v>
      </c>
      <c r="J45" s="108"/>
      <c r="K45" s="108">
        <v>6943263</v>
      </c>
      <c r="L45" s="108"/>
      <c r="M45" s="108">
        <v>56080842</v>
      </c>
      <c r="N45" s="108"/>
      <c r="O45" s="108">
        <v>59797451</v>
      </c>
      <c r="P45" s="108"/>
      <c r="Q45" s="108">
        <v>356444183</v>
      </c>
      <c r="R45" s="108"/>
      <c r="S45" s="108">
        <v>800700107</v>
      </c>
      <c r="T45" s="108"/>
      <c r="U45" s="108">
        <v>18014</v>
      </c>
      <c r="V45" s="108"/>
      <c r="W45" s="108">
        <v>34429</v>
      </c>
      <c r="X45" s="108"/>
      <c r="Y45" s="108">
        <v>22114</v>
      </c>
      <c r="Z45" s="108"/>
      <c r="AA45" s="108">
        <v>38529</v>
      </c>
      <c r="AB45" s="108"/>
      <c r="AC45" s="130">
        <v>12</v>
      </c>
      <c r="AD45" s="130">
        <v>15</v>
      </c>
      <c r="AE45" s="130">
        <v>0</v>
      </c>
      <c r="AF45" s="26">
        <v>5474891</v>
      </c>
      <c r="AG45" s="26">
        <v>4226334</v>
      </c>
      <c r="AH45" s="26">
        <v>538497</v>
      </c>
      <c r="AI45" s="26">
        <v>292487</v>
      </c>
      <c r="AJ45" s="26">
        <v>687035.4444444445</v>
      </c>
      <c r="AK45" s="36">
        <v>9</v>
      </c>
      <c r="AL45" s="26">
        <v>618331.9</v>
      </c>
      <c r="AM45" s="36">
        <v>10</v>
      </c>
      <c r="AN45" s="26">
        <v>189776.41666666666</v>
      </c>
      <c r="AO45" s="36">
        <v>12</v>
      </c>
      <c r="AP45" s="26">
        <v>175178.23076923078</v>
      </c>
      <c r="AQ45" s="36">
        <v>13</v>
      </c>
      <c r="AR45" s="26">
        <v>145889.30769230769</v>
      </c>
      <c r="AS45" s="36">
        <v>26</v>
      </c>
      <c r="AT45" s="26">
        <v>122358.77419354839</v>
      </c>
      <c r="AU45" s="36">
        <v>31</v>
      </c>
      <c r="AV45" s="26">
        <v>65594.956521739135</v>
      </c>
      <c r="AW45" s="36">
        <v>23</v>
      </c>
      <c r="AX45" s="26">
        <v>53881.571428571428</v>
      </c>
      <c r="AY45" s="36">
        <v>28</v>
      </c>
      <c r="AZ45" s="54">
        <v>4258215</v>
      </c>
      <c r="BA45" s="54">
        <v>5732309</v>
      </c>
      <c r="BB45" s="54">
        <v>364546</v>
      </c>
      <c r="BC45" s="54">
        <v>221947</v>
      </c>
      <c r="BD45" s="54">
        <v>153395</v>
      </c>
      <c r="BE45" s="54">
        <v>10730412</v>
      </c>
      <c r="BF45" s="54">
        <v>0</v>
      </c>
      <c r="BG45" s="54">
        <v>0</v>
      </c>
      <c r="BH45" s="54">
        <v>0</v>
      </c>
      <c r="BI45" s="54">
        <v>0</v>
      </c>
      <c r="BJ45" s="54">
        <v>9508278</v>
      </c>
      <c r="BK45" s="54">
        <v>9508278</v>
      </c>
      <c r="BL45" s="54">
        <v>1400000</v>
      </c>
      <c r="BM45" s="54">
        <v>142000</v>
      </c>
      <c r="BN45" s="54">
        <v>0</v>
      </c>
      <c r="BO45" s="54">
        <v>20000</v>
      </c>
      <c r="BP45" s="54">
        <v>0</v>
      </c>
      <c r="BQ45" s="54">
        <v>1562000</v>
      </c>
      <c r="BR45" s="54">
        <v>86113</v>
      </c>
      <c r="BS45" s="54">
        <v>186579</v>
      </c>
      <c r="BT45" s="54">
        <v>4214</v>
      </c>
      <c r="BU45" s="54">
        <v>213554</v>
      </c>
      <c r="BV45" s="54">
        <v>10054710</v>
      </c>
      <c r="BW45" s="54">
        <v>10545170</v>
      </c>
      <c r="BX45" s="54">
        <v>0</v>
      </c>
      <c r="BY45" s="54">
        <v>0</v>
      </c>
      <c r="BZ45" s="54">
        <v>0</v>
      </c>
      <c r="CA45" s="54">
        <v>0</v>
      </c>
      <c r="CB45" s="54">
        <v>0</v>
      </c>
      <c r="CC45" s="54">
        <v>0</v>
      </c>
      <c r="CD45" s="54">
        <v>0</v>
      </c>
      <c r="CE45" s="54">
        <v>0</v>
      </c>
      <c r="CF45" s="54">
        <v>0</v>
      </c>
      <c r="CG45" s="54">
        <v>0</v>
      </c>
      <c r="CH45" s="54">
        <v>0</v>
      </c>
      <c r="CI45" s="54">
        <v>0</v>
      </c>
      <c r="CJ45" s="54">
        <v>0</v>
      </c>
      <c r="CK45" s="54">
        <v>0</v>
      </c>
      <c r="CL45" s="54">
        <v>0</v>
      </c>
      <c r="CM45" s="54">
        <v>0</v>
      </c>
      <c r="CN45" s="54">
        <v>6353363</v>
      </c>
      <c r="CO45" s="54">
        <v>6353363</v>
      </c>
      <c r="CP45" s="54">
        <v>0</v>
      </c>
      <c r="CQ45" s="54">
        <v>0</v>
      </c>
      <c r="CR45" s="54">
        <v>0</v>
      </c>
      <c r="CS45" s="54">
        <v>0</v>
      </c>
      <c r="CT45" s="54">
        <v>0</v>
      </c>
      <c r="CU45" s="54">
        <v>0</v>
      </c>
      <c r="CV45" s="54">
        <v>5792826</v>
      </c>
      <c r="CW45" s="54">
        <v>4146007</v>
      </c>
      <c r="CX45" s="54">
        <v>0</v>
      </c>
      <c r="CY45" s="54">
        <v>0</v>
      </c>
      <c r="CZ45" s="54">
        <v>1817556</v>
      </c>
      <c r="DA45" s="54">
        <v>11756389</v>
      </c>
      <c r="DB45" s="54">
        <v>0</v>
      </c>
      <c r="DC45" s="54">
        <v>0</v>
      </c>
      <c r="DD45" s="54">
        <v>0</v>
      </c>
      <c r="DE45" s="54">
        <v>0</v>
      </c>
      <c r="DF45" s="54">
        <v>0</v>
      </c>
      <c r="DG45" s="54">
        <v>0</v>
      </c>
      <c r="DH45" s="54">
        <v>292265</v>
      </c>
      <c r="DI45" s="54">
        <v>338479</v>
      </c>
      <c r="DJ45" s="54">
        <v>63745</v>
      </c>
      <c r="DK45" s="54">
        <v>34946</v>
      </c>
      <c r="DL45" s="54">
        <v>280675</v>
      </c>
      <c r="DM45" s="54">
        <v>1010110</v>
      </c>
      <c r="DN45" s="54">
        <v>0</v>
      </c>
      <c r="DO45" s="54">
        <v>0</v>
      </c>
      <c r="DP45" s="54">
        <v>0</v>
      </c>
      <c r="DQ45" s="54">
        <v>0</v>
      </c>
      <c r="DR45" s="54">
        <v>6730495</v>
      </c>
      <c r="DS45" s="54">
        <v>6730495</v>
      </c>
      <c r="DT45" s="54">
        <v>0</v>
      </c>
      <c r="DU45" s="54">
        <v>0</v>
      </c>
      <c r="DV45" s="54">
        <v>0</v>
      </c>
      <c r="DW45" s="54">
        <v>0</v>
      </c>
      <c r="DX45" s="54">
        <v>0</v>
      </c>
      <c r="DY45" s="54">
        <v>0</v>
      </c>
      <c r="DZ45" s="54">
        <v>0</v>
      </c>
      <c r="EA45" s="54">
        <v>0</v>
      </c>
      <c r="EB45" s="54">
        <v>0</v>
      </c>
      <c r="EC45" s="54">
        <v>0</v>
      </c>
      <c r="ED45" s="54">
        <v>338000</v>
      </c>
      <c r="EE45" s="54">
        <v>338000</v>
      </c>
      <c r="EF45" s="54">
        <v>235581</v>
      </c>
      <c r="EG45" s="54">
        <v>102</v>
      </c>
      <c r="EH45" s="54">
        <v>0</v>
      </c>
      <c r="EI45" s="54">
        <v>2500</v>
      </c>
      <c r="EJ45" s="54">
        <v>2862429</v>
      </c>
      <c r="EK45" s="54">
        <v>3100612</v>
      </c>
      <c r="EL45" s="54">
        <v>12065000</v>
      </c>
      <c r="EM45" s="54">
        <v>10545467</v>
      </c>
      <c r="EN45" s="54">
        <v>432505</v>
      </c>
      <c r="EO45" s="54">
        <v>492956</v>
      </c>
      <c r="EP45" s="54">
        <v>38098901</v>
      </c>
      <c r="EQ45" s="54">
        <v>61634829</v>
      </c>
      <c r="ER45" s="54">
        <v>2845541</v>
      </c>
      <c r="ES45" s="54">
        <v>420265</v>
      </c>
      <c r="ET45" s="54">
        <v>452915</v>
      </c>
      <c r="EU45" s="54">
        <v>5982504</v>
      </c>
      <c r="EV45" s="54">
        <v>2853612</v>
      </c>
      <c r="EW45" s="54">
        <v>12554837</v>
      </c>
      <c r="EX45" s="54">
        <v>780000</v>
      </c>
      <c r="EY45" s="54">
        <v>959373</v>
      </c>
      <c r="EZ45" s="54">
        <v>67500</v>
      </c>
      <c r="FA45" s="54">
        <v>4500</v>
      </c>
      <c r="FB45" s="54">
        <v>0</v>
      </c>
      <c r="FC45" s="54">
        <v>1811373</v>
      </c>
      <c r="FD45" s="54">
        <v>4928019</v>
      </c>
      <c r="FE45" s="54">
        <v>2835347</v>
      </c>
      <c r="FF45" s="54">
        <v>1346780</v>
      </c>
      <c r="FG45" s="54">
        <v>4652296</v>
      </c>
      <c r="FH45" s="54">
        <v>0</v>
      </c>
      <c r="FI45" s="54">
        <v>13762442</v>
      </c>
      <c r="FJ45" s="54">
        <v>0</v>
      </c>
      <c r="FK45" s="54">
        <v>0</v>
      </c>
      <c r="FL45" s="54">
        <v>0</v>
      </c>
      <c r="FM45" s="54">
        <v>0</v>
      </c>
      <c r="FN45" s="54">
        <v>0</v>
      </c>
      <c r="FO45" s="54">
        <v>0</v>
      </c>
      <c r="FP45" s="54">
        <v>779264</v>
      </c>
      <c r="FQ45" s="54">
        <v>284046</v>
      </c>
      <c r="FR45" s="54">
        <v>211934</v>
      </c>
      <c r="FS45" s="54">
        <v>215688</v>
      </c>
      <c r="FT45" s="54">
        <v>9002016</v>
      </c>
      <c r="FU45" s="54">
        <v>10492948</v>
      </c>
      <c r="FV45" s="54">
        <v>0</v>
      </c>
      <c r="FW45" s="54">
        <v>0</v>
      </c>
      <c r="FX45" s="54">
        <v>0</v>
      </c>
      <c r="FY45" s="54">
        <v>0</v>
      </c>
      <c r="FZ45" s="54">
        <v>0</v>
      </c>
      <c r="GA45" s="54">
        <v>0</v>
      </c>
      <c r="GB45" s="54">
        <v>481698</v>
      </c>
      <c r="GC45" s="54">
        <v>176544</v>
      </c>
      <c r="GD45" s="54">
        <v>4572</v>
      </c>
      <c r="GE45" s="54">
        <v>0</v>
      </c>
      <c r="GF45" s="54">
        <v>160550</v>
      </c>
      <c r="GG45" s="54">
        <v>823364</v>
      </c>
      <c r="GH45" s="54">
        <v>266958</v>
      </c>
      <c r="GI45" s="54">
        <v>98497</v>
      </c>
      <c r="GJ45" s="54">
        <v>104130</v>
      </c>
      <c r="GK45" s="54">
        <v>361399</v>
      </c>
      <c r="GL45" s="54">
        <v>0</v>
      </c>
      <c r="GM45" s="54">
        <v>830984</v>
      </c>
      <c r="GN45" s="54">
        <v>1094699</v>
      </c>
      <c r="GO45" s="54">
        <v>578010</v>
      </c>
      <c r="GP45" s="54">
        <v>242282</v>
      </c>
      <c r="GQ45" s="54">
        <v>1540425</v>
      </c>
      <c r="GR45" s="54">
        <v>0</v>
      </c>
      <c r="GS45" s="54">
        <v>3455416</v>
      </c>
      <c r="GT45" s="54">
        <v>201852</v>
      </c>
      <c r="GU45" s="54">
        <v>74762</v>
      </c>
      <c r="GV45" s="54">
        <v>25264</v>
      </c>
      <c r="GW45" s="54">
        <v>376829</v>
      </c>
      <c r="GX45" s="54">
        <v>0</v>
      </c>
      <c r="GY45" s="54">
        <v>678707</v>
      </c>
      <c r="GZ45" s="54">
        <v>64786</v>
      </c>
      <c r="HA45" s="54">
        <v>5875</v>
      </c>
      <c r="HB45" s="54">
        <v>3633</v>
      </c>
      <c r="HC45" s="54">
        <v>193693</v>
      </c>
      <c r="HD45" s="54">
        <v>2079304</v>
      </c>
      <c r="HE45" s="54">
        <v>2347291</v>
      </c>
      <c r="HF45" s="54">
        <v>0</v>
      </c>
      <c r="HG45" s="54">
        <v>0</v>
      </c>
      <c r="HH45" s="54">
        <v>0</v>
      </c>
      <c r="HI45" s="54">
        <v>0</v>
      </c>
      <c r="HJ45" s="54">
        <v>1415462</v>
      </c>
      <c r="HK45" s="54">
        <v>1415462</v>
      </c>
      <c r="HL45" s="54">
        <v>0</v>
      </c>
      <c r="HM45" s="54">
        <v>0</v>
      </c>
      <c r="HN45" s="54">
        <v>0</v>
      </c>
      <c r="HO45" s="54">
        <v>0</v>
      </c>
      <c r="HP45" s="54">
        <v>0</v>
      </c>
      <c r="HQ45" s="54">
        <v>0</v>
      </c>
      <c r="HR45" s="54">
        <v>35206</v>
      </c>
      <c r="HS45" s="54">
        <v>4030</v>
      </c>
      <c r="HT45" s="54">
        <v>0</v>
      </c>
      <c r="HU45" s="54">
        <v>530481</v>
      </c>
      <c r="HV45" s="54">
        <v>7653153</v>
      </c>
      <c r="HW45" s="54">
        <v>8222870</v>
      </c>
      <c r="HX45" s="54">
        <v>0</v>
      </c>
      <c r="HY45" s="54">
        <v>0</v>
      </c>
      <c r="HZ45" s="54">
        <v>0</v>
      </c>
      <c r="IA45" s="54">
        <v>0</v>
      </c>
      <c r="IB45" s="54">
        <v>126982</v>
      </c>
      <c r="IC45" s="54">
        <v>126982</v>
      </c>
      <c r="ID45" s="54">
        <v>0</v>
      </c>
      <c r="IE45" s="54">
        <v>0</v>
      </c>
      <c r="IF45" s="54">
        <v>0</v>
      </c>
      <c r="IG45" s="54">
        <v>0</v>
      </c>
      <c r="IH45" s="54">
        <v>0</v>
      </c>
      <c r="II45" s="54">
        <v>0</v>
      </c>
      <c r="IJ45" s="54">
        <v>0</v>
      </c>
      <c r="IK45" s="54">
        <v>0</v>
      </c>
      <c r="IL45" s="54">
        <v>0</v>
      </c>
      <c r="IM45" s="54">
        <v>0</v>
      </c>
      <c r="IN45" s="54">
        <v>924938</v>
      </c>
      <c r="IO45" s="54">
        <v>924938</v>
      </c>
      <c r="IP45" s="54">
        <v>4445</v>
      </c>
      <c r="IQ45" s="54">
        <v>2785</v>
      </c>
      <c r="IR45" s="54">
        <v>785</v>
      </c>
      <c r="IS45" s="54">
        <v>42465</v>
      </c>
      <c r="IT45" s="54">
        <v>11352</v>
      </c>
      <c r="IU45" s="54">
        <v>61832</v>
      </c>
      <c r="IV45" s="54">
        <v>1056014</v>
      </c>
      <c r="IW45" s="54">
        <v>658806</v>
      </c>
      <c r="IX45" s="54">
        <v>121981</v>
      </c>
      <c r="IY45" s="54">
        <v>261966</v>
      </c>
      <c r="IZ45" s="54">
        <v>2023787</v>
      </c>
      <c r="JA45" s="54">
        <v>4122554</v>
      </c>
      <c r="JB45" s="54">
        <v>12538482</v>
      </c>
      <c r="JC45" s="54">
        <v>6098340</v>
      </c>
      <c r="JD45" s="54">
        <v>2581776</v>
      </c>
      <c r="JE45" s="54">
        <v>14162246</v>
      </c>
      <c r="JF45" s="54">
        <v>26251156</v>
      </c>
      <c r="JG45" s="54">
        <v>61632000</v>
      </c>
      <c r="JH45" s="54">
        <v>0</v>
      </c>
      <c r="JI45" s="54">
        <v>0</v>
      </c>
      <c r="JJ45" s="54">
        <v>0</v>
      </c>
      <c r="JK45" s="54">
        <v>0</v>
      </c>
      <c r="JL45" s="54">
        <v>0</v>
      </c>
      <c r="JM45" s="54">
        <v>0</v>
      </c>
      <c r="JN45" s="54">
        <v>12538482</v>
      </c>
      <c r="JO45" s="54">
        <v>6098340</v>
      </c>
      <c r="JP45" s="54">
        <v>2581776</v>
      </c>
      <c r="JQ45" s="54">
        <v>14162246</v>
      </c>
      <c r="JR45" s="54">
        <v>26251156</v>
      </c>
      <c r="JS45" s="54">
        <v>61632000</v>
      </c>
      <c r="JU45" s="5">
        <f t="shared" si="80"/>
        <v>10730412</v>
      </c>
      <c r="JV45" s="26">
        <f t="shared" si="81"/>
        <v>0</v>
      </c>
      <c r="JW45" s="5">
        <f t="shared" si="82"/>
        <v>9508278</v>
      </c>
      <c r="JX45" s="26">
        <f t="shared" si="83"/>
        <v>0</v>
      </c>
      <c r="JY45" s="5">
        <f t="shared" si="84"/>
        <v>1562000</v>
      </c>
      <c r="JZ45" s="26">
        <f t="shared" si="85"/>
        <v>0</v>
      </c>
      <c r="KA45" s="5">
        <f t="shared" si="86"/>
        <v>10545170</v>
      </c>
      <c r="KB45" s="26">
        <f t="shared" si="87"/>
        <v>0</v>
      </c>
      <c r="KC45" s="5">
        <f t="shared" si="88"/>
        <v>0</v>
      </c>
      <c r="KD45" s="26">
        <f t="shared" si="89"/>
        <v>0</v>
      </c>
      <c r="KE45" s="5">
        <f t="shared" si="90"/>
        <v>0</v>
      </c>
      <c r="KF45" s="26">
        <f t="shared" si="91"/>
        <v>0</v>
      </c>
      <c r="KG45" s="5">
        <f t="shared" si="92"/>
        <v>6353363</v>
      </c>
      <c r="KH45" s="26">
        <f t="shared" si="93"/>
        <v>0</v>
      </c>
      <c r="KI45" s="5">
        <f t="shared" si="94"/>
        <v>0</v>
      </c>
      <c r="KJ45" s="26">
        <f t="shared" si="95"/>
        <v>0</v>
      </c>
      <c r="KK45" s="5">
        <f t="shared" si="96"/>
        <v>11756389</v>
      </c>
      <c r="KL45" s="26">
        <f t="shared" si="97"/>
        <v>0</v>
      </c>
      <c r="KM45" s="5">
        <f t="shared" si="98"/>
        <v>0</v>
      </c>
      <c r="KN45" s="26">
        <f t="shared" si="99"/>
        <v>0</v>
      </c>
      <c r="KO45" s="5">
        <f t="shared" si="100"/>
        <v>1010110</v>
      </c>
      <c r="KP45" s="26">
        <f t="shared" si="101"/>
        <v>0</v>
      </c>
      <c r="KQ45" s="5">
        <f t="shared" si="102"/>
        <v>6730495</v>
      </c>
      <c r="KR45" s="26">
        <f t="shared" si="103"/>
        <v>0</v>
      </c>
      <c r="KS45" s="5">
        <f t="shared" si="104"/>
        <v>0</v>
      </c>
      <c r="KT45" s="26">
        <f t="shared" si="105"/>
        <v>0</v>
      </c>
      <c r="KU45" s="5">
        <f t="shared" si="106"/>
        <v>338000</v>
      </c>
      <c r="KV45" s="26">
        <f t="shared" si="107"/>
        <v>0</v>
      </c>
      <c r="KW45" s="5">
        <f t="shared" si="108"/>
        <v>3100612</v>
      </c>
      <c r="KX45" s="26">
        <f t="shared" si="109"/>
        <v>0</v>
      </c>
      <c r="KY45" s="5">
        <f t="shared" si="110"/>
        <v>61634829</v>
      </c>
      <c r="KZ45" s="26">
        <f t="shared" si="111"/>
        <v>0</v>
      </c>
      <c r="LA45" s="5">
        <f t="shared" si="112"/>
        <v>12554837</v>
      </c>
      <c r="LB45" s="26">
        <f t="shared" si="113"/>
        <v>0</v>
      </c>
      <c r="LC45" s="5">
        <f t="shared" si="114"/>
        <v>1811373</v>
      </c>
      <c r="LD45" s="26">
        <f t="shared" si="115"/>
        <v>0</v>
      </c>
      <c r="LE45" s="5">
        <f t="shared" si="116"/>
        <v>13762442</v>
      </c>
      <c r="LF45" s="26">
        <f t="shared" si="117"/>
        <v>0</v>
      </c>
      <c r="LG45" s="5">
        <f t="shared" si="118"/>
        <v>0</v>
      </c>
      <c r="LH45" s="26">
        <f t="shared" si="119"/>
        <v>0</v>
      </c>
      <c r="LI45" s="5">
        <f t="shared" si="120"/>
        <v>10492948</v>
      </c>
      <c r="LJ45" s="26">
        <f t="shared" si="121"/>
        <v>0</v>
      </c>
      <c r="LK45" s="5">
        <f t="shared" si="122"/>
        <v>0</v>
      </c>
      <c r="LL45" s="26">
        <f t="shared" si="123"/>
        <v>0</v>
      </c>
      <c r="LM45" s="5">
        <f t="shared" si="124"/>
        <v>823364</v>
      </c>
      <c r="LN45" s="26">
        <f t="shared" si="125"/>
        <v>0</v>
      </c>
      <c r="LO45" s="5">
        <f t="shared" si="126"/>
        <v>830984</v>
      </c>
      <c r="LP45" s="26">
        <f t="shared" si="127"/>
        <v>0</v>
      </c>
      <c r="LQ45" s="5">
        <f t="shared" si="128"/>
        <v>3455416</v>
      </c>
      <c r="LR45" s="26">
        <f t="shared" si="129"/>
        <v>0</v>
      </c>
      <c r="LS45" s="5">
        <f t="shared" si="130"/>
        <v>678707</v>
      </c>
      <c r="LT45" s="26">
        <f t="shared" si="131"/>
        <v>0</v>
      </c>
      <c r="LU45" s="5">
        <f t="shared" si="132"/>
        <v>2347291</v>
      </c>
      <c r="LV45" s="26">
        <f t="shared" si="133"/>
        <v>0</v>
      </c>
      <c r="LW45" s="5">
        <f t="shared" si="134"/>
        <v>1415462</v>
      </c>
      <c r="LX45" s="26">
        <f t="shared" si="135"/>
        <v>0</v>
      </c>
      <c r="LY45" s="5">
        <f t="shared" si="136"/>
        <v>0</v>
      </c>
      <c r="LZ45" s="26">
        <f t="shared" si="137"/>
        <v>0</v>
      </c>
      <c r="MA45" s="5">
        <f t="shared" si="138"/>
        <v>8222870</v>
      </c>
      <c r="MB45" s="26">
        <f t="shared" si="139"/>
        <v>0</v>
      </c>
      <c r="MC45" s="5">
        <f t="shared" si="140"/>
        <v>126982</v>
      </c>
      <c r="MD45" s="26">
        <f t="shared" si="141"/>
        <v>0</v>
      </c>
      <c r="ME45" s="5">
        <f t="shared" si="142"/>
        <v>0</v>
      </c>
      <c r="MF45" s="26">
        <f t="shared" si="143"/>
        <v>0</v>
      </c>
      <c r="MG45" s="5">
        <f t="shared" si="144"/>
        <v>924938</v>
      </c>
      <c r="MH45" s="26">
        <f t="shared" si="145"/>
        <v>0</v>
      </c>
      <c r="MI45" s="5">
        <f t="shared" si="146"/>
        <v>61832</v>
      </c>
      <c r="MJ45" s="26">
        <f t="shared" si="147"/>
        <v>0</v>
      </c>
      <c r="MK45" s="5">
        <f t="shared" si="148"/>
        <v>4122554</v>
      </c>
      <c r="ML45" s="26">
        <f t="shared" si="149"/>
        <v>0</v>
      </c>
      <c r="MM45" s="5">
        <f t="shared" si="150"/>
        <v>61632000</v>
      </c>
      <c r="MN45" s="26">
        <f t="shared" si="151"/>
        <v>0</v>
      </c>
      <c r="MO45" s="5">
        <f t="shared" si="152"/>
        <v>0</v>
      </c>
      <c r="MP45" s="26">
        <f t="shared" si="153"/>
        <v>0</v>
      </c>
      <c r="MQ45" s="5">
        <f t="shared" si="154"/>
        <v>61632000</v>
      </c>
      <c r="MR45" s="26">
        <f t="shared" si="155"/>
        <v>0</v>
      </c>
      <c r="MT45" s="5">
        <f t="shared" si="76"/>
        <v>0</v>
      </c>
      <c r="MV45" s="4">
        <f t="shared" si="77"/>
        <v>0</v>
      </c>
    </row>
    <row r="46" spans="1:360" x14ac:dyDescent="0.15">
      <c r="A46" s="157" t="s">
        <v>335</v>
      </c>
      <c r="B46" s="25" t="s">
        <v>464</v>
      </c>
      <c r="C46" s="105">
        <v>188030</v>
      </c>
      <c r="D46" s="105">
        <v>2011</v>
      </c>
      <c r="E46" s="106">
        <v>1</v>
      </c>
      <c r="F46" s="106">
        <v>8</v>
      </c>
      <c r="G46" s="107">
        <v>7676</v>
      </c>
      <c r="H46" s="107">
        <v>5157</v>
      </c>
      <c r="I46" s="108">
        <v>392578930</v>
      </c>
      <c r="J46" s="108"/>
      <c r="K46" s="108">
        <v>475616</v>
      </c>
      <c r="L46" s="108"/>
      <c r="M46" s="108">
        <v>9151351</v>
      </c>
      <c r="N46" s="108"/>
      <c r="O46" s="108">
        <v>109029</v>
      </c>
      <c r="P46" s="108"/>
      <c r="Q46" s="108">
        <v>108431644</v>
      </c>
      <c r="R46" s="108"/>
      <c r="S46" s="108">
        <v>327326023</v>
      </c>
      <c r="T46" s="108"/>
      <c r="U46" s="108">
        <v>15185</v>
      </c>
      <c r="V46" s="108"/>
      <c r="W46" s="108">
        <v>28553</v>
      </c>
      <c r="X46" s="108"/>
      <c r="Y46" s="108">
        <v>20731</v>
      </c>
      <c r="Z46" s="108"/>
      <c r="AA46" s="108">
        <v>34099</v>
      </c>
      <c r="AB46" s="108"/>
      <c r="AC46" s="129">
        <v>10</v>
      </c>
      <c r="AD46" s="129">
        <v>10</v>
      </c>
      <c r="AE46" s="129">
        <v>1</v>
      </c>
      <c r="AF46" s="26">
        <v>4388487</v>
      </c>
      <c r="AG46" s="26">
        <v>2697568</v>
      </c>
      <c r="AH46" s="26">
        <v>759844</v>
      </c>
      <c r="AI46" s="26">
        <v>201305</v>
      </c>
      <c r="AJ46" s="26">
        <v>385230</v>
      </c>
      <c r="AK46" s="36">
        <v>7.5</v>
      </c>
      <c r="AL46" s="26">
        <v>361153.13</v>
      </c>
      <c r="AM46" s="36">
        <v>8</v>
      </c>
      <c r="AN46" s="26">
        <v>118142</v>
      </c>
      <c r="AO46" s="36"/>
      <c r="AP46" s="26">
        <v>118142</v>
      </c>
      <c r="AQ46" s="36">
        <v>7</v>
      </c>
      <c r="AR46" s="26">
        <v>147990.12</v>
      </c>
      <c r="AS46" s="36">
        <v>17</v>
      </c>
      <c r="AT46" s="26">
        <v>139768.44</v>
      </c>
      <c r="AU46" s="36">
        <v>18</v>
      </c>
      <c r="AV46" s="26">
        <v>66991.13</v>
      </c>
      <c r="AW46" s="36">
        <v>11.5</v>
      </c>
      <c r="AX46" s="26">
        <v>64199.83</v>
      </c>
      <c r="AY46" s="36">
        <v>12</v>
      </c>
      <c r="AZ46" s="54">
        <v>3048341</v>
      </c>
      <c r="BA46" s="54">
        <v>6078991</v>
      </c>
      <c r="BB46" s="54">
        <v>30758</v>
      </c>
      <c r="BC46" s="54">
        <v>69286</v>
      </c>
      <c r="BD46" s="54">
        <v>0</v>
      </c>
      <c r="BE46" s="54">
        <v>9227376</v>
      </c>
      <c r="BF46" s="54">
        <v>0</v>
      </c>
      <c r="BG46" s="54">
        <v>0</v>
      </c>
      <c r="BH46" s="54">
        <v>0</v>
      </c>
      <c r="BI46" s="54">
        <v>0</v>
      </c>
      <c r="BJ46" s="54">
        <v>8757769</v>
      </c>
      <c r="BK46" s="54">
        <v>8757769</v>
      </c>
      <c r="BL46" s="54">
        <v>590256</v>
      </c>
      <c r="BM46" s="54">
        <v>75000</v>
      </c>
      <c r="BN46" s="54">
        <v>12000</v>
      </c>
      <c r="BO46" s="54">
        <v>5000</v>
      </c>
      <c r="BP46" s="54">
        <v>0</v>
      </c>
      <c r="BQ46" s="54">
        <v>682256</v>
      </c>
      <c r="BR46" s="54">
        <v>36498</v>
      </c>
      <c r="BS46" s="54">
        <v>119740</v>
      </c>
      <c r="BT46" s="54">
        <v>102490</v>
      </c>
      <c r="BU46" s="54">
        <v>153212</v>
      </c>
      <c r="BV46" s="54">
        <v>8505060</v>
      </c>
      <c r="BW46" s="54">
        <v>8917000</v>
      </c>
      <c r="BX46" s="54">
        <v>0</v>
      </c>
      <c r="BY46" s="54">
        <v>0</v>
      </c>
      <c r="BZ46" s="54">
        <v>0</v>
      </c>
      <c r="CA46" s="54">
        <v>0</v>
      </c>
      <c r="CB46" s="54">
        <v>0</v>
      </c>
      <c r="CC46" s="54">
        <v>0</v>
      </c>
      <c r="CD46" s="54">
        <v>0</v>
      </c>
      <c r="CE46" s="54">
        <v>0</v>
      </c>
      <c r="CF46" s="54">
        <v>0</v>
      </c>
      <c r="CG46" s="54">
        <v>0</v>
      </c>
      <c r="CH46" s="54">
        <v>0</v>
      </c>
      <c r="CI46" s="54">
        <v>0</v>
      </c>
      <c r="CJ46" s="54">
        <v>0</v>
      </c>
      <c r="CK46" s="54">
        <v>0</v>
      </c>
      <c r="CL46" s="54">
        <v>0</v>
      </c>
      <c r="CM46" s="54">
        <v>0</v>
      </c>
      <c r="CN46" s="54">
        <v>3509971</v>
      </c>
      <c r="CO46" s="54">
        <v>3509971</v>
      </c>
      <c r="CP46" s="54">
        <v>0</v>
      </c>
      <c r="CQ46" s="54">
        <v>0</v>
      </c>
      <c r="CR46" s="54">
        <v>0</v>
      </c>
      <c r="CS46" s="54">
        <v>0</v>
      </c>
      <c r="CT46" s="54">
        <v>2936870</v>
      </c>
      <c r="CU46" s="54">
        <v>2936870</v>
      </c>
      <c r="CV46" s="54">
        <v>0</v>
      </c>
      <c r="CW46" s="54">
        <v>911187</v>
      </c>
      <c r="CX46" s="54">
        <v>0</v>
      </c>
      <c r="CY46" s="54">
        <v>0</v>
      </c>
      <c r="CZ46" s="54">
        <v>904555</v>
      </c>
      <c r="DA46" s="54">
        <v>1815742</v>
      </c>
      <c r="DB46" s="54">
        <v>300000</v>
      </c>
      <c r="DC46" s="54">
        <v>672000</v>
      </c>
      <c r="DD46" s="54">
        <v>0</v>
      </c>
      <c r="DE46" s="54">
        <v>0</v>
      </c>
      <c r="DF46" s="54">
        <v>0</v>
      </c>
      <c r="DG46" s="54">
        <v>972000</v>
      </c>
      <c r="DH46" s="54">
        <v>50355</v>
      </c>
      <c r="DI46" s="54">
        <v>322763</v>
      </c>
      <c r="DJ46" s="54">
        <v>1890</v>
      </c>
      <c r="DK46" s="54">
        <v>60</v>
      </c>
      <c r="DL46" s="54">
        <v>6400</v>
      </c>
      <c r="DM46" s="54">
        <v>381468</v>
      </c>
      <c r="DN46" s="54">
        <v>0</v>
      </c>
      <c r="DO46" s="54">
        <v>800000</v>
      </c>
      <c r="DP46" s="54">
        <v>0</v>
      </c>
      <c r="DQ46" s="54">
        <v>0</v>
      </c>
      <c r="DR46" s="54">
        <v>1727558</v>
      </c>
      <c r="DS46" s="54">
        <v>2527558</v>
      </c>
      <c r="DT46" s="54">
        <v>0</v>
      </c>
      <c r="DU46" s="54">
        <v>0</v>
      </c>
      <c r="DV46" s="54">
        <v>0</v>
      </c>
      <c r="DW46" s="54">
        <v>0</v>
      </c>
      <c r="DX46" s="54">
        <v>0</v>
      </c>
      <c r="DY46" s="54">
        <v>0</v>
      </c>
      <c r="DZ46" s="54">
        <v>0</v>
      </c>
      <c r="EA46" s="54">
        <v>0</v>
      </c>
      <c r="EB46" s="54">
        <v>147</v>
      </c>
      <c r="EC46" s="54">
        <v>594</v>
      </c>
      <c r="ED46" s="54">
        <v>597</v>
      </c>
      <c r="EE46" s="54">
        <v>1338</v>
      </c>
      <c r="EF46" s="54">
        <v>0</v>
      </c>
      <c r="EG46" s="54">
        <v>14000</v>
      </c>
      <c r="EH46" s="54">
        <v>0</v>
      </c>
      <c r="EI46" s="54">
        <v>73803</v>
      </c>
      <c r="EJ46" s="54">
        <v>567114</v>
      </c>
      <c r="EK46" s="54">
        <v>654917</v>
      </c>
      <c r="EL46" s="54">
        <v>4025450</v>
      </c>
      <c r="EM46" s="54">
        <v>8993681</v>
      </c>
      <c r="EN46" s="54">
        <v>147285</v>
      </c>
      <c r="EO46" s="54">
        <v>301955</v>
      </c>
      <c r="EP46" s="54">
        <v>26915894</v>
      </c>
      <c r="EQ46" s="54">
        <v>40384265</v>
      </c>
      <c r="ER46" s="54">
        <v>2690813</v>
      </c>
      <c r="ES46" s="54">
        <v>605728</v>
      </c>
      <c r="ET46" s="54">
        <v>477916</v>
      </c>
      <c r="EU46" s="54">
        <v>3379258</v>
      </c>
      <c r="EV46" s="54">
        <v>532472</v>
      </c>
      <c r="EW46" s="54">
        <v>7686187</v>
      </c>
      <c r="EX46" s="54">
        <v>450000</v>
      </c>
      <c r="EY46" s="54">
        <v>725947</v>
      </c>
      <c r="EZ46" s="54">
        <v>41000</v>
      </c>
      <c r="FA46" s="54">
        <v>2750</v>
      </c>
      <c r="FB46" s="54">
        <v>0</v>
      </c>
      <c r="FC46" s="54">
        <v>1219697</v>
      </c>
      <c r="FD46" s="54">
        <v>2610840</v>
      </c>
      <c r="FE46" s="54">
        <v>2117048</v>
      </c>
      <c r="FF46" s="54">
        <v>647791</v>
      </c>
      <c r="FG46" s="54">
        <v>1626770</v>
      </c>
      <c r="FH46" s="54">
        <v>0</v>
      </c>
      <c r="FI46" s="54">
        <v>7002449</v>
      </c>
      <c r="FJ46" s="54">
        <v>0</v>
      </c>
      <c r="FK46" s="54">
        <v>0</v>
      </c>
      <c r="FL46" s="54">
        <v>0</v>
      </c>
      <c r="FM46" s="54">
        <v>0</v>
      </c>
      <c r="FN46" s="54">
        <v>0</v>
      </c>
      <c r="FO46" s="54">
        <v>0</v>
      </c>
      <c r="FP46" s="54">
        <v>392749</v>
      </c>
      <c r="FQ46" s="54">
        <v>269707</v>
      </c>
      <c r="FR46" s="54">
        <v>186203</v>
      </c>
      <c r="FS46" s="54">
        <v>63892</v>
      </c>
      <c r="FT46" s="54">
        <v>4397858</v>
      </c>
      <c r="FU46" s="54">
        <v>5310409</v>
      </c>
      <c r="FV46" s="54">
        <v>0</v>
      </c>
      <c r="FW46" s="54">
        <v>0</v>
      </c>
      <c r="FX46" s="54">
        <v>0</v>
      </c>
      <c r="FY46" s="54">
        <v>0</v>
      </c>
      <c r="FZ46" s="54">
        <v>0</v>
      </c>
      <c r="GA46" s="54">
        <v>0</v>
      </c>
      <c r="GB46" s="54">
        <v>0</v>
      </c>
      <c r="GC46" s="54">
        <v>0</v>
      </c>
      <c r="GD46" s="54">
        <v>0</v>
      </c>
      <c r="GE46" s="54">
        <v>0</v>
      </c>
      <c r="GF46" s="54">
        <v>0</v>
      </c>
      <c r="GG46" s="54">
        <v>0</v>
      </c>
      <c r="GH46" s="54">
        <v>493204</v>
      </c>
      <c r="GI46" s="54">
        <v>172562</v>
      </c>
      <c r="GJ46" s="54">
        <v>109815</v>
      </c>
      <c r="GK46" s="54">
        <v>186639</v>
      </c>
      <c r="GL46" s="54">
        <v>0</v>
      </c>
      <c r="GM46" s="54">
        <v>962220</v>
      </c>
      <c r="GN46" s="54">
        <v>939640</v>
      </c>
      <c r="GO46" s="54">
        <v>1098162</v>
      </c>
      <c r="GP46" s="54">
        <v>549225</v>
      </c>
      <c r="GQ46" s="54">
        <v>1127899</v>
      </c>
      <c r="GR46" s="54">
        <v>0</v>
      </c>
      <c r="GS46" s="54">
        <v>3714926</v>
      </c>
      <c r="GT46" s="54">
        <v>365844</v>
      </c>
      <c r="GU46" s="54">
        <v>428547</v>
      </c>
      <c r="GV46" s="54">
        <v>89096</v>
      </c>
      <c r="GW46" s="54">
        <v>931801</v>
      </c>
      <c r="GX46" s="54">
        <v>195871</v>
      </c>
      <c r="GY46" s="54">
        <v>2011159</v>
      </c>
      <c r="GZ46" s="54">
        <v>108684</v>
      </c>
      <c r="HA46" s="54">
        <v>142733</v>
      </c>
      <c r="HB46" s="54">
        <v>73522</v>
      </c>
      <c r="HC46" s="54">
        <v>123703</v>
      </c>
      <c r="HD46" s="54">
        <v>0</v>
      </c>
      <c r="HE46" s="54">
        <v>448642</v>
      </c>
      <c r="HF46" s="54">
        <v>0</v>
      </c>
      <c r="HG46" s="54">
        <v>0</v>
      </c>
      <c r="HH46" s="54">
        <v>0</v>
      </c>
      <c r="HI46" s="54">
        <v>0</v>
      </c>
      <c r="HJ46" s="54">
        <v>1540042</v>
      </c>
      <c r="HK46" s="54">
        <v>1540042</v>
      </c>
      <c r="HL46" s="54">
        <v>0</v>
      </c>
      <c r="HM46" s="54">
        <v>0</v>
      </c>
      <c r="HN46" s="54">
        <v>0</v>
      </c>
      <c r="HO46" s="54">
        <v>0</v>
      </c>
      <c r="HP46" s="54">
        <v>0</v>
      </c>
      <c r="HQ46" s="54">
        <v>0</v>
      </c>
      <c r="HR46" s="54">
        <v>554608</v>
      </c>
      <c r="HS46" s="54">
        <v>865601</v>
      </c>
      <c r="HT46" s="54">
        <v>9661</v>
      </c>
      <c r="HU46" s="54">
        <v>131037</v>
      </c>
      <c r="HV46" s="54">
        <v>142228</v>
      </c>
      <c r="HW46" s="54">
        <v>1703135</v>
      </c>
      <c r="HX46" s="54">
        <v>0</v>
      </c>
      <c r="HY46" s="54">
        <v>0</v>
      </c>
      <c r="HZ46" s="54">
        <v>0</v>
      </c>
      <c r="IA46" s="54">
        <v>0</v>
      </c>
      <c r="IB46" s="54">
        <v>141827</v>
      </c>
      <c r="IC46" s="54">
        <v>141827</v>
      </c>
      <c r="ID46" s="54">
        <v>0</v>
      </c>
      <c r="IE46" s="54">
        <v>0</v>
      </c>
      <c r="IF46" s="54">
        <v>0</v>
      </c>
      <c r="IG46" s="54">
        <v>0</v>
      </c>
      <c r="IH46" s="54">
        <v>2936870</v>
      </c>
      <c r="II46" s="54">
        <v>2936870</v>
      </c>
      <c r="IJ46" s="54">
        <v>112973</v>
      </c>
      <c r="IK46" s="54">
        <v>22106</v>
      </c>
      <c r="IL46" s="54">
        <v>11472</v>
      </c>
      <c r="IM46" s="54">
        <v>118732</v>
      </c>
      <c r="IN46" s="54">
        <v>1057823</v>
      </c>
      <c r="IO46" s="54">
        <v>1323106</v>
      </c>
      <c r="IP46" s="54">
        <v>1720</v>
      </c>
      <c r="IQ46" s="54">
        <v>1320</v>
      </c>
      <c r="IR46" s="54">
        <v>3946</v>
      </c>
      <c r="IS46" s="54">
        <v>16503</v>
      </c>
      <c r="IT46" s="54">
        <v>313286</v>
      </c>
      <c r="IU46" s="54">
        <v>336775</v>
      </c>
      <c r="IV46" s="54">
        <v>244857</v>
      </c>
      <c r="IW46" s="54">
        <v>289670</v>
      </c>
      <c r="IX46" s="54">
        <v>158557</v>
      </c>
      <c r="IY46" s="54">
        <v>446248</v>
      </c>
      <c r="IZ46" s="54">
        <v>2830469</v>
      </c>
      <c r="JA46" s="54">
        <v>3969801</v>
      </c>
      <c r="JB46" s="54">
        <v>8965932</v>
      </c>
      <c r="JC46" s="54">
        <v>6739131</v>
      </c>
      <c r="JD46" s="54">
        <v>2358204</v>
      </c>
      <c r="JE46" s="54">
        <v>8155232</v>
      </c>
      <c r="JF46" s="54">
        <v>14088746</v>
      </c>
      <c r="JG46" s="54">
        <v>40307245</v>
      </c>
      <c r="JH46" s="54">
        <v>0</v>
      </c>
      <c r="JI46" s="54">
        <v>0</v>
      </c>
      <c r="JJ46" s="54">
        <v>0</v>
      </c>
      <c r="JK46" s="54">
        <v>0</v>
      </c>
      <c r="JL46" s="54">
        <v>0</v>
      </c>
      <c r="JM46" s="54">
        <v>0</v>
      </c>
      <c r="JN46" s="54">
        <v>8965932</v>
      </c>
      <c r="JO46" s="54">
        <v>6739131</v>
      </c>
      <c r="JP46" s="54">
        <v>2358204</v>
      </c>
      <c r="JQ46" s="54">
        <v>8155232</v>
      </c>
      <c r="JR46" s="54">
        <v>14088746</v>
      </c>
      <c r="JS46" s="54">
        <v>40307245</v>
      </c>
      <c r="JU46" s="5">
        <f t="shared" si="80"/>
        <v>9227376</v>
      </c>
      <c r="JV46" s="26">
        <f t="shared" si="81"/>
        <v>0</v>
      </c>
      <c r="JW46" s="5">
        <f t="shared" si="82"/>
        <v>8757769</v>
      </c>
      <c r="JX46" s="26">
        <f t="shared" si="83"/>
        <v>0</v>
      </c>
      <c r="JY46" s="5">
        <f t="shared" si="84"/>
        <v>682256</v>
      </c>
      <c r="JZ46" s="26">
        <f t="shared" si="85"/>
        <v>0</v>
      </c>
      <c r="KA46" s="5">
        <f t="shared" si="86"/>
        <v>8917000</v>
      </c>
      <c r="KB46" s="26">
        <f t="shared" si="87"/>
        <v>0</v>
      </c>
      <c r="KC46" s="5">
        <f t="shared" si="88"/>
        <v>0</v>
      </c>
      <c r="KD46" s="26">
        <f t="shared" si="89"/>
        <v>0</v>
      </c>
      <c r="KE46" s="5">
        <f t="shared" si="90"/>
        <v>0</v>
      </c>
      <c r="KF46" s="26">
        <f t="shared" si="91"/>
        <v>0</v>
      </c>
      <c r="KG46" s="5">
        <f t="shared" si="92"/>
        <v>3509971</v>
      </c>
      <c r="KH46" s="26">
        <f t="shared" si="93"/>
        <v>0</v>
      </c>
      <c r="KI46" s="5">
        <f t="shared" si="94"/>
        <v>2936870</v>
      </c>
      <c r="KJ46" s="26">
        <f t="shared" si="95"/>
        <v>0</v>
      </c>
      <c r="KK46" s="5">
        <f t="shared" si="96"/>
        <v>1815742</v>
      </c>
      <c r="KL46" s="26">
        <f t="shared" si="97"/>
        <v>0</v>
      </c>
      <c r="KM46" s="5">
        <f t="shared" si="98"/>
        <v>972000</v>
      </c>
      <c r="KN46" s="26">
        <f t="shared" si="99"/>
        <v>0</v>
      </c>
      <c r="KO46" s="5">
        <f t="shared" si="100"/>
        <v>381468</v>
      </c>
      <c r="KP46" s="26">
        <f t="shared" si="101"/>
        <v>0</v>
      </c>
      <c r="KQ46" s="5">
        <f t="shared" si="102"/>
        <v>2527558</v>
      </c>
      <c r="KR46" s="26">
        <f t="shared" si="103"/>
        <v>0</v>
      </c>
      <c r="KS46" s="5">
        <f t="shared" si="104"/>
        <v>0</v>
      </c>
      <c r="KT46" s="26">
        <f t="shared" si="105"/>
        <v>0</v>
      </c>
      <c r="KU46" s="5">
        <f t="shared" si="106"/>
        <v>1338</v>
      </c>
      <c r="KV46" s="26">
        <f t="shared" si="107"/>
        <v>0</v>
      </c>
      <c r="KW46" s="5">
        <f t="shared" si="108"/>
        <v>654917</v>
      </c>
      <c r="KX46" s="26">
        <f t="shared" si="109"/>
        <v>0</v>
      </c>
      <c r="KY46" s="5">
        <f t="shared" si="110"/>
        <v>40384265</v>
      </c>
      <c r="KZ46" s="26">
        <f t="shared" si="111"/>
        <v>0</v>
      </c>
      <c r="LA46" s="5">
        <f t="shared" si="112"/>
        <v>7686187</v>
      </c>
      <c r="LB46" s="26">
        <f t="shared" si="113"/>
        <v>0</v>
      </c>
      <c r="LC46" s="5">
        <f t="shared" si="114"/>
        <v>1219697</v>
      </c>
      <c r="LD46" s="26">
        <f t="shared" si="115"/>
        <v>0</v>
      </c>
      <c r="LE46" s="5">
        <f t="shared" si="116"/>
        <v>7002449</v>
      </c>
      <c r="LF46" s="26">
        <f t="shared" si="117"/>
        <v>0</v>
      </c>
      <c r="LG46" s="5">
        <f t="shared" si="118"/>
        <v>0</v>
      </c>
      <c r="LH46" s="26">
        <f t="shared" si="119"/>
        <v>0</v>
      </c>
      <c r="LI46" s="5">
        <f t="shared" si="120"/>
        <v>5310409</v>
      </c>
      <c r="LJ46" s="26">
        <f t="shared" si="121"/>
        <v>0</v>
      </c>
      <c r="LK46" s="5">
        <f t="shared" si="122"/>
        <v>0</v>
      </c>
      <c r="LL46" s="26">
        <f t="shared" si="123"/>
        <v>0</v>
      </c>
      <c r="LM46" s="5">
        <f t="shared" si="124"/>
        <v>0</v>
      </c>
      <c r="LN46" s="26">
        <f t="shared" si="125"/>
        <v>0</v>
      </c>
      <c r="LO46" s="5">
        <f t="shared" si="126"/>
        <v>962220</v>
      </c>
      <c r="LP46" s="26">
        <f t="shared" si="127"/>
        <v>0</v>
      </c>
      <c r="LQ46" s="5">
        <f t="shared" si="128"/>
        <v>3714926</v>
      </c>
      <c r="LR46" s="26">
        <f t="shared" si="129"/>
        <v>0</v>
      </c>
      <c r="LS46" s="5">
        <f t="shared" si="130"/>
        <v>2011159</v>
      </c>
      <c r="LT46" s="26">
        <f t="shared" si="131"/>
        <v>0</v>
      </c>
      <c r="LU46" s="5">
        <f t="shared" si="132"/>
        <v>448642</v>
      </c>
      <c r="LV46" s="26">
        <f t="shared" si="133"/>
        <v>0</v>
      </c>
      <c r="LW46" s="5">
        <f t="shared" si="134"/>
        <v>1540042</v>
      </c>
      <c r="LX46" s="26">
        <f t="shared" si="135"/>
        <v>0</v>
      </c>
      <c r="LY46" s="5">
        <f t="shared" si="136"/>
        <v>0</v>
      </c>
      <c r="LZ46" s="26">
        <f t="shared" si="137"/>
        <v>0</v>
      </c>
      <c r="MA46" s="5">
        <f t="shared" si="138"/>
        <v>1703135</v>
      </c>
      <c r="MB46" s="26">
        <f t="shared" si="139"/>
        <v>0</v>
      </c>
      <c r="MC46" s="5">
        <f t="shared" si="140"/>
        <v>141827</v>
      </c>
      <c r="MD46" s="26">
        <f t="shared" si="141"/>
        <v>0</v>
      </c>
      <c r="ME46" s="5">
        <f t="shared" si="142"/>
        <v>2936870</v>
      </c>
      <c r="MF46" s="26">
        <f t="shared" si="143"/>
        <v>0</v>
      </c>
      <c r="MG46" s="5">
        <f t="shared" si="144"/>
        <v>1323106</v>
      </c>
      <c r="MH46" s="26">
        <f t="shared" si="145"/>
        <v>0</v>
      </c>
      <c r="MI46" s="5">
        <f t="shared" si="146"/>
        <v>336775</v>
      </c>
      <c r="MJ46" s="26">
        <f t="shared" si="147"/>
        <v>0</v>
      </c>
      <c r="MK46" s="5">
        <f t="shared" si="148"/>
        <v>3969801</v>
      </c>
      <c r="ML46" s="26">
        <f t="shared" si="149"/>
        <v>0</v>
      </c>
      <c r="MM46" s="5">
        <f t="shared" si="150"/>
        <v>40307245</v>
      </c>
      <c r="MN46" s="26">
        <f t="shared" si="151"/>
        <v>0</v>
      </c>
      <c r="MO46" s="5">
        <f t="shared" si="152"/>
        <v>0</v>
      </c>
      <c r="MP46" s="26">
        <f t="shared" si="153"/>
        <v>0</v>
      </c>
      <c r="MQ46" s="5">
        <f t="shared" si="154"/>
        <v>40307245</v>
      </c>
      <c r="MR46" s="26">
        <f t="shared" si="155"/>
        <v>0</v>
      </c>
      <c r="MT46" s="5">
        <f t="shared" si="76"/>
        <v>0</v>
      </c>
      <c r="MV46" s="4">
        <f t="shared" si="77"/>
        <v>0</v>
      </c>
    </row>
    <row r="47" spans="1:360" x14ac:dyDescent="0.15">
      <c r="A47" s="156" t="s">
        <v>336</v>
      </c>
      <c r="B47" s="25" t="s">
        <v>481</v>
      </c>
      <c r="C47" s="109">
        <v>204024</v>
      </c>
      <c r="D47" s="105">
        <v>2011</v>
      </c>
      <c r="E47" s="106">
        <v>1</v>
      </c>
      <c r="F47" s="106">
        <v>9</v>
      </c>
      <c r="G47" s="107">
        <v>6811</v>
      </c>
      <c r="H47" s="107">
        <v>7714</v>
      </c>
      <c r="I47" s="108">
        <v>510162597</v>
      </c>
      <c r="J47" s="108">
        <v>509398679</v>
      </c>
      <c r="K47" s="108">
        <v>2400205</v>
      </c>
      <c r="L47" s="108"/>
      <c r="M47" s="108">
        <v>30373460</v>
      </c>
      <c r="N47" s="108"/>
      <c r="O47" s="108">
        <v>24965074</v>
      </c>
      <c r="P47" s="108"/>
      <c r="Q47" s="108">
        <v>334443905</v>
      </c>
      <c r="R47" s="108"/>
      <c r="S47" s="108">
        <v>350581574</v>
      </c>
      <c r="T47" s="108">
        <v>351890355</v>
      </c>
      <c r="U47" s="108">
        <v>24032</v>
      </c>
      <c r="V47" s="108">
        <v>23268</v>
      </c>
      <c r="W47" s="108">
        <v>38822</v>
      </c>
      <c r="X47" s="108">
        <v>37626</v>
      </c>
      <c r="Y47" s="108">
        <v>31282</v>
      </c>
      <c r="Z47" s="108">
        <v>29551</v>
      </c>
      <c r="AA47" s="108">
        <v>46072</v>
      </c>
      <c r="AB47" s="108">
        <v>43909</v>
      </c>
      <c r="AC47" s="130">
        <v>8</v>
      </c>
      <c r="AD47" s="130">
        <v>11</v>
      </c>
      <c r="AE47" s="130">
        <v>0</v>
      </c>
      <c r="AF47" s="26">
        <v>5279803</v>
      </c>
      <c r="AG47" s="26">
        <v>3453429</v>
      </c>
      <c r="AH47" s="26">
        <v>383947</v>
      </c>
      <c r="AI47" s="26">
        <v>158334</v>
      </c>
      <c r="AJ47" s="26"/>
      <c r="AK47" s="36"/>
      <c r="AL47" s="26"/>
      <c r="AM47" s="36">
        <v>0</v>
      </c>
      <c r="AN47" s="26"/>
      <c r="AO47" s="36">
        <v>0</v>
      </c>
      <c r="AP47" s="26"/>
      <c r="AQ47" s="36">
        <v>0</v>
      </c>
      <c r="AR47" s="26"/>
      <c r="AS47" s="36">
        <v>0</v>
      </c>
      <c r="AT47" s="26"/>
      <c r="AU47" s="36">
        <v>0</v>
      </c>
      <c r="AV47" s="26"/>
      <c r="AW47" s="36">
        <v>0</v>
      </c>
      <c r="AX47" s="26"/>
      <c r="AY47" s="36">
        <v>0</v>
      </c>
      <c r="AZ47" s="54">
        <v>363843</v>
      </c>
      <c r="BA47" s="54">
        <v>215801</v>
      </c>
      <c r="BB47" s="54">
        <v>9023</v>
      </c>
      <c r="BC47" s="54">
        <v>490616</v>
      </c>
      <c r="BD47" s="54">
        <v>0</v>
      </c>
      <c r="BE47" s="54">
        <v>1079283</v>
      </c>
      <c r="BF47" s="54">
        <v>4003714</v>
      </c>
      <c r="BG47" s="54">
        <v>777817</v>
      </c>
      <c r="BH47" s="54">
        <v>1040173</v>
      </c>
      <c r="BI47" s="54">
        <v>5816874</v>
      </c>
      <c r="BJ47" s="54">
        <v>2533795</v>
      </c>
      <c r="BK47" s="54">
        <v>14172373</v>
      </c>
      <c r="BL47" s="54">
        <v>740000</v>
      </c>
      <c r="BM47" s="54">
        <v>175000</v>
      </c>
      <c r="BN47" s="54">
        <v>0</v>
      </c>
      <c r="BO47" s="54">
        <v>3200</v>
      </c>
      <c r="BP47" s="54">
        <v>200000</v>
      </c>
      <c r="BQ47" s="54">
        <v>1118200</v>
      </c>
      <c r="BR47" s="54">
        <v>170067</v>
      </c>
      <c r="BS47" s="54">
        <v>19673</v>
      </c>
      <c r="BT47" s="54">
        <v>51496</v>
      </c>
      <c r="BU47" s="54">
        <v>1076888</v>
      </c>
      <c r="BV47" s="54">
        <v>859602</v>
      </c>
      <c r="BW47" s="54">
        <v>2177726</v>
      </c>
      <c r="BX47" s="54">
        <v>0</v>
      </c>
      <c r="BY47" s="54">
        <v>0</v>
      </c>
      <c r="BZ47" s="54">
        <v>0</v>
      </c>
      <c r="CA47" s="54">
        <v>0</v>
      </c>
      <c r="CB47" s="54">
        <v>0</v>
      </c>
      <c r="CC47" s="54">
        <v>0</v>
      </c>
      <c r="CD47" s="54">
        <v>1104</v>
      </c>
      <c r="CE47" s="54">
        <v>0</v>
      </c>
      <c r="CF47" s="54">
        <v>0</v>
      </c>
      <c r="CG47" s="54">
        <v>0</v>
      </c>
      <c r="CH47" s="54">
        <v>1989</v>
      </c>
      <c r="CI47" s="54">
        <v>3093</v>
      </c>
      <c r="CJ47" s="54">
        <v>1009053</v>
      </c>
      <c r="CK47" s="54">
        <v>107624</v>
      </c>
      <c r="CL47" s="54">
        <v>149057</v>
      </c>
      <c r="CM47" s="54">
        <v>1942350</v>
      </c>
      <c r="CN47" s="54">
        <v>766841</v>
      </c>
      <c r="CO47" s="54">
        <v>3974925</v>
      </c>
      <c r="CP47" s="54">
        <v>0</v>
      </c>
      <c r="CQ47" s="54">
        <v>0</v>
      </c>
      <c r="CR47" s="54">
        <v>0</v>
      </c>
      <c r="CS47" s="54">
        <v>0</v>
      </c>
      <c r="CT47" s="54">
        <v>40687</v>
      </c>
      <c r="CU47" s="54">
        <v>40687</v>
      </c>
      <c r="CV47" s="54">
        <v>400000</v>
      </c>
      <c r="CW47" s="54">
        <v>129050</v>
      </c>
      <c r="CX47" s="54">
        <v>0</v>
      </c>
      <c r="CY47" s="54">
        <v>2500</v>
      </c>
      <c r="CZ47" s="54">
        <v>984081</v>
      </c>
      <c r="DA47" s="54">
        <v>1515631</v>
      </c>
      <c r="DB47" s="54">
        <v>0</v>
      </c>
      <c r="DC47" s="54">
        <v>0</v>
      </c>
      <c r="DD47" s="54">
        <v>0</v>
      </c>
      <c r="DE47" s="54">
        <v>0</v>
      </c>
      <c r="DF47" s="54">
        <v>0</v>
      </c>
      <c r="DG47" s="54">
        <v>0</v>
      </c>
      <c r="DH47" s="54">
        <v>72873</v>
      </c>
      <c r="DI47" s="54">
        <v>27561</v>
      </c>
      <c r="DJ47" s="54">
        <v>0</v>
      </c>
      <c r="DK47" s="54">
        <v>12048</v>
      </c>
      <c r="DL47" s="54">
        <v>58213</v>
      </c>
      <c r="DM47" s="54">
        <v>170695</v>
      </c>
      <c r="DN47" s="54">
        <v>0</v>
      </c>
      <c r="DO47" s="54">
        <v>0</v>
      </c>
      <c r="DP47" s="54">
        <v>0</v>
      </c>
      <c r="DQ47" s="54">
        <v>0</v>
      </c>
      <c r="DR47" s="54">
        <v>434510</v>
      </c>
      <c r="DS47" s="54">
        <v>434510</v>
      </c>
      <c r="DT47" s="54">
        <v>0</v>
      </c>
      <c r="DU47" s="54">
        <v>0</v>
      </c>
      <c r="DV47" s="54">
        <v>0</v>
      </c>
      <c r="DW47" s="54">
        <v>0</v>
      </c>
      <c r="DX47" s="54">
        <v>1048578</v>
      </c>
      <c r="DY47" s="54">
        <v>1048578</v>
      </c>
      <c r="DZ47" s="54">
        <v>178081</v>
      </c>
      <c r="EA47" s="54">
        <v>15075</v>
      </c>
      <c r="EB47" s="54">
        <v>242</v>
      </c>
      <c r="EC47" s="54">
        <v>74221</v>
      </c>
      <c r="ED47" s="54">
        <v>330195</v>
      </c>
      <c r="EE47" s="54">
        <v>597814</v>
      </c>
      <c r="EF47" s="54">
        <v>7447</v>
      </c>
      <c r="EG47" s="54">
        <v>16730</v>
      </c>
      <c r="EH47" s="54">
        <v>8500</v>
      </c>
      <c r="EI47" s="54">
        <v>100688</v>
      </c>
      <c r="EJ47" s="54">
        <v>278847</v>
      </c>
      <c r="EK47" s="54">
        <v>412212</v>
      </c>
      <c r="EL47" s="54">
        <v>6946182</v>
      </c>
      <c r="EM47" s="54">
        <v>1484331</v>
      </c>
      <c r="EN47" s="54">
        <v>1258491</v>
      </c>
      <c r="EO47" s="54">
        <v>9519385</v>
      </c>
      <c r="EP47" s="54">
        <v>7537338</v>
      </c>
      <c r="EQ47" s="54">
        <v>26745727</v>
      </c>
      <c r="ER47" s="54">
        <v>3177734</v>
      </c>
      <c r="ES47" s="54">
        <v>407736</v>
      </c>
      <c r="ET47" s="54">
        <v>455703</v>
      </c>
      <c r="EU47" s="54">
        <v>4687659</v>
      </c>
      <c r="EV47" s="54">
        <v>181468</v>
      </c>
      <c r="EW47" s="54">
        <v>8910300</v>
      </c>
      <c r="EX47" s="54">
        <v>0</v>
      </c>
      <c r="EY47" s="54">
        <v>15000</v>
      </c>
      <c r="EZ47" s="54">
        <v>2000</v>
      </c>
      <c r="FA47" s="54">
        <v>68242</v>
      </c>
      <c r="FB47" s="54">
        <v>0</v>
      </c>
      <c r="FC47" s="54">
        <v>85242</v>
      </c>
      <c r="FD47" s="54">
        <v>1697263</v>
      </c>
      <c r="FE47" s="54">
        <v>523213</v>
      </c>
      <c r="FF47" s="54">
        <v>442911</v>
      </c>
      <c r="FG47" s="54">
        <v>2558159</v>
      </c>
      <c r="FH47" s="54">
        <v>138932</v>
      </c>
      <c r="FI47" s="54">
        <v>5360478</v>
      </c>
      <c r="FJ47" s="54">
        <v>0</v>
      </c>
      <c r="FK47" s="54">
        <v>0</v>
      </c>
      <c r="FL47" s="54">
        <v>0</v>
      </c>
      <c r="FM47" s="54">
        <v>0</v>
      </c>
      <c r="FN47" s="54">
        <v>0</v>
      </c>
      <c r="FO47" s="54">
        <v>0</v>
      </c>
      <c r="FP47" s="54">
        <v>254839</v>
      </c>
      <c r="FQ47" s="54">
        <v>20314</v>
      </c>
      <c r="FR47" s="54">
        <v>56292</v>
      </c>
      <c r="FS47" s="54">
        <v>103320</v>
      </c>
      <c r="FT47" s="54">
        <v>3794928</v>
      </c>
      <c r="FU47" s="54">
        <v>4229693</v>
      </c>
      <c r="FV47" s="54">
        <v>0</v>
      </c>
      <c r="FW47" s="54">
        <v>0</v>
      </c>
      <c r="FX47" s="54">
        <v>0</v>
      </c>
      <c r="FY47" s="54">
        <v>0</v>
      </c>
      <c r="FZ47" s="54">
        <v>0</v>
      </c>
      <c r="GA47" s="54">
        <v>0</v>
      </c>
      <c r="GB47" s="54">
        <v>0</v>
      </c>
      <c r="GC47" s="54">
        <v>0</v>
      </c>
      <c r="GD47" s="54">
        <v>0</v>
      </c>
      <c r="GE47" s="54">
        <v>0</v>
      </c>
      <c r="GF47" s="54">
        <v>0</v>
      </c>
      <c r="GG47" s="54">
        <v>0</v>
      </c>
      <c r="GH47" s="54">
        <v>242792</v>
      </c>
      <c r="GI47" s="54">
        <v>49126</v>
      </c>
      <c r="GJ47" s="54">
        <v>38906</v>
      </c>
      <c r="GK47" s="54">
        <v>211457</v>
      </c>
      <c r="GL47" s="54">
        <v>58039</v>
      </c>
      <c r="GM47" s="54">
        <v>600320</v>
      </c>
      <c r="GN47" s="54">
        <v>877410</v>
      </c>
      <c r="GO47" s="54">
        <v>138204</v>
      </c>
      <c r="GP47" s="54">
        <v>91018</v>
      </c>
      <c r="GQ47" s="54">
        <v>823324</v>
      </c>
      <c r="GR47" s="54">
        <v>294107</v>
      </c>
      <c r="GS47" s="54">
        <v>2224063</v>
      </c>
      <c r="GT47" s="54">
        <v>231467</v>
      </c>
      <c r="GU47" s="54">
        <v>45690</v>
      </c>
      <c r="GV47" s="54">
        <v>20159</v>
      </c>
      <c r="GW47" s="54">
        <v>316442</v>
      </c>
      <c r="GX47" s="54">
        <v>367785</v>
      </c>
      <c r="GY47" s="54">
        <v>981543</v>
      </c>
      <c r="GZ47" s="54">
        <v>200643</v>
      </c>
      <c r="HA47" s="54">
        <v>130122</v>
      </c>
      <c r="HB47" s="54">
        <v>46595</v>
      </c>
      <c r="HC47" s="54">
        <v>232720</v>
      </c>
      <c r="HD47" s="54">
        <v>90493</v>
      </c>
      <c r="HE47" s="54">
        <v>700573</v>
      </c>
      <c r="HF47" s="54">
        <v>10075</v>
      </c>
      <c r="HG47" s="54">
        <v>4042</v>
      </c>
      <c r="HH47" s="54">
        <v>4263</v>
      </c>
      <c r="HI47" s="54">
        <v>16314</v>
      </c>
      <c r="HJ47" s="54">
        <v>91082</v>
      </c>
      <c r="HK47" s="54">
        <v>125776</v>
      </c>
      <c r="HL47" s="54">
        <v>0</v>
      </c>
      <c r="HM47" s="54">
        <v>0</v>
      </c>
      <c r="HN47" s="54">
        <v>0</v>
      </c>
      <c r="HO47" s="54">
        <v>0</v>
      </c>
      <c r="HP47" s="54">
        <v>1149004</v>
      </c>
      <c r="HQ47" s="54">
        <v>1149004</v>
      </c>
      <c r="HR47" s="54">
        <v>68461</v>
      </c>
      <c r="HS47" s="54">
        <v>25417</v>
      </c>
      <c r="HT47" s="54">
        <v>12241</v>
      </c>
      <c r="HU47" s="54">
        <v>40448</v>
      </c>
      <c r="HV47" s="54">
        <v>64911</v>
      </c>
      <c r="HW47" s="54">
        <v>211478</v>
      </c>
      <c r="HX47" s="54">
        <v>0</v>
      </c>
      <c r="HY47" s="54">
        <v>0</v>
      </c>
      <c r="HZ47" s="54">
        <v>0</v>
      </c>
      <c r="IA47" s="54">
        <v>0</v>
      </c>
      <c r="IB47" s="54">
        <v>102918</v>
      </c>
      <c r="IC47" s="54">
        <v>102918</v>
      </c>
      <c r="ID47" s="54">
        <v>0</v>
      </c>
      <c r="IE47" s="54">
        <v>0</v>
      </c>
      <c r="IF47" s="54">
        <v>0</v>
      </c>
      <c r="IG47" s="54">
        <v>0</v>
      </c>
      <c r="IH47" s="54">
        <v>40687</v>
      </c>
      <c r="II47" s="54">
        <v>40687</v>
      </c>
      <c r="IJ47" s="54">
        <v>35501</v>
      </c>
      <c r="IK47" s="54">
        <v>14284</v>
      </c>
      <c r="IL47" s="54">
        <v>10671</v>
      </c>
      <c r="IM47" s="54">
        <v>90952</v>
      </c>
      <c r="IN47" s="54">
        <v>47686</v>
      </c>
      <c r="IO47" s="54">
        <v>199094</v>
      </c>
      <c r="IP47" s="54">
        <v>1847</v>
      </c>
      <c r="IQ47" s="54">
        <v>3016</v>
      </c>
      <c r="IR47" s="54">
        <v>2919</v>
      </c>
      <c r="IS47" s="54">
        <v>11441</v>
      </c>
      <c r="IT47" s="54">
        <v>271276</v>
      </c>
      <c r="IU47" s="54">
        <v>290499</v>
      </c>
      <c r="IV47" s="54">
        <v>161052</v>
      </c>
      <c r="IW47" s="54">
        <v>108167</v>
      </c>
      <c r="IX47" s="54">
        <v>74813</v>
      </c>
      <c r="IY47" s="54">
        <v>376139</v>
      </c>
      <c r="IZ47" s="54">
        <v>1043728</v>
      </c>
      <c r="JA47" s="54">
        <v>1763899</v>
      </c>
      <c r="JB47" s="54">
        <v>6959084</v>
      </c>
      <c r="JC47" s="54">
        <v>1484331</v>
      </c>
      <c r="JD47" s="54">
        <v>1258491</v>
      </c>
      <c r="JE47" s="54">
        <v>9536617</v>
      </c>
      <c r="JF47" s="54">
        <v>7737044</v>
      </c>
      <c r="JG47" s="54">
        <v>26975567</v>
      </c>
      <c r="JH47" s="54">
        <v>0</v>
      </c>
      <c r="JI47" s="54">
        <v>0</v>
      </c>
      <c r="JJ47" s="54">
        <v>0</v>
      </c>
      <c r="JK47" s="54">
        <v>0</v>
      </c>
      <c r="JL47" s="54">
        <v>0</v>
      </c>
      <c r="JM47" s="54">
        <v>0</v>
      </c>
      <c r="JN47" s="54">
        <v>6959084</v>
      </c>
      <c r="JO47" s="54">
        <v>1484331</v>
      </c>
      <c r="JP47" s="54">
        <v>1258491</v>
      </c>
      <c r="JQ47" s="54">
        <v>9536617</v>
      </c>
      <c r="JR47" s="54">
        <v>7737044</v>
      </c>
      <c r="JS47" s="54">
        <v>26975567</v>
      </c>
      <c r="JU47" s="5">
        <f t="shared" si="80"/>
        <v>1079283</v>
      </c>
      <c r="JV47" s="26">
        <f t="shared" si="81"/>
        <v>0</v>
      </c>
      <c r="JW47" s="5">
        <f t="shared" si="82"/>
        <v>14172373</v>
      </c>
      <c r="JX47" s="26">
        <f t="shared" si="83"/>
        <v>0</v>
      </c>
      <c r="JY47" s="5">
        <f t="shared" si="84"/>
        <v>1118200</v>
      </c>
      <c r="JZ47" s="26">
        <f t="shared" si="85"/>
        <v>0</v>
      </c>
      <c r="KA47" s="5">
        <f t="shared" si="86"/>
        <v>2177726</v>
      </c>
      <c r="KB47" s="26">
        <f t="shared" si="87"/>
        <v>0</v>
      </c>
      <c r="KC47" s="5">
        <f t="shared" si="88"/>
        <v>0</v>
      </c>
      <c r="KD47" s="26">
        <f t="shared" si="89"/>
        <v>0</v>
      </c>
      <c r="KE47" s="5">
        <f t="shared" si="90"/>
        <v>3093</v>
      </c>
      <c r="KF47" s="26">
        <f t="shared" si="91"/>
        <v>0</v>
      </c>
      <c r="KG47" s="5">
        <f t="shared" si="92"/>
        <v>3974925</v>
      </c>
      <c r="KH47" s="26">
        <f t="shared" si="93"/>
        <v>0</v>
      </c>
      <c r="KI47" s="5">
        <f t="shared" si="94"/>
        <v>40687</v>
      </c>
      <c r="KJ47" s="26">
        <f t="shared" si="95"/>
        <v>0</v>
      </c>
      <c r="KK47" s="5">
        <f t="shared" si="96"/>
        <v>1515631</v>
      </c>
      <c r="KL47" s="26">
        <f t="shared" si="97"/>
        <v>0</v>
      </c>
      <c r="KM47" s="5">
        <f t="shared" si="98"/>
        <v>0</v>
      </c>
      <c r="KN47" s="26">
        <f t="shared" si="99"/>
        <v>0</v>
      </c>
      <c r="KO47" s="5">
        <f t="shared" si="100"/>
        <v>170695</v>
      </c>
      <c r="KP47" s="26">
        <f t="shared" si="101"/>
        <v>0</v>
      </c>
      <c r="KQ47" s="5">
        <f t="shared" si="102"/>
        <v>434510</v>
      </c>
      <c r="KR47" s="26">
        <f t="shared" si="103"/>
        <v>0</v>
      </c>
      <c r="KS47" s="5">
        <f t="shared" si="104"/>
        <v>1048578</v>
      </c>
      <c r="KT47" s="26">
        <f t="shared" si="105"/>
        <v>0</v>
      </c>
      <c r="KU47" s="5">
        <f t="shared" si="106"/>
        <v>597814</v>
      </c>
      <c r="KV47" s="26">
        <f t="shared" si="107"/>
        <v>0</v>
      </c>
      <c r="KW47" s="5">
        <f t="shared" si="108"/>
        <v>412212</v>
      </c>
      <c r="KX47" s="26">
        <f t="shared" si="109"/>
        <v>0</v>
      </c>
      <c r="KY47" s="5">
        <f t="shared" si="110"/>
        <v>26745727</v>
      </c>
      <c r="KZ47" s="26">
        <f t="shared" si="111"/>
        <v>0</v>
      </c>
      <c r="LA47" s="5">
        <f t="shared" si="112"/>
        <v>8910300</v>
      </c>
      <c r="LB47" s="26">
        <f t="shared" si="113"/>
        <v>0</v>
      </c>
      <c r="LC47" s="5">
        <f t="shared" si="114"/>
        <v>85242</v>
      </c>
      <c r="LD47" s="26">
        <f t="shared" si="115"/>
        <v>0</v>
      </c>
      <c r="LE47" s="5">
        <f t="shared" si="116"/>
        <v>5360478</v>
      </c>
      <c r="LF47" s="26">
        <f t="shared" si="117"/>
        <v>0</v>
      </c>
      <c r="LG47" s="5">
        <f t="shared" si="118"/>
        <v>0</v>
      </c>
      <c r="LH47" s="26">
        <f t="shared" si="119"/>
        <v>0</v>
      </c>
      <c r="LI47" s="5">
        <f t="shared" si="120"/>
        <v>4229693</v>
      </c>
      <c r="LJ47" s="26">
        <f t="shared" si="121"/>
        <v>0</v>
      </c>
      <c r="LK47" s="5">
        <f t="shared" si="122"/>
        <v>0</v>
      </c>
      <c r="LL47" s="26">
        <f t="shared" si="123"/>
        <v>0</v>
      </c>
      <c r="LM47" s="5">
        <f t="shared" si="124"/>
        <v>0</v>
      </c>
      <c r="LN47" s="26">
        <f t="shared" si="125"/>
        <v>0</v>
      </c>
      <c r="LO47" s="5">
        <f t="shared" si="126"/>
        <v>600320</v>
      </c>
      <c r="LP47" s="26">
        <f t="shared" si="127"/>
        <v>0</v>
      </c>
      <c r="LQ47" s="5">
        <f t="shared" si="128"/>
        <v>2224063</v>
      </c>
      <c r="LR47" s="26">
        <f t="shared" si="129"/>
        <v>0</v>
      </c>
      <c r="LS47" s="5">
        <f t="shared" si="130"/>
        <v>981543</v>
      </c>
      <c r="LT47" s="26">
        <f t="shared" si="131"/>
        <v>0</v>
      </c>
      <c r="LU47" s="5">
        <f t="shared" si="132"/>
        <v>700573</v>
      </c>
      <c r="LV47" s="26">
        <f t="shared" si="133"/>
        <v>0</v>
      </c>
      <c r="LW47" s="5">
        <f t="shared" si="134"/>
        <v>125776</v>
      </c>
      <c r="LX47" s="26">
        <f t="shared" si="135"/>
        <v>0</v>
      </c>
      <c r="LY47" s="5">
        <f t="shared" si="136"/>
        <v>1149004</v>
      </c>
      <c r="LZ47" s="26">
        <f t="shared" si="137"/>
        <v>0</v>
      </c>
      <c r="MA47" s="5">
        <f t="shared" si="138"/>
        <v>211478</v>
      </c>
      <c r="MB47" s="26">
        <f t="shared" si="139"/>
        <v>0</v>
      </c>
      <c r="MC47" s="5">
        <f t="shared" si="140"/>
        <v>102918</v>
      </c>
      <c r="MD47" s="26">
        <f t="shared" si="141"/>
        <v>0</v>
      </c>
      <c r="ME47" s="5">
        <f t="shared" si="142"/>
        <v>40687</v>
      </c>
      <c r="MF47" s="26">
        <f t="shared" si="143"/>
        <v>0</v>
      </c>
      <c r="MG47" s="5">
        <f t="shared" si="144"/>
        <v>199094</v>
      </c>
      <c r="MH47" s="26">
        <f t="shared" si="145"/>
        <v>0</v>
      </c>
      <c r="MI47" s="5">
        <f t="shared" si="146"/>
        <v>290499</v>
      </c>
      <c r="MJ47" s="26">
        <f t="shared" si="147"/>
        <v>0</v>
      </c>
      <c r="MK47" s="5">
        <f t="shared" si="148"/>
        <v>1763899</v>
      </c>
      <c r="ML47" s="26">
        <f t="shared" si="149"/>
        <v>0</v>
      </c>
      <c r="MM47" s="5">
        <f t="shared" si="150"/>
        <v>26975567</v>
      </c>
      <c r="MN47" s="26">
        <f t="shared" si="151"/>
        <v>0</v>
      </c>
      <c r="MO47" s="5">
        <f t="shared" si="152"/>
        <v>0</v>
      </c>
      <c r="MP47" s="26">
        <f t="shared" si="153"/>
        <v>0</v>
      </c>
      <c r="MQ47" s="5">
        <f t="shared" si="154"/>
        <v>26975567</v>
      </c>
      <c r="MR47" s="26">
        <f t="shared" si="155"/>
        <v>0</v>
      </c>
      <c r="MT47" s="5">
        <f t="shared" si="76"/>
        <v>0</v>
      </c>
      <c r="MV47" s="4">
        <f t="shared" si="77"/>
        <v>0</v>
      </c>
    </row>
    <row r="48" spans="1:360" x14ac:dyDescent="0.15">
      <c r="A48" s="156" t="s">
        <v>337</v>
      </c>
      <c r="B48" s="25" t="s">
        <v>481</v>
      </c>
      <c r="C48" s="109">
        <v>170976</v>
      </c>
      <c r="D48" s="105">
        <v>2011</v>
      </c>
      <c r="E48" s="106">
        <v>1</v>
      </c>
      <c r="F48" s="107">
        <v>3</v>
      </c>
      <c r="G48" s="107"/>
      <c r="H48" s="107"/>
      <c r="I48" s="108"/>
      <c r="J48" s="108"/>
      <c r="K48" s="108">
        <v>112555000</v>
      </c>
      <c r="L48" s="108"/>
      <c r="M48" s="108">
        <v>99961000</v>
      </c>
      <c r="N48" s="108"/>
      <c r="O48" s="108">
        <v>215355000</v>
      </c>
      <c r="P48" s="108"/>
      <c r="Q48" s="108">
        <v>1692464702</v>
      </c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30">
        <v>11</v>
      </c>
      <c r="AD48" s="130">
        <v>12</v>
      </c>
      <c r="AE48" s="130">
        <v>0</v>
      </c>
      <c r="AF48" s="26">
        <v>8851830</v>
      </c>
      <c r="AG48" s="26">
        <v>7301451</v>
      </c>
      <c r="AH48" s="26">
        <v>1039948</v>
      </c>
      <c r="AI48" s="26">
        <v>440409</v>
      </c>
      <c r="AJ48" s="26">
        <v>566146.07999999996</v>
      </c>
      <c r="AK48" s="36">
        <v>12.5</v>
      </c>
      <c r="AL48" s="26">
        <v>544371.23076923075</v>
      </c>
      <c r="AM48" s="36">
        <v>13</v>
      </c>
      <c r="AN48" s="26">
        <v>173521.1851851852</v>
      </c>
      <c r="AO48" s="36">
        <v>13.5</v>
      </c>
      <c r="AP48" s="26">
        <v>167324</v>
      </c>
      <c r="AQ48" s="36">
        <v>14</v>
      </c>
      <c r="AR48" s="26">
        <v>173722.03703703705</v>
      </c>
      <c r="AS48" s="36">
        <v>27</v>
      </c>
      <c r="AT48" s="26">
        <v>167517.67857142858</v>
      </c>
      <c r="AU48" s="36">
        <v>28</v>
      </c>
      <c r="AV48" s="26">
        <v>83119.951219512193</v>
      </c>
      <c r="AW48" s="36">
        <v>20.5</v>
      </c>
      <c r="AX48" s="26">
        <v>81140.904761904763</v>
      </c>
      <c r="AY48" s="36">
        <v>21</v>
      </c>
      <c r="AZ48" s="54">
        <v>35747432</v>
      </c>
      <c r="BA48" s="54">
        <v>2436636</v>
      </c>
      <c r="BB48" s="54">
        <v>47251</v>
      </c>
      <c r="BC48" s="54">
        <v>3414753</v>
      </c>
      <c r="BD48" s="54">
        <v>22517</v>
      </c>
      <c r="BE48" s="54">
        <v>41668589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283619</v>
      </c>
      <c r="BP48" s="54">
        <v>0</v>
      </c>
      <c r="BQ48" s="54">
        <v>283619</v>
      </c>
      <c r="BR48" s="54">
        <v>22452520</v>
      </c>
      <c r="BS48" s="54">
        <v>60720</v>
      </c>
      <c r="BT48" s="54">
        <v>29485</v>
      </c>
      <c r="BU48" s="54">
        <v>394603</v>
      </c>
      <c r="BV48" s="54">
        <v>5024295</v>
      </c>
      <c r="BW48" s="54">
        <v>27961623</v>
      </c>
      <c r="BX48" s="54">
        <v>0</v>
      </c>
      <c r="BY48" s="54">
        <v>0</v>
      </c>
      <c r="BZ48" s="54">
        <v>0</v>
      </c>
      <c r="CA48" s="54">
        <v>0</v>
      </c>
      <c r="CB48" s="54">
        <v>0</v>
      </c>
      <c r="CC48" s="54">
        <v>0</v>
      </c>
      <c r="CD48" s="54">
        <v>0</v>
      </c>
      <c r="CE48" s="54">
        <v>0</v>
      </c>
      <c r="CF48" s="54">
        <v>0</v>
      </c>
      <c r="CG48" s="54">
        <v>0</v>
      </c>
      <c r="CH48" s="54">
        <v>0</v>
      </c>
      <c r="CI48" s="54">
        <v>0</v>
      </c>
      <c r="CJ48" s="54">
        <v>0</v>
      </c>
      <c r="CK48" s="54">
        <v>0</v>
      </c>
      <c r="CL48" s="54">
        <v>0</v>
      </c>
      <c r="CM48" s="54">
        <v>3267</v>
      </c>
      <c r="CN48" s="54">
        <v>16855</v>
      </c>
      <c r="CO48" s="54">
        <v>20122</v>
      </c>
      <c r="CP48" s="54">
        <v>0</v>
      </c>
      <c r="CQ48" s="54">
        <v>0</v>
      </c>
      <c r="CR48" s="54">
        <v>0</v>
      </c>
      <c r="CS48" s="54">
        <v>0</v>
      </c>
      <c r="CT48" s="54">
        <v>252562</v>
      </c>
      <c r="CU48" s="54">
        <v>252562</v>
      </c>
      <c r="CV48" s="54">
        <v>9237121</v>
      </c>
      <c r="CW48" s="54">
        <v>6425817</v>
      </c>
      <c r="CX48" s="54">
        <v>0</v>
      </c>
      <c r="CY48" s="54">
        <v>209399</v>
      </c>
      <c r="CZ48" s="54">
        <v>8392242</v>
      </c>
      <c r="DA48" s="54">
        <v>24264579</v>
      </c>
      <c r="DB48" s="54">
        <v>0</v>
      </c>
      <c r="DC48" s="54">
        <v>0</v>
      </c>
      <c r="DD48" s="54">
        <v>0</v>
      </c>
      <c r="DE48" s="54">
        <v>0</v>
      </c>
      <c r="DF48" s="54">
        <v>0</v>
      </c>
      <c r="DG48" s="54">
        <v>0</v>
      </c>
      <c r="DH48" s="54">
        <v>1921672</v>
      </c>
      <c r="DI48" s="54">
        <v>198248</v>
      </c>
      <c r="DJ48" s="54">
        <v>18551</v>
      </c>
      <c r="DK48" s="54">
        <v>241665</v>
      </c>
      <c r="DL48" s="54">
        <v>1022997</v>
      </c>
      <c r="DM48" s="54">
        <v>3403133</v>
      </c>
      <c r="DN48" s="54">
        <v>0</v>
      </c>
      <c r="DO48" s="54">
        <v>0</v>
      </c>
      <c r="DP48" s="54">
        <v>0</v>
      </c>
      <c r="DQ48" s="54">
        <v>0</v>
      </c>
      <c r="DR48" s="54">
        <v>19077794</v>
      </c>
      <c r="DS48" s="54">
        <v>19077794</v>
      </c>
      <c r="DT48" s="54">
        <v>0</v>
      </c>
      <c r="DU48" s="54">
        <v>0</v>
      </c>
      <c r="DV48" s="54">
        <v>0</v>
      </c>
      <c r="DW48" s="54">
        <v>0</v>
      </c>
      <c r="DX48" s="54">
        <v>151002</v>
      </c>
      <c r="DY48" s="54">
        <v>151002</v>
      </c>
      <c r="DZ48" s="54">
        <v>941931</v>
      </c>
      <c r="EA48" s="54">
        <v>33268</v>
      </c>
      <c r="EB48" s="54">
        <v>45659</v>
      </c>
      <c r="EC48" s="54">
        <v>959739</v>
      </c>
      <c r="ED48" s="54">
        <v>783246</v>
      </c>
      <c r="EE48" s="54">
        <v>2763843</v>
      </c>
      <c r="EF48" s="54">
        <v>0</v>
      </c>
      <c r="EG48" s="54">
        <v>0</v>
      </c>
      <c r="EH48" s="54">
        <v>650</v>
      </c>
      <c r="EI48" s="54">
        <v>42185</v>
      </c>
      <c r="EJ48" s="54">
        <v>2849351</v>
      </c>
      <c r="EK48" s="54">
        <v>2892186</v>
      </c>
      <c r="EL48" s="54">
        <v>70300676</v>
      </c>
      <c r="EM48" s="54">
        <v>9154689</v>
      </c>
      <c r="EN48" s="54">
        <v>141596</v>
      </c>
      <c r="EO48" s="54">
        <v>5549230</v>
      </c>
      <c r="EP48" s="54">
        <v>37592861</v>
      </c>
      <c r="EQ48" s="54">
        <v>122739052</v>
      </c>
      <c r="ER48" s="54">
        <v>4386861</v>
      </c>
      <c r="ES48" s="54">
        <v>591083</v>
      </c>
      <c r="ET48" s="54">
        <v>587657</v>
      </c>
      <c r="EU48" s="54">
        <v>10587680</v>
      </c>
      <c r="EV48" s="54">
        <v>169934</v>
      </c>
      <c r="EW48" s="54">
        <v>16323215</v>
      </c>
      <c r="EX48" s="54">
        <v>1450000</v>
      </c>
      <c r="EY48" s="54">
        <v>307321</v>
      </c>
      <c r="EZ48" s="54">
        <v>23500</v>
      </c>
      <c r="FA48" s="54">
        <v>54488</v>
      </c>
      <c r="FB48" s="54">
        <v>0</v>
      </c>
      <c r="FC48" s="54">
        <v>1835309</v>
      </c>
      <c r="FD48" s="54">
        <v>6262941</v>
      </c>
      <c r="FE48" s="54">
        <v>2325462</v>
      </c>
      <c r="FF48" s="54">
        <v>748752</v>
      </c>
      <c r="FG48" s="54">
        <v>6476661</v>
      </c>
      <c r="FH48" s="54">
        <v>0</v>
      </c>
      <c r="FI48" s="54">
        <v>15813816</v>
      </c>
      <c r="FJ48" s="54">
        <v>0</v>
      </c>
      <c r="FK48" s="54">
        <v>0</v>
      </c>
      <c r="FL48" s="54">
        <v>0</v>
      </c>
      <c r="FM48" s="54">
        <v>0</v>
      </c>
      <c r="FN48" s="54">
        <v>0</v>
      </c>
      <c r="FO48" s="54">
        <v>0</v>
      </c>
      <c r="FP48" s="54">
        <v>1381650</v>
      </c>
      <c r="FQ48" s="54">
        <v>410844</v>
      </c>
      <c r="FR48" s="54">
        <v>213881</v>
      </c>
      <c r="FS48" s="54">
        <v>390077</v>
      </c>
      <c r="FT48" s="54">
        <v>19544568</v>
      </c>
      <c r="FU48" s="54">
        <v>21941020</v>
      </c>
      <c r="FV48" s="54">
        <v>0</v>
      </c>
      <c r="FW48" s="54">
        <v>0</v>
      </c>
      <c r="FX48" s="54">
        <v>0</v>
      </c>
      <c r="FY48" s="54">
        <v>0</v>
      </c>
      <c r="FZ48" s="54">
        <v>0</v>
      </c>
      <c r="GA48" s="54">
        <v>0</v>
      </c>
      <c r="GB48" s="54">
        <v>3144610</v>
      </c>
      <c r="GC48" s="54">
        <v>0</v>
      </c>
      <c r="GD48" s="54">
        <v>0</v>
      </c>
      <c r="GE48" s="54">
        <v>34605</v>
      </c>
      <c r="GF48" s="54">
        <v>0</v>
      </c>
      <c r="GG48" s="54">
        <v>3179215</v>
      </c>
      <c r="GH48" s="54">
        <v>577663</v>
      </c>
      <c r="GI48" s="54">
        <v>182052</v>
      </c>
      <c r="GJ48" s="54">
        <v>112672</v>
      </c>
      <c r="GK48" s="54">
        <v>607970</v>
      </c>
      <c r="GL48" s="54">
        <v>0</v>
      </c>
      <c r="GM48" s="54">
        <v>1480357</v>
      </c>
      <c r="GN48" s="54">
        <v>1702888</v>
      </c>
      <c r="GO48" s="54">
        <v>573595</v>
      </c>
      <c r="GP48" s="54">
        <v>323468</v>
      </c>
      <c r="GQ48" s="54">
        <v>3913133</v>
      </c>
      <c r="GR48" s="54">
        <v>90063</v>
      </c>
      <c r="GS48" s="54">
        <v>6603147</v>
      </c>
      <c r="GT48" s="54">
        <v>825815</v>
      </c>
      <c r="GU48" s="54">
        <v>120465</v>
      </c>
      <c r="GV48" s="54">
        <v>85816</v>
      </c>
      <c r="GW48" s="54">
        <v>1211881</v>
      </c>
      <c r="GX48" s="54">
        <v>1262480</v>
      </c>
      <c r="GY48" s="54">
        <v>3506457</v>
      </c>
      <c r="GZ48" s="54">
        <v>1918716</v>
      </c>
      <c r="HA48" s="54">
        <v>337771</v>
      </c>
      <c r="HB48" s="54">
        <v>147498</v>
      </c>
      <c r="HC48" s="54">
        <v>1290547</v>
      </c>
      <c r="HD48" s="54">
        <v>127064</v>
      </c>
      <c r="HE48" s="54">
        <v>3821596</v>
      </c>
      <c r="HF48" s="54">
        <v>77426</v>
      </c>
      <c r="HG48" s="54">
        <v>27794</v>
      </c>
      <c r="HH48" s="54">
        <v>11635</v>
      </c>
      <c r="HI48" s="54">
        <v>122566</v>
      </c>
      <c r="HJ48" s="54">
        <v>1582175</v>
      </c>
      <c r="HK48" s="54">
        <v>1821596</v>
      </c>
      <c r="HL48" s="54">
        <v>0</v>
      </c>
      <c r="HM48" s="54">
        <v>0</v>
      </c>
      <c r="HN48" s="54">
        <v>0</v>
      </c>
      <c r="HO48" s="54">
        <v>0</v>
      </c>
      <c r="HP48" s="54">
        <v>0</v>
      </c>
      <c r="HQ48" s="54">
        <v>0</v>
      </c>
      <c r="HR48" s="54">
        <v>0</v>
      </c>
      <c r="HS48" s="54">
        <v>0</v>
      </c>
      <c r="HT48" s="54">
        <v>0</v>
      </c>
      <c r="HU48" s="54">
        <v>0</v>
      </c>
      <c r="HV48" s="54">
        <v>24944126</v>
      </c>
      <c r="HW48" s="54">
        <v>24944126</v>
      </c>
      <c r="HX48" s="54">
        <v>0</v>
      </c>
      <c r="HY48" s="54">
        <v>0</v>
      </c>
      <c r="HZ48" s="54">
        <v>0</v>
      </c>
      <c r="IA48" s="54">
        <v>0</v>
      </c>
      <c r="IB48" s="54">
        <v>849025</v>
      </c>
      <c r="IC48" s="54">
        <v>849025</v>
      </c>
      <c r="ID48" s="54">
        <v>0</v>
      </c>
      <c r="IE48" s="54">
        <v>0</v>
      </c>
      <c r="IF48" s="54">
        <v>0</v>
      </c>
      <c r="IG48" s="54">
        <v>0</v>
      </c>
      <c r="IH48" s="54">
        <v>252562</v>
      </c>
      <c r="II48" s="54">
        <v>252562</v>
      </c>
      <c r="IJ48" s="54">
        <v>0</v>
      </c>
      <c r="IK48" s="54">
        <v>0</v>
      </c>
      <c r="IL48" s="54">
        <v>0</v>
      </c>
      <c r="IM48" s="54">
        <v>0</v>
      </c>
      <c r="IN48" s="54">
        <v>456251</v>
      </c>
      <c r="IO48" s="54">
        <v>456251</v>
      </c>
      <c r="IP48" s="54">
        <v>699</v>
      </c>
      <c r="IQ48" s="54">
        <v>0</v>
      </c>
      <c r="IR48" s="54">
        <v>617</v>
      </c>
      <c r="IS48" s="54">
        <v>103</v>
      </c>
      <c r="IT48" s="54">
        <v>109067</v>
      </c>
      <c r="IU48" s="54">
        <v>110486</v>
      </c>
      <c r="IV48" s="54">
        <v>1822964</v>
      </c>
      <c r="IW48" s="54">
        <v>225742</v>
      </c>
      <c r="IX48" s="54">
        <v>98667</v>
      </c>
      <c r="IY48" s="54">
        <v>945857</v>
      </c>
      <c r="IZ48" s="54">
        <v>5778347</v>
      </c>
      <c r="JA48" s="54">
        <v>8871577</v>
      </c>
      <c r="JB48" s="54">
        <v>23552233</v>
      </c>
      <c r="JC48" s="54">
        <v>5102129</v>
      </c>
      <c r="JD48" s="54">
        <v>2354163</v>
      </c>
      <c r="JE48" s="54">
        <v>25670366</v>
      </c>
      <c r="JF48" s="54">
        <v>55165662</v>
      </c>
      <c r="JG48" s="54">
        <v>111844553</v>
      </c>
      <c r="JH48" s="54">
        <v>0</v>
      </c>
      <c r="JI48" s="54">
        <v>0</v>
      </c>
      <c r="JJ48" s="54">
        <v>0</v>
      </c>
      <c r="JK48" s="54">
        <v>0</v>
      </c>
      <c r="JL48" s="54">
        <v>1973500</v>
      </c>
      <c r="JM48" s="54">
        <v>1973500</v>
      </c>
      <c r="JN48" s="54">
        <v>23552233</v>
      </c>
      <c r="JO48" s="54">
        <v>5102129</v>
      </c>
      <c r="JP48" s="54">
        <v>2354163</v>
      </c>
      <c r="JQ48" s="54">
        <v>25670366</v>
      </c>
      <c r="JR48" s="54">
        <v>57139162</v>
      </c>
      <c r="JS48" s="54">
        <v>113818053</v>
      </c>
      <c r="JU48" s="5">
        <f t="shared" si="80"/>
        <v>41668589</v>
      </c>
      <c r="JV48" s="26">
        <f t="shared" si="81"/>
        <v>0</v>
      </c>
      <c r="JW48" s="5">
        <f t="shared" si="82"/>
        <v>0</v>
      </c>
      <c r="JX48" s="26">
        <f t="shared" si="83"/>
        <v>0</v>
      </c>
      <c r="JY48" s="5">
        <f t="shared" si="84"/>
        <v>283619</v>
      </c>
      <c r="JZ48" s="26">
        <f t="shared" si="85"/>
        <v>0</v>
      </c>
      <c r="KA48" s="5">
        <f t="shared" si="86"/>
        <v>27961623</v>
      </c>
      <c r="KB48" s="26">
        <f t="shared" si="87"/>
        <v>0</v>
      </c>
      <c r="KC48" s="5">
        <f t="shared" si="88"/>
        <v>0</v>
      </c>
      <c r="KD48" s="26">
        <f t="shared" si="89"/>
        <v>0</v>
      </c>
      <c r="KE48" s="5">
        <f t="shared" si="90"/>
        <v>0</v>
      </c>
      <c r="KF48" s="26">
        <f t="shared" si="91"/>
        <v>0</v>
      </c>
      <c r="KG48" s="5">
        <f t="shared" si="92"/>
        <v>20122</v>
      </c>
      <c r="KH48" s="26">
        <f t="shared" si="93"/>
        <v>0</v>
      </c>
      <c r="KI48" s="5">
        <f t="shared" si="94"/>
        <v>252562</v>
      </c>
      <c r="KJ48" s="26">
        <f t="shared" si="95"/>
        <v>0</v>
      </c>
      <c r="KK48" s="5">
        <f t="shared" si="96"/>
        <v>24264579</v>
      </c>
      <c r="KL48" s="26">
        <f t="shared" si="97"/>
        <v>0</v>
      </c>
      <c r="KM48" s="5">
        <f t="shared" si="98"/>
        <v>0</v>
      </c>
      <c r="KN48" s="26">
        <f t="shared" si="99"/>
        <v>0</v>
      </c>
      <c r="KO48" s="5">
        <f t="shared" si="100"/>
        <v>3403133</v>
      </c>
      <c r="KP48" s="26">
        <f t="shared" si="101"/>
        <v>0</v>
      </c>
      <c r="KQ48" s="5">
        <f t="shared" si="102"/>
        <v>19077794</v>
      </c>
      <c r="KR48" s="26">
        <f t="shared" si="103"/>
        <v>0</v>
      </c>
      <c r="KS48" s="5">
        <f t="shared" si="104"/>
        <v>151002</v>
      </c>
      <c r="KT48" s="26">
        <f t="shared" si="105"/>
        <v>0</v>
      </c>
      <c r="KU48" s="5">
        <f t="shared" si="106"/>
        <v>2763843</v>
      </c>
      <c r="KV48" s="26">
        <f t="shared" si="107"/>
        <v>0</v>
      </c>
      <c r="KW48" s="5">
        <f t="shared" si="108"/>
        <v>2892186</v>
      </c>
      <c r="KX48" s="26">
        <f t="shared" si="109"/>
        <v>0</v>
      </c>
      <c r="KY48" s="5">
        <f t="shared" si="110"/>
        <v>122739052</v>
      </c>
      <c r="KZ48" s="26">
        <f t="shared" si="111"/>
        <v>0</v>
      </c>
      <c r="LA48" s="5">
        <f t="shared" si="112"/>
        <v>16323215</v>
      </c>
      <c r="LB48" s="26">
        <f t="shared" si="113"/>
        <v>0</v>
      </c>
      <c r="LC48" s="5">
        <f t="shared" si="114"/>
        <v>1835309</v>
      </c>
      <c r="LD48" s="26">
        <f t="shared" si="115"/>
        <v>0</v>
      </c>
      <c r="LE48" s="5">
        <f t="shared" si="116"/>
        <v>15813816</v>
      </c>
      <c r="LF48" s="26">
        <f t="shared" si="117"/>
        <v>0</v>
      </c>
      <c r="LG48" s="5">
        <f t="shared" si="118"/>
        <v>0</v>
      </c>
      <c r="LH48" s="26">
        <f t="shared" si="119"/>
        <v>0</v>
      </c>
      <c r="LI48" s="5">
        <f t="shared" si="120"/>
        <v>21941020</v>
      </c>
      <c r="LJ48" s="26">
        <f t="shared" si="121"/>
        <v>0</v>
      </c>
      <c r="LK48" s="5">
        <f t="shared" si="122"/>
        <v>0</v>
      </c>
      <c r="LL48" s="26">
        <f t="shared" si="123"/>
        <v>0</v>
      </c>
      <c r="LM48" s="5">
        <f t="shared" si="124"/>
        <v>3179215</v>
      </c>
      <c r="LN48" s="26">
        <f t="shared" si="125"/>
        <v>0</v>
      </c>
      <c r="LO48" s="5">
        <f t="shared" si="126"/>
        <v>1480357</v>
      </c>
      <c r="LP48" s="26">
        <f t="shared" si="127"/>
        <v>0</v>
      </c>
      <c r="LQ48" s="5">
        <f t="shared" si="128"/>
        <v>6603147</v>
      </c>
      <c r="LR48" s="26">
        <f t="shared" si="129"/>
        <v>0</v>
      </c>
      <c r="LS48" s="5">
        <f t="shared" si="130"/>
        <v>3506457</v>
      </c>
      <c r="LT48" s="26">
        <f t="shared" si="131"/>
        <v>0</v>
      </c>
      <c r="LU48" s="5">
        <f t="shared" si="132"/>
        <v>3821596</v>
      </c>
      <c r="LV48" s="26">
        <f t="shared" si="133"/>
        <v>0</v>
      </c>
      <c r="LW48" s="5">
        <f t="shared" si="134"/>
        <v>1821596</v>
      </c>
      <c r="LX48" s="26">
        <f t="shared" si="135"/>
        <v>0</v>
      </c>
      <c r="LY48" s="5">
        <f t="shared" si="136"/>
        <v>0</v>
      </c>
      <c r="LZ48" s="26">
        <f t="shared" si="137"/>
        <v>0</v>
      </c>
      <c r="MA48" s="5">
        <f t="shared" si="138"/>
        <v>24944126</v>
      </c>
      <c r="MB48" s="26">
        <f t="shared" si="139"/>
        <v>0</v>
      </c>
      <c r="MC48" s="5">
        <f t="shared" si="140"/>
        <v>849025</v>
      </c>
      <c r="MD48" s="26">
        <f t="shared" si="141"/>
        <v>0</v>
      </c>
      <c r="ME48" s="5">
        <f t="shared" si="142"/>
        <v>252562</v>
      </c>
      <c r="MF48" s="26">
        <f t="shared" si="143"/>
        <v>0</v>
      </c>
      <c r="MG48" s="5">
        <f t="shared" si="144"/>
        <v>456251</v>
      </c>
      <c r="MH48" s="26">
        <f t="shared" si="145"/>
        <v>0</v>
      </c>
      <c r="MI48" s="5">
        <f t="shared" si="146"/>
        <v>110486</v>
      </c>
      <c r="MJ48" s="26">
        <f t="shared" si="147"/>
        <v>0</v>
      </c>
      <c r="MK48" s="5">
        <f t="shared" si="148"/>
        <v>8871577</v>
      </c>
      <c r="ML48" s="26">
        <f t="shared" si="149"/>
        <v>0</v>
      </c>
      <c r="MM48" s="5">
        <f t="shared" si="150"/>
        <v>111844553</v>
      </c>
      <c r="MN48" s="26">
        <f t="shared" si="151"/>
        <v>0</v>
      </c>
      <c r="MO48" s="5">
        <f t="shared" si="152"/>
        <v>1973500</v>
      </c>
      <c r="MP48" s="26">
        <f t="shared" si="153"/>
        <v>0</v>
      </c>
      <c r="MQ48" s="5">
        <f t="shared" si="154"/>
        <v>113818053</v>
      </c>
      <c r="MR48" s="26">
        <f t="shared" si="155"/>
        <v>0</v>
      </c>
      <c r="MT48" s="5">
        <f t="shared" si="76"/>
        <v>0</v>
      </c>
      <c r="MV48" s="4">
        <f t="shared" si="77"/>
        <v>0</v>
      </c>
    </row>
    <row r="49" spans="1:367" x14ac:dyDescent="0.15">
      <c r="A49" s="157" t="s">
        <v>338</v>
      </c>
      <c r="B49" s="25" t="s">
        <v>481</v>
      </c>
      <c r="C49" s="105">
        <v>171100</v>
      </c>
      <c r="D49" s="105">
        <v>2011</v>
      </c>
      <c r="E49" s="106">
        <v>1</v>
      </c>
      <c r="F49" s="107">
        <v>3</v>
      </c>
      <c r="G49" s="107">
        <v>15791</v>
      </c>
      <c r="H49" s="115">
        <v>17262</v>
      </c>
      <c r="I49" s="108">
        <v>1897054000</v>
      </c>
      <c r="J49" s="108"/>
      <c r="K49" s="108">
        <v>9792425</v>
      </c>
      <c r="L49" s="108"/>
      <c r="M49" s="108">
        <v>104488000</v>
      </c>
      <c r="N49" s="108"/>
      <c r="O49" s="108">
        <v>121500000</v>
      </c>
      <c r="P49" s="108"/>
      <c r="Q49" s="108">
        <v>1618200000</v>
      </c>
      <c r="R49" s="108"/>
      <c r="S49" s="108">
        <v>1470007000</v>
      </c>
      <c r="T49" s="108"/>
      <c r="U49" s="108">
        <v>20522</v>
      </c>
      <c r="V49" s="114"/>
      <c r="W49" s="108">
        <v>38422</v>
      </c>
      <c r="X49" s="108"/>
      <c r="Y49" s="108">
        <v>22294</v>
      </c>
      <c r="Z49" s="114"/>
      <c r="AA49" s="108">
        <v>40194</v>
      </c>
      <c r="AB49" s="108"/>
      <c r="AC49" s="130">
        <v>12</v>
      </c>
      <c r="AD49" s="130">
        <v>13</v>
      </c>
      <c r="AE49" s="130">
        <v>0</v>
      </c>
      <c r="AF49" s="26">
        <v>5352780</v>
      </c>
      <c r="AG49" s="26">
        <v>4754697</v>
      </c>
      <c r="AH49" s="26">
        <v>653640</v>
      </c>
      <c r="AI49" s="26">
        <v>287517</v>
      </c>
      <c r="AJ49" s="26">
        <v>852622.33333333337</v>
      </c>
      <c r="AK49" s="36">
        <v>9</v>
      </c>
      <c r="AL49" s="26">
        <v>767360.1</v>
      </c>
      <c r="AM49" s="36">
        <v>10</v>
      </c>
      <c r="AN49" s="26">
        <v>160508.79999999999</v>
      </c>
      <c r="AO49" s="36">
        <v>10</v>
      </c>
      <c r="AP49" s="26">
        <v>145917.09090909091</v>
      </c>
      <c r="AQ49" s="36">
        <v>11</v>
      </c>
      <c r="AR49" s="26">
        <v>160071.85046728971</v>
      </c>
      <c r="AS49" s="36">
        <v>26.75</v>
      </c>
      <c r="AT49" s="26">
        <v>129755.21212121213</v>
      </c>
      <c r="AU49" s="36">
        <v>33</v>
      </c>
      <c r="AV49" s="26">
        <v>78283.341176470582</v>
      </c>
      <c r="AW49" s="36">
        <v>21.25</v>
      </c>
      <c r="AX49" s="26">
        <v>63981.576923076922</v>
      </c>
      <c r="AY49" s="36">
        <v>26</v>
      </c>
      <c r="AZ49" s="52">
        <v>16877139</v>
      </c>
      <c r="BA49" s="52">
        <v>4743972</v>
      </c>
      <c r="BB49" s="52">
        <v>220870</v>
      </c>
      <c r="BC49" s="52">
        <v>882088</v>
      </c>
      <c r="BD49" s="52">
        <v>13122</v>
      </c>
      <c r="BE49" s="52">
        <v>22737191</v>
      </c>
      <c r="BF49" s="52">
        <v>0</v>
      </c>
      <c r="BG49" s="52">
        <v>0</v>
      </c>
      <c r="BH49" s="52">
        <v>0</v>
      </c>
      <c r="BI49" s="52">
        <v>0</v>
      </c>
      <c r="BJ49" s="52">
        <v>0</v>
      </c>
      <c r="BK49" s="52">
        <v>0</v>
      </c>
      <c r="BL49" s="52">
        <v>150000</v>
      </c>
      <c r="BM49" s="52">
        <v>200000</v>
      </c>
      <c r="BN49" s="52">
        <v>1000</v>
      </c>
      <c r="BO49" s="52">
        <v>240299</v>
      </c>
      <c r="BP49" s="52">
        <v>0</v>
      </c>
      <c r="BQ49" s="52">
        <v>591299</v>
      </c>
      <c r="BR49" s="52">
        <v>10741076</v>
      </c>
      <c r="BS49" s="52">
        <v>1968272</v>
      </c>
      <c r="BT49" s="52">
        <v>209256</v>
      </c>
      <c r="BU49" s="52">
        <v>1927032</v>
      </c>
      <c r="BV49" s="52">
        <v>3179957</v>
      </c>
      <c r="BW49" s="52">
        <v>18025593</v>
      </c>
      <c r="BX49" s="52">
        <v>120500</v>
      </c>
      <c r="BY49" s="52">
        <v>475000</v>
      </c>
      <c r="BZ49" s="52">
        <v>1250</v>
      </c>
      <c r="CA49" s="52">
        <v>2500</v>
      </c>
      <c r="CB49" s="52">
        <v>0</v>
      </c>
      <c r="CC49" s="52">
        <v>599250</v>
      </c>
      <c r="CD49" s="52">
        <v>0</v>
      </c>
      <c r="CE49" s="52">
        <v>0</v>
      </c>
      <c r="CF49" s="52">
        <v>0</v>
      </c>
      <c r="CG49" s="52">
        <v>0</v>
      </c>
      <c r="CH49" s="52">
        <v>0</v>
      </c>
      <c r="CI49" s="52">
        <v>0</v>
      </c>
      <c r="CJ49" s="52">
        <v>1027</v>
      </c>
      <c r="CK49" s="52">
        <v>250000</v>
      </c>
      <c r="CL49" s="52">
        <v>2829</v>
      </c>
      <c r="CM49" s="52">
        <v>0</v>
      </c>
      <c r="CN49" s="52">
        <v>457409</v>
      </c>
      <c r="CO49" s="52">
        <v>711265</v>
      </c>
      <c r="CP49" s="52">
        <v>0</v>
      </c>
      <c r="CQ49" s="52">
        <v>0</v>
      </c>
      <c r="CR49" s="52">
        <v>0</v>
      </c>
      <c r="CS49" s="52">
        <v>0</v>
      </c>
      <c r="CT49" s="78">
        <v>2939015</v>
      </c>
      <c r="CU49" s="78">
        <v>2939015</v>
      </c>
      <c r="CV49" s="62">
        <v>15895533</v>
      </c>
      <c r="CW49" s="62">
        <v>8526824</v>
      </c>
      <c r="CX49" s="52">
        <v>63063</v>
      </c>
      <c r="CY49" s="52">
        <v>165408</v>
      </c>
      <c r="CZ49" s="79">
        <v>739751</v>
      </c>
      <c r="DA49" s="80">
        <v>25390579</v>
      </c>
      <c r="DB49" s="52">
        <v>0</v>
      </c>
      <c r="DC49" s="52">
        <v>0</v>
      </c>
      <c r="DD49" s="52">
        <v>0</v>
      </c>
      <c r="DE49" s="52">
        <v>0</v>
      </c>
      <c r="DF49" s="52">
        <v>1027919</v>
      </c>
      <c r="DG49" s="52">
        <v>1027919</v>
      </c>
      <c r="DH49" s="52">
        <v>520994</v>
      </c>
      <c r="DI49" s="52">
        <v>82648</v>
      </c>
      <c r="DJ49" s="52">
        <v>32883</v>
      </c>
      <c r="DK49" s="52">
        <v>6980</v>
      </c>
      <c r="DL49" s="52">
        <v>515517</v>
      </c>
      <c r="DM49" s="52">
        <v>1159022</v>
      </c>
      <c r="DN49" s="52">
        <v>345000</v>
      </c>
      <c r="DO49" s="52">
        <v>309320</v>
      </c>
      <c r="DP49" s="52">
        <v>120000</v>
      </c>
      <c r="DQ49" s="52">
        <v>964323</v>
      </c>
      <c r="DR49" s="52">
        <v>4143743</v>
      </c>
      <c r="DS49" s="52">
        <v>5882386</v>
      </c>
      <c r="DT49" s="52">
        <v>196970</v>
      </c>
      <c r="DU49" s="52">
        <v>353426</v>
      </c>
      <c r="DV49" s="52">
        <v>171623</v>
      </c>
      <c r="DW49" s="52">
        <v>1453629</v>
      </c>
      <c r="DX49" s="52">
        <v>30889</v>
      </c>
      <c r="DY49" s="52">
        <v>2206537</v>
      </c>
      <c r="DZ49" s="52">
        <v>39284</v>
      </c>
      <c r="EA49" s="52">
        <v>7398</v>
      </c>
      <c r="EB49" s="52">
        <v>2794</v>
      </c>
      <c r="EC49" s="52">
        <v>307463</v>
      </c>
      <c r="ED49" s="52">
        <v>1469651</v>
      </c>
      <c r="EE49" s="52">
        <v>1826590</v>
      </c>
      <c r="EF49" s="52">
        <v>274783</v>
      </c>
      <c r="EG49" s="52">
        <v>37349</v>
      </c>
      <c r="EH49" s="52">
        <v>39453</v>
      </c>
      <c r="EI49" s="52">
        <v>320243</v>
      </c>
      <c r="EJ49" s="52">
        <v>741725</v>
      </c>
      <c r="EK49" s="52">
        <v>1413553</v>
      </c>
      <c r="EL49" s="52">
        <v>45162306</v>
      </c>
      <c r="EM49" s="52">
        <v>16954209</v>
      </c>
      <c r="EN49" s="52">
        <v>865021</v>
      </c>
      <c r="EO49" s="52">
        <v>6241734</v>
      </c>
      <c r="EP49" s="52">
        <v>15286929</v>
      </c>
      <c r="EQ49" s="52">
        <v>84510199</v>
      </c>
      <c r="ER49" s="52">
        <v>2475955</v>
      </c>
      <c r="ES49" s="52">
        <v>457293</v>
      </c>
      <c r="ET49" s="52">
        <v>487077</v>
      </c>
      <c r="EU49" s="52">
        <v>6687152</v>
      </c>
      <c r="EV49" s="52">
        <v>39288</v>
      </c>
      <c r="EW49" s="52">
        <v>10146765</v>
      </c>
      <c r="EX49" s="52">
        <v>1552883</v>
      </c>
      <c r="EY49" s="52">
        <v>487613</v>
      </c>
      <c r="EZ49" s="52">
        <v>82000</v>
      </c>
      <c r="FA49" s="52">
        <v>43300</v>
      </c>
      <c r="FB49" s="52">
        <v>0</v>
      </c>
      <c r="FC49" s="52">
        <v>2165796</v>
      </c>
      <c r="FD49" s="52">
        <v>4431617</v>
      </c>
      <c r="FE49" s="52">
        <v>5291501</v>
      </c>
      <c r="FF49" s="52">
        <v>882221</v>
      </c>
      <c r="FG49" s="52">
        <v>4618793</v>
      </c>
      <c r="FH49" s="52">
        <v>0</v>
      </c>
      <c r="FI49" s="52">
        <v>15224132</v>
      </c>
      <c r="FJ49" s="52">
        <v>120500</v>
      </c>
      <c r="FK49" s="52">
        <v>475000</v>
      </c>
      <c r="FL49" s="52">
        <v>1250</v>
      </c>
      <c r="FM49" s="52">
        <v>2500</v>
      </c>
      <c r="FN49" s="52">
        <v>0</v>
      </c>
      <c r="FO49" s="52">
        <v>599250</v>
      </c>
      <c r="FP49" s="52">
        <v>1131362</v>
      </c>
      <c r="FQ49" s="52">
        <v>407023</v>
      </c>
      <c r="FR49" s="52">
        <v>201077</v>
      </c>
      <c r="FS49" s="52">
        <v>330386</v>
      </c>
      <c r="FT49" s="52">
        <v>9800420</v>
      </c>
      <c r="FU49" s="52">
        <v>11870268</v>
      </c>
      <c r="FV49" s="52">
        <v>0</v>
      </c>
      <c r="FW49" s="52">
        <v>0</v>
      </c>
      <c r="FX49" s="52">
        <v>0</v>
      </c>
      <c r="FY49" s="52">
        <v>0</v>
      </c>
      <c r="FZ49" s="52">
        <v>0</v>
      </c>
      <c r="GA49" s="52">
        <v>0</v>
      </c>
      <c r="GB49" s="52">
        <v>0</v>
      </c>
      <c r="GC49" s="52">
        <v>0</v>
      </c>
      <c r="GD49" s="52">
        <v>0</v>
      </c>
      <c r="GE49" s="52">
        <v>548010</v>
      </c>
      <c r="GF49" s="52">
        <v>48443</v>
      </c>
      <c r="GG49" s="52">
        <v>596453</v>
      </c>
      <c r="GH49" s="52">
        <v>383448</v>
      </c>
      <c r="GI49" s="52">
        <v>102168</v>
      </c>
      <c r="GJ49" s="52">
        <v>80958</v>
      </c>
      <c r="GK49" s="52">
        <v>374583</v>
      </c>
      <c r="GL49" s="52">
        <v>0</v>
      </c>
      <c r="GM49" s="52">
        <v>941157</v>
      </c>
      <c r="GN49" s="52">
        <v>1519082</v>
      </c>
      <c r="GO49" s="52">
        <v>653688</v>
      </c>
      <c r="GP49" s="52">
        <v>475785</v>
      </c>
      <c r="GQ49" s="52">
        <v>2048746</v>
      </c>
      <c r="GR49" s="52">
        <v>0</v>
      </c>
      <c r="GS49" s="52">
        <v>4697301</v>
      </c>
      <c r="GT49" s="52">
        <v>676525</v>
      </c>
      <c r="GU49" s="52">
        <v>331393</v>
      </c>
      <c r="GV49" s="52">
        <v>126417</v>
      </c>
      <c r="GW49" s="52">
        <v>1382024</v>
      </c>
      <c r="GX49" s="52">
        <v>30000</v>
      </c>
      <c r="GY49" s="52">
        <v>2546359</v>
      </c>
      <c r="GZ49" s="52">
        <v>1810446</v>
      </c>
      <c r="HA49" s="52">
        <v>715381</v>
      </c>
      <c r="HB49" s="52">
        <v>356278</v>
      </c>
      <c r="HC49" s="52">
        <v>399365</v>
      </c>
      <c r="HD49" s="52">
        <v>482276</v>
      </c>
      <c r="HE49" s="52">
        <v>3763746</v>
      </c>
      <c r="HF49" s="52">
        <v>161871</v>
      </c>
      <c r="HG49" s="52">
        <v>41946</v>
      </c>
      <c r="HH49" s="52">
        <v>10927</v>
      </c>
      <c r="HI49" s="52">
        <v>25682</v>
      </c>
      <c r="HJ49" s="52">
        <v>1599170</v>
      </c>
      <c r="HK49" s="52">
        <v>1839596</v>
      </c>
      <c r="HL49" s="52">
        <v>87643</v>
      </c>
      <c r="HM49" s="52">
        <v>226216</v>
      </c>
      <c r="HN49" s="52">
        <v>102283</v>
      </c>
      <c r="HO49" s="52">
        <v>743146</v>
      </c>
      <c r="HP49" s="52">
        <v>169092</v>
      </c>
      <c r="HQ49" s="52">
        <v>1328380</v>
      </c>
      <c r="HR49" s="52">
        <v>2101652</v>
      </c>
      <c r="HS49" s="52">
        <v>172586</v>
      </c>
      <c r="HT49" s="52">
        <v>221223</v>
      </c>
      <c r="HU49" s="52">
        <v>1397092</v>
      </c>
      <c r="HV49" s="52">
        <v>12384181</v>
      </c>
      <c r="HW49" s="52">
        <v>16276734</v>
      </c>
      <c r="HX49" s="52">
        <v>415382</v>
      </c>
      <c r="HY49" s="52">
        <v>0</v>
      </c>
      <c r="HZ49" s="52">
        <v>0</v>
      </c>
      <c r="IA49" s="52">
        <v>0</v>
      </c>
      <c r="IB49" s="52">
        <v>253804</v>
      </c>
      <c r="IC49" s="52">
        <v>669186</v>
      </c>
      <c r="ID49" s="52">
        <v>0</v>
      </c>
      <c r="IE49" s="52">
        <v>0</v>
      </c>
      <c r="IF49" s="52">
        <v>0</v>
      </c>
      <c r="IG49" s="52">
        <v>0</v>
      </c>
      <c r="IH49" s="52">
        <v>2939015</v>
      </c>
      <c r="II49" s="52">
        <v>2939015</v>
      </c>
      <c r="IJ49" s="52">
        <v>211043</v>
      </c>
      <c r="IK49" s="52">
        <v>31071</v>
      </c>
      <c r="IL49" s="52">
        <v>11446</v>
      </c>
      <c r="IM49" s="52">
        <v>117825</v>
      </c>
      <c r="IN49" s="52">
        <v>501807</v>
      </c>
      <c r="IO49" s="52">
        <v>873192</v>
      </c>
      <c r="IP49" s="52">
        <v>1415</v>
      </c>
      <c r="IQ49" s="52">
        <v>850</v>
      </c>
      <c r="IR49" s="52">
        <v>1078</v>
      </c>
      <c r="IS49" s="52">
        <v>9600</v>
      </c>
      <c r="IT49" s="52">
        <v>69169</v>
      </c>
      <c r="IU49" s="52">
        <v>82112</v>
      </c>
      <c r="IV49" s="52">
        <v>1953584</v>
      </c>
      <c r="IW49" s="52">
        <v>345215</v>
      </c>
      <c r="IX49" s="52">
        <v>141254</v>
      </c>
      <c r="IY49" s="52">
        <v>990808</v>
      </c>
      <c r="IZ49" s="52">
        <v>4013926</v>
      </c>
      <c r="JA49" s="52">
        <v>7444787</v>
      </c>
      <c r="JB49" s="52">
        <v>19034408</v>
      </c>
      <c r="JC49" s="52">
        <v>9738944</v>
      </c>
      <c r="JD49" s="52">
        <v>3181274</v>
      </c>
      <c r="JE49" s="52">
        <v>19625599</v>
      </c>
      <c r="JF49" s="52">
        <v>32424004</v>
      </c>
      <c r="JG49" s="52">
        <v>84004229</v>
      </c>
      <c r="JH49" s="52">
        <v>0</v>
      </c>
      <c r="JI49" s="52">
        <v>0</v>
      </c>
      <c r="JJ49" s="52">
        <v>0</v>
      </c>
      <c r="JK49" s="52">
        <v>0</v>
      </c>
      <c r="JL49" s="52">
        <v>475000</v>
      </c>
      <c r="JM49" s="52">
        <v>475000</v>
      </c>
      <c r="JN49" s="52">
        <v>19034408</v>
      </c>
      <c r="JO49" s="52">
        <v>9738944</v>
      </c>
      <c r="JP49" s="52">
        <v>3181274</v>
      </c>
      <c r="JQ49" s="52">
        <v>19630496</v>
      </c>
      <c r="JR49" s="52">
        <v>32894107</v>
      </c>
      <c r="JS49" s="52">
        <v>84479229</v>
      </c>
      <c r="JU49" s="5">
        <f t="shared" si="80"/>
        <v>22737191</v>
      </c>
      <c r="JV49" s="26">
        <f t="shared" si="81"/>
        <v>0</v>
      </c>
      <c r="JW49" s="5">
        <f t="shared" si="82"/>
        <v>0</v>
      </c>
      <c r="JX49" s="26">
        <f t="shared" si="83"/>
        <v>0</v>
      </c>
      <c r="JY49" s="5">
        <f t="shared" si="84"/>
        <v>591299</v>
      </c>
      <c r="JZ49" s="26">
        <f t="shared" si="85"/>
        <v>0</v>
      </c>
      <c r="KA49" s="5">
        <f t="shared" si="86"/>
        <v>18025593</v>
      </c>
      <c r="KB49" s="26">
        <f t="shared" si="87"/>
        <v>0</v>
      </c>
      <c r="KC49" s="5">
        <f t="shared" si="88"/>
        <v>599250</v>
      </c>
      <c r="KD49" s="26">
        <f t="shared" si="89"/>
        <v>0</v>
      </c>
      <c r="KE49" s="5">
        <f t="shared" si="90"/>
        <v>0</v>
      </c>
      <c r="KF49" s="26">
        <f t="shared" si="91"/>
        <v>0</v>
      </c>
      <c r="KG49" s="5">
        <f t="shared" si="92"/>
        <v>711265</v>
      </c>
      <c r="KH49" s="26">
        <f t="shared" si="93"/>
        <v>0</v>
      </c>
      <c r="KI49" s="5">
        <f t="shared" si="94"/>
        <v>2939015</v>
      </c>
      <c r="KJ49" s="26">
        <f t="shared" si="95"/>
        <v>0</v>
      </c>
      <c r="KK49" s="5">
        <f t="shared" si="96"/>
        <v>25390579</v>
      </c>
      <c r="KL49" s="26">
        <f t="shared" si="97"/>
        <v>0</v>
      </c>
      <c r="KM49" s="5">
        <f t="shared" si="98"/>
        <v>1027919</v>
      </c>
      <c r="KN49" s="26">
        <f t="shared" si="99"/>
        <v>0</v>
      </c>
      <c r="KO49" s="5">
        <f t="shared" si="100"/>
        <v>1159022</v>
      </c>
      <c r="KP49" s="26">
        <f t="shared" si="101"/>
        <v>0</v>
      </c>
      <c r="KQ49" s="5">
        <f t="shared" si="102"/>
        <v>5882386</v>
      </c>
      <c r="KR49" s="26">
        <f t="shared" si="103"/>
        <v>0</v>
      </c>
      <c r="KS49" s="5">
        <f t="shared" si="104"/>
        <v>2206537</v>
      </c>
      <c r="KT49" s="26">
        <f t="shared" si="105"/>
        <v>0</v>
      </c>
      <c r="KU49" s="5">
        <f t="shared" si="106"/>
        <v>1826590</v>
      </c>
      <c r="KV49" s="26">
        <f t="shared" si="107"/>
        <v>0</v>
      </c>
      <c r="KW49" s="5">
        <f t="shared" si="108"/>
        <v>1413553</v>
      </c>
      <c r="KX49" s="26">
        <f t="shared" si="109"/>
        <v>0</v>
      </c>
      <c r="KY49" s="5">
        <f t="shared" si="110"/>
        <v>84510199</v>
      </c>
      <c r="KZ49" s="26">
        <f t="shared" si="111"/>
        <v>0</v>
      </c>
      <c r="LA49" s="5">
        <f t="shared" si="112"/>
        <v>10146765</v>
      </c>
      <c r="LB49" s="26">
        <f t="shared" si="113"/>
        <v>0</v>
      </c>
      <c r="LC49" s="5">
        <f t="shared" si="114"/>
        <v>2165796</v>
      </c>
      <c r="LD49" s="26">
        <f t="shared" si="115"/>
        <v>0</v>
      </c>
      <c r="LE49" s="5">
        <f t="shared" si="116"/>
        <v>15224132</v>
      </c>
      <c r="LF49" s="26">
        <f t="shared" si="117"/>
        <v>0</v>
      </c>
      <c r="LG49" s="5">
        <f t="shared" si="118"/>
        <v>599250</v>
      </c>
      <c r="LH49" s="26">
        <f t="shared" si="119"/>
        <v>0</v>
      </c>
      <c r="LI49" s="5">
        <f t="shared" si="120"/>
        <v>11870268</v>
      </c>
      <c r="LJ49" s="26">
        <f t="shared" si="121"/>
        <v>0</v>
      </c>
      <c r="LK49" s="5">
        <f t="shared" si="122"/>
        <v>0</v>
      </c>
      <c r="LL49" s="26">
        <f t="shared" si="123"/>
        <v>0</v>
      </c>
      <c r="LM49" s="5">
        <f t="shared" si="124"/>
        <v>596453</v>
      </c>
      <c r="LN49" s="26">
        <f t="shared" si="125"/>
        <v>0</v>
      </c>
      <c r="LO49" s="5">
        <f t="shared" si="126"/>
        <v>941157</v>
      </c>
      <c r="LP49" s="26">
        <f t="shared" si="127"/>
        <v>0</v>
      </c>
      <c r="LQ49" s="5">
        <f t="shared" si="128"/>
        <v>4697301</v>
      </c>
      <c r="LR49" s="26">
        <f t="shared" si="129"/>
        <v>0</v>
      </c>
      <c r="LS49" s="5">
        <f t="shared" si="130"/>
        <v>2546359</v>
      </c>
      <c r="LT49" s="26">
        <f t="shared" si="131"/>
        <v>0</v>
      </c>
      <c r="LU49" s="5">
        <f t="shared" si="132"/>
        <v>3763746</v>
      </c>
      <c r="LV49" s="26">
        <f t="shared" si="133"/>
        <v>0</v>
      </c>
      <c r="LW49" s="5">
        <f t="shared" si="134"/>
        <v>1839596</v>
      </c>
      <c r="LX49" s="26">
        <f t="shared" si="135"/>
        <v>0</v>
      </c>
      <c r="LY49" s="5">
        <f t="shared" si="136"/>
        <v>1328380</v>
      </c>
      <c r="LZ49" s="26">
        <f t="shared" si="137"/>
        <v>0</v>
      </c>
      <c r="MA49" s="5">
        <f t="shared" si="138"/>
        <v>16276734</v>
      </c>
      <c r="MB49" s="26">
        <f t="shared" si="139"/>
        <v>0</v>
      </c>
      <c r="MC49" s="5">
        <f t="shared" si="140"/>
        <v>669186</v>
      </c>
      <c r="MD49" s="26">
        <f t="shared" si="141"/>
        <v>0</v>
      </c>
      <c r="ME49" s="5">
        <f t="shared" si="142"/>
        <v>2939015</v>
      </c>
      <c r="MF49" s="26">
        <f t="shared" si="143"/>
        <v>0</v>
      </c>
      <c r="MG49" s="5">
        <f t="shared" si="144"/>
        <v>873192</v>
      </c>
      <c r="MH49" s="26">
        <f t="shared" si="145"/>
        <v>0</v>
      </c>
      <c r="MI49" s="5">
        <f t="shared" si="146"/>
        <v>82112</v>
      </c>
      <c r="MJ49" s="26">
        <f t="shared" si="147"/>
        <v>0</v>
      </c>
      <c r="MK49" s="5">
        <f t="shared" si="148"/>
        <v>7444787</v>
      </c>
      <c r="ML49" s="26">
        <f t="shared" si="149"/>
        <v>0</v>
      </c>
      <c r="MM49" s="5">
        <f t="shared" si="150"/>
        <v>84004229</v>
      </c>
      <c r="MN49" s="26">
        <f t="shared" si="151"/>
        <v>0</v>
      </c>
      <c r="MO49" s="5">
        <f t="shared" si="152"/>
        <v>475000</v>
      </c>
      <c r="MP49" s="26">
        <f t="shared" si="153"/>
        <v>0</v>
      </c>
      <c r="MQ49" s="5">
        <f t="shared" si="154"/>
        <v>84479229</v>
      </c>
      <c r="MR49" s="26">
        <f t="shared" si="155"/>
        <v>0</v>
      </c>
      <c r="MT49" s="5">
        <f t="shared" si="76"/>
        <v>0</v>
      </c>
      <c r="MV49" s="4">
        <f t="shared" si="77"/>
        <v>0</v>
      </c>
    </row>
    <row r="50" spans="1:367" x14ac:dyDescent="0.15">
      <c r="A50" s="155" t="s">
        <v>514</v>
      </c>
      <c r="B50" s="25" t="s">
        <v>407</v>
      </c>
      <c r="C50" s="109">
        <v>220978</v>
      </c>
      <c r="D50" s="105">
        <v>2011</v>
      </c>
      <c r="E50" s="106">
        <v>1</v>
      </c>
      <c r="F50" s="106">
        <v>11</v>
      </c>
      <c r="G50" s="107">
        <v>9531</v>
      </c>
      <c r="H50" s="107">
        <v>10151</v>
      </c>
      <c r="I50" s="108">
        <v>337932665</v>
      </c>
      <c r="J50" s="108"/>
      <c r="K50" s="108">
        <v>1730522</v>
      </c>
      <c r="L50" s="108"/>
      <c r="M50" s="108">
        <v>14928195</v>
      </c>
      <c r="N50" s="108"/>
      <c r="O50" s="108">
        <v>25615024</v>
      </c>
      <c r="P50" s="108"/>
      <c r="Q50" s="108">
        <v>220823379</v>
      </c>
      <c r="R50" s="108"/>
      <c r="S50" s="108">
        <v>346111108</v>
      </c>
      <c r="T50" s="108"/>
      <c r="U50" s="108">
        <v>15118</v>
      </c>
      <c r="V50" s="108"/>
      <c r="W50" s="108">
        <v>28114</v>
      </c>
      <c r="X50" s="108"/>
      <c r="Y50" s="108">
        <v>20232</v>
      </c>
      <c r="Z50" s="108"/>
      <c r="AA50" s="108">
        <v>32880</v>
      </c>
      <c r="AB50" s="108"/>
      <c r="AC50" s="129">
        <v>8</v>
      </c>
      <c r="AD50" s="129">
        <v>9</v>
      </c>
      <c r="AE50" s="129">
        <v>0</v>
      </c>
      <c r="AF50" s="26">
        <v>4329063</v>
      </c>
      <c r="AG50" s="26">
        <v>2257737</v>
      </c>
      <c r="AH50" s="26">
        <v>288983</v>
      </c>
      <c r="AI50" s="26">
        <v>85985</v>
      </c>
      <c r="AJ50" s="26">
        <v>191528</v>
      </c>
      <c r="AK50" s="36">
        <v>6</v>
      </c>
      <c r="AL50" s="26">
        <v>175567</v>
      </c>
      <c r="AM50" s="36">
        <v>6</v>
      </c>
      <c r="AN50" s="26">
        <v>91689</v>
      </c>
      <c r="AO50" s="36">
        <v>7</v>
      </c>
      <c r="AP50" s="26">
        <v>85139</v>
      </c>
      <c r="AQ50" s="36">
        <v>7</v>
      </c>
      <c r="AR50" s="26">
        <v>93514</v>
      </c>
      <c r="AS50" s="36">
        <v>16</v>
      </c>
      <c r="AT50" s="26">
        <v>65053</v>
      </c>
      <c r="AU50" s="36">
        <v>23</v>
      </c>
      <c r="AV50" s="26">
        <v>49339</v>
      </c>
      <c r="AW50" s="36">
        <v>10</v>
      </c>
      <c r="AX50" s="26">
        <v>30682</v>
      </c>
      <c r="AY50" s="36">
        <v>16</v>
      </c>
      <c r="AZ50" s="54">
        <v>850471</v>
      </c>
      <c r="BA50" s="82">
        <v>233634</v>
      </c>
      <c r="BB50" s="82">
        <v>147302</v>
      </c>
      <c r="BC50" s="82">
        <v>41737</v>
      </c>
      <c r="BD50" s="82">
        <v>0</v>
      </c>
      <c r="BE50" s="82">
        <v>1273144</v>
      </c>
      <c r="BF50" s="82">
        <v>4856174</v>
      </c>
      <c r="BG50" s="82">
        <v>1143965</v>
      </c>
      <c r="BH50" s="82">
        <v>1049312</v>
      </c>
      <c r="BI50" s="82">
        <v>1293096</v>
      </c>
      <c r="BJ50" s="82">
        <v>0</v>
      </c>
      <c r="BK50" s="82">
        <v>8342547</v>
      </c>
      <c r="BL50" s="82">
        <v>675000</v>
      </c>
      <c r="BM50" s="82">
        <v>41500</v>
      </c>
      <c r="BN50" s="82">
        <v>2000</v>
      </c>
      <c r="BO50" s="82">
        <v>7941</v>
      </c>
      <c r="BP50" s="82">
        <v>0</v>
      </c>
      <c r="BQ50" s="82">
        <v>726441</v>
      </c>
      <c r="BR50" s="82">
        <v>621699</v>
      </c>
      <c r="BS50" s="82">
        <v>46276</v>
      </c>
      <c r="BT50" s="82">
        <v>586991</v>
      </c>
      <c r="BU50" s="82">
        <v>298662</v>
      </c>
      <c r="BV50" s="82">
        <v>2389806</v>
      </c>
      <c r="BW50" s="82">
        <v>3943434</v>
      </c>
      <c r="BX50" s="82">
        <v>0</v>
      </c>
      <c r="BY50" s="82">
        <v>0</v>
      </c>
      <c r="BZ50" s="82">
        <v>0</v>
      </c>
      <c r="CA50" s="82">
        <v>0</v>
      </c>
      <c r="CB50" s="82">
        <v>0</v>
      </c>
      <c r="CC50" s="82">
        <v>0</v>
      </c>
      <c r="CD50" s="82">
        <v>0</v>
      </c>
      <c r="CE50" s="82">
        <v>0</v>
      </c>
      <c r="CF50" s="82">
        <v>0</v>
      </c>
      <c r="CG50" s="82">
        <v>0</v>
      </c>
      <c r="CH50" s="82">
        <v>0</v>
      </c>
      <c r="CI50" s="82">
        <v>0</v>
      </c>
      <c r="CJ50" s="82">
        <v>159207</v>
      </c>
      <c r="CK50" s="82">
        <v>28722</v>
      </c>
      <c r="CL50" s="82">
        <v>40597</v>
      </c>
      <c r="CM50" s="82">
        <v>3855441</v>
      </c>
      <c r="CN50" s="82">
        <v>2667375</v>
      </c>
      <c r="CO50" s="82">
        <v>6751342</v>
      </c>
      <c r="CP50" s="82">
        <v>902951</v>
      </c>
      <c r="CQ50" s="82">
        <v>221888</v>
      </c>
      <c r="CR50" s="82">
        <v>222621</v>
      </c>
      <c r="CS50" s="82">
        <v>911595</v>
      </c>
      <c r="CT50" s="82">
        <v>996345</v>
      </c>
      <c r="CU50" s="82">
        <v>3255400</v>
      </c>
      <c r="CV50" s="82">
        <v>290775</v>
      </c>
      <c r="CW50" s="54">
        <v>7058</v>
      </c>
      <c r="CX50" s="54">
        <v>45140</v>
      </c>
      <c r="CY50" s="54">
        <v>35532</v>
      </c>
      <c r="CZ50" s="54">
        <v>1140434</v>
      </c>
      <c r="DA50" s="54">
        <v>1518939</v>
      </c>
      <c r="DB50" s="54">
        <v>0</v>
      </c>
      <c r="DC50" s="54">
        <v>0</v>
      </c>
      <c r="DD50" s="54">
        <v>0</v>
      </c>
      <c r="DE50" s="54">
        <v>0</v>
      </c>
      <c r="DF50" s="54">
        <v>0</v>
      </c>
      <c r="DG50" s="54">
        <v>0</v>
      </c>
      <c r="DH50" s="54">
        <v>85802</v>
      </c>
      <c r="DI50" s="62">
        <v>24952</v>
      </c>
      <c r="DJ50" s="54">
        <v>16709</v>
      </c>
      <c r="DK50" s="54">
        <v>17036</v>
      </c>
      <c r="DL50" s="54">
        <v>106765</v>
      </c>
      <c r="DM50" s="54">
        <v>251264</v>
      </c>
      <c r="DN50" s="54">
        <v>0</v>
      </c>
      <c r="DO50" s="54">
        <v>0</v>
      </c>
      <c r="DP50" s="54">
        <v>0</v>
      </c>
      <c r="DQ50" s="54">
        <v>0</v>
      </c>
      <c r="DR50" s="54">
        <v>990183</v>
      </c>
      <c r="DS50" s="54">
        <v>990183</v>
      </c>
      <c r="DT50" s="54">
        <v>0</v>
      </c>
      <c r="DU50" s="54">
        <v>0</v>
      </c>
      <c r="DV50" s="82">
        <v>0</v>
      </c>
      <c r="DW50" s="82">
        <v>0</v>
      </c>
      <c r="DX50" s="82">
        <v>0</v>
      </c>
      <c r="DY50" s="82">
        <v>0</v>
      </c>
      <c r="DZ50" s="82">
        <v>7059</v>
      </c>
      <c r="EA50" s="54">
        <v>2392</v>
      </c>
      <c r="EB50" s="82">
        <v>5068</v>
      </c>
      <c r="EC50" s="82">
        <v>39610</v>
      </c>
      <c r="ED50" s="82">
        <v>9201</v>
      </c>
      <c r="EE50" s="82">
        <v>63330</v>
      </c>
      <c r="EF50" s="82">
        <v>800</v>
      </c>
      <c r="EG50" s="82">
        <v>0</v>
      </c>
      <c r="EH50" s="82">
        <v>0</v>
      </c>
      <c r="EI50" s="82">
        <v>7271</v>
      </c>
      <c r="EJ50" s="65">
        <v>1090</v>
      </c>
      <c r="EK50" s="82">
        <v>9161</v>
      </c>
      <c r="EL50" s="82">
        <v>8449938</v>
      </c>
      <c r="EM50" s="82">
        <v>1750387</v>
      </c>
      <c r="EN50" s="82">
        <v>2115740</v>
      </c>
      <c r="EO50" s="82">
        <v>6507921</v>
      </c>
      <c r="EP50" s="82">
        <v>8301199</v>
      </c>
      <c r="EQ50" s="82">
        <v>27125185</v>
      </c>
      <c r="ER50" s="82">
        <v>2930607</v>
      </c>
      <c r="ES50" s="82">
        <v>437169</v>
      </c>
      <c r="ET50" s="82">
        <v>377869</v>
      </c>
      <c r="EU50" s="82">
        <v>2841155</v>
      </c>
      <c r="EV50" s="82">
        <v>645621</v>
      </c>
      <c r="EW50" s="82">
        <v>7232421</v>
      </c>
      <c r="EX50" s="82">
        <v>450000</v>
      </c>
      <c r="EY50" s="82">
        <v>50500</v>
      </c>
      <c r="EZ50" s="82">
        <v>4000</v>
      </c>
      <c r="FA50" s="82">
        <v>13500</v>
      </c>
      <c r="FB50" s="82">
        <v>0</v>
      </c>
      <c r="FC50" s="82">
        <v>518000</v>
      </c>
      <c r="FD50" s="82">
        <v>1567978</v>
      </c>
      <c r="FE50" s="82">
        <v>531877</v>
      </c>
      <c r="FF50" s="82">
        <v>511494</v>
      </c>
      <c r="FG50" s="82">
        <v>1025197</v>
      </c>
      <c r="FH50" s="82">
        <v>0</v>
      </c>
      <c r="FI50" s="82">
        <v>3636546</v>
      </c>
      <c r="FJ50" s="82">
        <v>0</v>
      </c>
      <c r="FK50" s="54">
        <v>0</v>
      </c>
      <c r="FL50" s="82">
        <v>0</v>
      </c>
      <c r="FM50" s="82">
        <v>0</v>
      </c>
      <c r="FN50" s="82">
        <v>0</v>
      </c>
      <c r="FO50" s="82">
        <v>0</v>
      </c>
      <c r="FP50" s="82">
        <v>329552</v>
      </c>
      <c r="FQ50" s="54">
        <v>42588</v>
      </c>
      <c r="FR50" s="65">
        <v>53545</v>
      </c>
      <c r="FS50" s="65">
        <v>5091</v>
      </c>
      <c r="FT50" s="65">
        <v>2515332</v>
      </c>
      <c r="FU50" s="65">
        <v>2946108</v>
      </c>
      <c r="FV50" s="65">
        <v>0</v>
      </c>
      <c r="FW50" s="54">
        <v>0</v>
      </c>
      <c r="FX50" s="65">
        <v>0</v>
      </c>
      <c r="FY50" s="65">
        <v>0</v>
      </c>
      <c r="FZ50" s="65">
        <v>0</v>
      </c>
      <c r="GA50" s="65">
        <v>0</v>
      </c>
      <c r="GB50" s="65">
        <v>0</v>
      </c>
      <c r="GC50" s="54">
        <v>0</v>
      </c>
      <c r="GD50" s="65">
        <v>0</v>
      </c>
      <c r="GE50" s="65">
        <v>0</v>
      </c>
      <c r="GF50" s="65">
        <v>0</v>
      </c>
      <c r="GG50" s="65">
        <v>0</v>
      </c>
      <c r="GH50" s="65">
        <v>203596</v>
      </c>
      <c r="GI50" s="54">
        <v>59346</v>
      </c>
      <c r="GJ50" s="82">
        <v>35726</v>
      </c>
      <c r="GK50" s="82">
        <v>76300</v>
      </c>
      <c r="GL50" s="82">
        <v>0</v>
      </c>
      <c r="GM50" s="82">
        <v>374968</v>
      </c>
      <c r="GN50" s="82">
        <v>691412</v>
      </c>
      <c r="GO50" s="54">
        <v>195466</v>
      </c>
      <c r="GP50" s="82">
        <v>191515</v>
      </c>
      <c r="GQ50" s="82">
        <v>742379</v>
      </c>
      <c r="GR50" s="82">
        <v>0</v>
      </c>
      <c r="GS50" s="82">
        <v>1820772</v>
      </c>
      <c r="GT50" s="82">
        <v>393889</v>
      </c>
      <c r="GU50" s="54">
        <v>29394</v>
      </c>
      <c r="GV50" s="82">
        <v>21881</v>
      </c>
      <c r="GW50" s="82">
        <v>209338</v>
      </c>
      <c r="GX50" s="82">
        <v>0</v>
      </c>
      <c r="GY50" s="82">
        <v>654502</v>
      </c>
      <c r="GZ50" s="82">
        <v>289378</v>
      </c>
      <c r="HA50" s="54">
        <v>87560</v>
      </c>
      <c r="HB50" s="65">
        <v>80935</v>
      </c>
      <c r="HC50" s="65">
        <v>130138</v>
      </c>
      <c r="HD50" s="65">
        <v>0</v>
      </c>
      <c r="HE50" s="65">
        <v>588011</v>
      </c>
      <c r="HF50" s="65">
        <v>30706</v>
      </c>
      <c r="HG50" s="54">
        <v>5161</v>
      </c>
      <c r="HH50" s="82">
        <v>13943</v>
      </c>
      <c r="HI50" s="82">
        <v>11430</v>
      </c>
      <c r="HJ50" s="82">
        <v>481021</v>
      </c>
      <c r="HK50" s="82">
        <v>542261</v>
      </c>
      <c r="HL50" s="82">
        <v>0</v>
      </c>
      <c r="HM50" s="54">
        <v>0</v>
      </c>
      <c r="HN50" s="54">
        <v>0</v>
      </c>
      <c r="HO50" s="54">
        <v>0</v>
      </c>
      <c r="HP50" s="54">
        <v>0</v>
      </c>
      <c r="HQ50" s="54">
        <v>0</v>
      </c>
      <c r="HR50" s="54">
        <v>33983</v>
      </c>
      <c r="HS50" s="54">
        <v>26198</v>
      </c>
      <c r="HT50" s="82">
        <v>26571</v>
      </c>
      <c r="HU50" s="82">
        <v>249372</v>
      </c>
      <c r="HV50" s="82">
        <v>84735</v>
      </c>
      <c r="HW50" s="82">
        <v>420859</v>
      </c>
      <c r="HX50" s="82">
        <v>0</v>
      </c>
      <c r="HY50" s="54">
        <v>0</v>
      </c>
      <c r="HZ50" s="65">
        <v>10464</v>
      </c>
      <c r="IA50" s="65">
        <v>721</v>
      </c>
      <c r="IB50" s="65">
        <v>0</v>
      </c>
      <c r="IC50" s="65">
        <v>11185</v>
      </c>
      <c r="ID50" s="65">
        <v>902951</v>
      </c>
      <c r="IE50" s="54">
        <v>221888</v>
      </c>
      <c r="IF50" s="54">
        <v>222621</v>
      </c>
      <c r="IG50" s="54">
        <v>911595</v>
      </c>
      <c r="IH50" s="54">
        <v>996345</v>
      </c>
      <c r="II50" s="54">
        <v>3255400</v>
      </c>
      <c r="IJ50" s="54">
        <v>0</v>
      </c>
      <c r="IK50" s="54">
        <v>45</v>
      </c>
      <c r="IL50" s="54">
        <v>74</v>
      </c>
      <c r="IM50" s="54">
        <v>545</v>
      </c>
      <c r="IN50" s="54">
        <v>417645</v>
      </c>
      <c r="IO50" s="54">
        <v>418309</v>
      </c>
      <c r="IP50" s="54">
        <v>975</v>
      </c>
      <c r="IQ50" s="54">
        <v>775</v>
      </c>
      <c r="IR50" s="54">
        <v>2090</v>
      </c>
      <c r="IS50" s="54">
        <v>3722</v>
      </c>
      <c r="IT50" s="54">
        <v>19997</v>
      </c>
      <c r="IU50" s="54">
        <v>27559</v>
      </c>
      <c r="IV50" s="54">
        <v>322718</v>
      </c>
      <c r="IW50" s="54">
        <v>80663</v>
      </c>
      <c r="IX50" s="54">
        <v>69302</v>
      </c>
      <c r="IY50" s="54">
        <v>274393</v>
      </c>
      <c r="IZ50" s="54">
        <v>1134257</v>
      </c>
      <c r="JA50" s="54">
        <v>1881333</v>
      </c>
      <c r="JB50" s="54">
        <v>8147745</v>
      </c>
      <c r="JC50" s="54">
        <v>1768630</v>
      </c>
      <c r="JD50" s="54">
        <v>1622030</v>
      </c>
      <c r="JE50" s="54">
        <v>6494876</v>
      </c>
      <c r="JF50" s="54">
        <v>6294953</v>
      </c>
      <c r="JG50" s="54">
        <v>24328234</v>
      </c>
      <c r="JH50" s="54">
        <v>0</v>
      </c>
      <c r="JI50" s="54">
        <v>0</v>
      </c>
      <c r="JJ50" s="54">
        <v>0</v>
      </c>
      <c r="JK50" s="54">
        <v>0</v>
      </c>
      <c r="JL50" s="54">
        <v>0</v>
      </c>
      <c r="JM50" s="54">
        <v>0</v>
      </c>
      <c r="JN50" s="54">
        <v>8147745</v>
      </c>
      <c r="JO50" s="54">
        <v>1768630</v>
      </c>
      <c r="JP50" s="54">
        <v>1622030</v>
      </c>
      <c r="JQ50" s="54">
        <v>6494876</v>
      </c>
      <c r="JR50" s="54">
        <v>6294953</v>
      </c>
      <c r="JS50" s="54">
        <v>24328234</v>
      </c>
      <c r="JU50" s="5">
        <f t="shared" si="80"/>
        <v>1273144</v>
      </c>
      <c r="JV50" s="26">
        <f t="shared" si="81"/>
        <v>0</v>
      </c>
      <c r="JW50" s="5">
        <f t="shared" si="82"/>
        <v>8342547</v>
      </c>
      <c r="JX50" s="26">
        <f t="shared" si="83"/>
        <v>0</v>
      </c>
      <c r="JY50" s="5">
        <f t="shared" si="84"/>
        <v>726441</v>
      </c>
      <c r="JZ50" s="26">
        <f t="shared" si="85"/>
        <v>0</v>
      </c>
      <c r="KA50" s="5">
        <f t="shared" si="86"/>
        <v>3943434</v>
      </c>
      <c r="KB50" s="26">
        <f t="shared" si="87"/>
        <v>0</v>
      </c>
      <c r="KC50" s="5">
        <f t="shared" si="88"/>
        <v>0</v>
      </c>
      <c r="KD50" s="26">
        <f t="shared" si="89"/>
        <v>0</v>
      </c>
      <c r="KE50" s="5">
        <f t="shared" si="90"/>
        <v>0</v>
      </c>
      <c r="KF50" s="26">
        <f t="shared" si="91"/>
        <v>0</v>
      </c>
      <c r="KG50" s="5">
        <f t="shared" si="92"/>
        <v>6751342</v>
      </c>
      <c r="KH50" s="26">
        <f t="shared" si="93"/>
        <v>0</v>
      </c>
      <c r="KI50" s="5">
        <f t="shared" si="94"/>
        <v>3255400</v>
      </c>
      <c r="KJ50" s="26">
        <f t="shared" si="95"/>
        <v>0</v>
      </c>
      <c r="KK50" s="5">
        <f t="shared" si="96"/>
        <v>1518939</v>
      </c>
      <c r="KL50" s="26">
        <f t="shared" si="97"/>
        <v>0</v>
      </c>
      <c r="KM50" s="5">
        <f t="shared" si="98"/>
        <v>0</v>
      </c>
      <c r="KN50" s="26">
        <f t="shared" si="99"/>
        <v>0</v>
      </c>
      <c r="KO50" s="5">
        <f t="shared" si="100"/>
        <v>251264</v>
      </c>
      <c r="KP50" s="26">
        <f t="shared" si="101"/>
        <v>0</v>
      </c>
      <c r="KQ50" s="5">
        <f t="shared" si="102"/>
        <v>990183</v>
      </c>
      <c r="KR50" s="26">
        <f t="shared" si="103"/>
        <v>0</v>
      </c>
      <c r="KS50" s="5">
        <f t="shared" si="104"/>
        <v>0</v>
      </c>
      <c r="KT50" s="26">
        <f t="shared" si="105"/>
        <v>0</v>
      </c>
      <c r="KU50" s="5">
        <f t="shared" si="106"/>
        <v>63330</v>
      </c>
      <c r="KV50" s="26">
        <f t="shared" si="107"/>
        <v>0</v>
      </c>
      <c r="KW50" s="5">
        <f t="shared" si="108"/>
        <v>9161</v>
      </c>
      <c r="KX50" s="26">
        <f t="shared" si="109"/>
        <v>0</v>
      </c>
      <c r="KY50" s="5">
        <f t="shared" si="110"/>
        <v>27125185</v>
      </c>
      <c r="KZ50" s="26">
        <f t="shared" si="111"/>
        <v>0</v>
      </c>
      <c r="LA50" s="5">
        <f t="shared" si="112"/>
        <v>7232421</v>
      </c>
      <c r="LB50" s="26">
        <f t="shared" si="113"/>
        <v>0</v>
      </c>
      <c r="LC50" s="5">
        <f t="shared" si="114"/>
        <v>518000</v>
      </c>
      <c r="LD50" s="26">
        <f t="shared" si="115"/>
        <v>0</v>
      </c>
      <c r="LE50" s="5">
        <f t="shared" si="116"/>
        <v>3636546</v>
      </c>
      <c r="LF50" s="26">
        <f t="shared" si="117"/>
        <v>0</v>
      </c>
      <c r="LG50" s="5">
        <f t="shared" si="118"/>
        <v>0</v>
      </c>
      <c r="LH50" s="26">
        <f t="shared" si="119"/>
        <v>0</v>
      </c>
      <c r="LI50" s="5">
        <f t="shared" si="120"/>
        <v>2946108</v>
      </c>
      <c r="LJ50" s="26">
        <f t="shared" si="121"/>
        <v>0</v>
      </c>
      <c r="LK50" s="5">
        <f t="shared" si="122"/>
        <v>0</v>
      </c>
      <c r="LL50" s="26">
        <f t="shared" si="123"/>
        <v>0</v>
      </c>
      <c r="LM50" s="5">
        <f t="shared" si="124"/>
        <v>0</v>
      </c>
      <c r="LN50" s="26">
        <f t="shared" si="125"/>
        <v>0</v>
      </c>
      <c r="LO50" s="5">
        <f t="shared" si="126"/>
        <v>374968</v>
      </c>
      <c r="LP50" s="26">
        <f t="shared" si="127"/>
        <v>0</v>
      </c>
      <c r="LQ50" s="5">
        <f t="shared" si="128"/>
        <v>1820772</v>
      </c>
      <c r="LR50" s="26">
        <f t="shared" si="129"/>
        <v>0</v>
      </c>
      <c r="LS50" s="5">
        <f t="shared" si="130"/>
        <v>654502</v>
      </c>
      <c r="LT50" s="26">
        <f t="shared" si="131"/>
        <v>0</v>
      </c>
      <c r="LU50" s="5">
        <f t="shared" si="132"/>
        <v>588011</v>
      </c>
      <c r="LV50" s="26">
        <f t="shared" si="133"/>
        <v>0</v>
      </c>
      <c r="LW50" s="5">
        <f t="shared" si="134"/>
        <v>542261</v>
      </c>
      <c r="LX50" s="26">
        <f t="shared" si="135"/>
        <v>0</v>
      </c>
      <c r="LY50" s="5">
        <f t="shared" si="136"/>
        <v>0</v>
      </c>
      <c r="LZ50" s="26">
        <f t="shared" si="137"/>
        <v>0</v>
      </c>
      <c r="MA50" s="5">
        <f t="shared" si="138"/>
        <v>420859</v>
      </c>
      <c r="MB50" s="26">
        <f t="shared" si="139"/>
        <v>0</v>
      </c>
      <c r="MC50" s="5">
        <f t="shared" si="140"/>
        <v>11185</v>
      </c>
      <c r="MD50" s="26">
        <f t="shared" si="141"/>
        <v>0</v>
      </c>
      <c r="ME50" s="5">
        <f t="shared" si="142"/>
        <v>3255400</v>
      </c>
      <c r="MF50" s="26">
        <f t="shared" si="143"/>
        <v>0</v>
      </c>
      <c r="MG50" s="5">
        <f t="shared" si="144"/>
        <v>418309</v>
      </c>
      <c r="MH50" s="26">
        <f t="shared" si="145"/>
        <v>0</v>
      </c>
      <c r="MI50" s="5">
        <f t="shared" si="146"/>
        <v>27559</v>
      </c>
      <c r="MJ50" s="26">
        <f t="shared" si="147"/>
        <v>0</v>
      </c>
      <c r="MK50" s="5">
        <f t="shared" si="148"/>
        <v>1881333</v>
      </c>
      <c r="ML50" s="26">
        <f t="shared" si="149"/>
        <v>0</v>
      </c>
      <c r="MM50" s="5">
        <f t="shared" si="150"/>
        <v>24328234</v>
      </c>
      <c r="MN50" s="26">
        <f t="shared" si="151"/>
        <v>0</v>
      </c>
      <c r="MO50" s="5">
        <f t="shared" si="152"/>
        <v>0</v>
      </c>
      <c r="MP50" s="26">
        <f t="shared" si="153"/>
        <v>0</v>
      </c>
      <c r="MQ50" s="5">
        <f t="shared" si="154"/>
        <v>24328234</v>
      </c>
      <c r="MR50" s="26">
        <f t="shared" si="155"/>
        <v>0</v>
      </c>
      <c r="MT50" s="5">
        <f t="shared" si="76"/>
        <v>0</v>
      </c>
      <c r="MV50" s="4">
        <f t="shared" si="77"/>
        <v>0</v>
      </c>
    </row>
    <row r="51" spans="1:367" x14ac:dyDescent="0.15">
      <c r="A51" s="155" t="s">
        <v>320</v>
      </c>
      <c r="B51" s="25" t="s">
        <v>406</v>
      </c>
      <c r="C51" s="105">
        <v>174066</v>
      </c>
      <c r="D51" s="105">
        <v>2011</v>
      </c>
      <c r="E51" s="106">
        <v>1</v>
      </c>
      <c r="F51" s="106">
        <v>3</v>
      </c>
      <c r="G51" s="107">
        <v>14671</v>
      </c>
      <c r="H51" s="107">
        <v>15823</v>
      </c>
      <c r="I51" s="108">
        <v>2656130797</v>
      </c>
      <c r="J51" s="108"/>
      <c r="K51" s="108">
        <v>19585000</v>
      </c>
      <c r="L51" s="108"/>
      <c r="M51" s="108">
        <v>365087297</v>
      </c>
      <c r="N51" s="108"/>
      <c r="O51" s="108">
        <v>236606000</v>
      </c>
      <c r="P51" s="108"/>
      <c r="Q51" s="108">
        <v>1139398639</v>
      </c>
      <c r="R51" s="108"/>
      <c r="S51" s="108">
        <v>2053026531</v>
      </c>
      <c r="T51" s="108"/>
      <c r="U51" s="108">
        <v>21032</v>
      </c>
      <c r="V51" s="108"/>
      <c r="W51" s="108">
        <v>25928</v>
      </c>
      <c r="X51" s="108"/>
      <c r="Y51" s="108">
        <v>23058</v>
      </c>
      <c r="Z51" s="108"/>
      <c r="AA51" s="108">
        <v>27058</v>
      </c>
      <c r="AB51" s="108"/>
      <c r="AC51" s="130">
        <v>10</v>
      </c>
      <c r="AD51" s="130">
        <v>11</v>
      </c>
      <c r="AE51" s="130">
        <v>0</v>
      </c>
      <c r="AF51" s="26">
        <v>3689706</v>
      </c>
      <c r="AG51" s="26">
        <v>3381947</v>
      </c>
      <c r="AH51" s="26">
        <v>741471</v>
      </c>
      <c r="AI51" s="26">
        <v>389492</v>
      </c>
      <c r="AJ51" s="26">
        <v>579420</v>
      </c>
      <c r="AK51" s="36">
        <v>9.5</v>
      </c>
      <c r="AL51" s="26">
        <v>567549</v>
      </c>
      <c r="AM51" s="36">
        <v>10</v>
      </c>
      <c r="AN51" s="26">
        <v>166597</v>
      </c>
      <c r="AO51" s="36">
        <v>12.5</v>
      </c>
      <c r="AP51" s="26">
        <v>160189</v>
      </c>
      <c r="AQ51" s="36">
        <v>13</v>
      </c>
      <c r="AR51" s="26">
        <v>172221</v>
      </c>
      <c r="AS51" s="36">
        <v>25</v>
      </c>
      <c r="AT51" s="26">
        <v>165597</v>
      </c>
      <c r="AU51" s="36">
        <v>26</v>
      </c>
      <c r="AV51" s="26">
        <v>70720</v>
      </c>
      <c r="AW51" s="36">
        <v>18.5</v>
      </c>
      <c r="AX51" s="26">
        <v>68859</v>
      </c>
      <c r="AY51" s="36">
        <v>19</v>
      </c>
      <c r="AZ51" s="61">
        <v>10787666</v>
      </c>
      <c r="BA51" s="61">
        <v>5139169</v>
      </c>
      <c r="BB51" s="61">
        <v>349531</v>
      </c>
      <c r="BC51" s="61">
        <v>5119953</v>
      </c>
      <c r="BD51" s="61">
        <v>8451</v>
      </c>
      <c r="BE51" s="61">
        <v>21404770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100000</v>
      </c>
      <c r="BM51" s="61">
        <v>0</v>
      </c>
      <c r="BN51" s="61">
        <v>0</v>
      </c>
      <c r="BO51" s="61">
        <v>15500</v>
      </c>
      <c r="BP51" s="61">
        <v>0</v>
      </c>
      <c r="BQ51" s="61">
        <v>115500</v>
      </c>
      <c r="BR51" s="61">
        <v>3761568</v>
      </c>
      <c r="BS51" s="61">
        <v>1059498</v>
      </c>
      <c r="BT51" s="61">
        <v>50788</v>
      </c>
      <c r="BU51" s="61">
        <v>1285398</v>
      </c>
      <c r="BV51" s="61">
        <v>942111</v>
      </c>
      <c r="BW51" s="61">
        <v>7099363</v>
      </c>
      <c r="BX51" s="54">
        <v>0</v>
      </c>
      <c r="BY51" s="54">
        <v>0</v>
      </c>
      <c r="BZ51" s="54">
        <v>0</v>
      </c>
      <c r="CA51" s="54">
        <v>0</v>
      </c>
      <c r="CB51" s="54">
        <v>0</v>
      </c>
      <c r="CC51" s="54">
        <v>0</v>
      </c>
      <c r="CD51" s="54">
        <v>0</v>
      </c>
      <c r="CE51" s="54">
        <v>0</v>
      </c>
      <c r="CF51" s="54">
        <v>0</v>
      </c>
      <c r="CG51" s="54"/>
      <c r="CH51" s="54">
        <v>0</v>
      </c>
      <c r="CI51" s="54">
        <v>0</v>
      </c>
      <c r="CJ51" s="54">
        <v>0</v>
      </c>
      <c r="CK51" s="54">
        <v>0</v>
      </c>
      <c r="CL51" s="54">
        <v>0</v>
      </c>
      <c r="CM51" s="54">
        <v>0</v>
      </c>
      <c r="CN51" s="54">
        <v>2323145</v>
      </c>
      <c r="CO51" s="54">
        <v>2323145</v>
      </c>
      <c r="CP51" s="54">
        <v>0</v>
      </c>
      <c r="CQ51" s="54">
        <v>0</v>
      </c>
      <c r="CR51" s="54">
        <v>0</v>
      </c>
      <c r="CS51" s="54">
        <v>0</v>
      </c>
      <c r="CT51" s="54">
        <v>5455716</v>
      </c>
      <c r="CU51" s="54">
        <v>5455716</v>
      </c>
      <c r="CV51" s="54">
        <v>14118709</v>
      </c>
      <c r="CW51" s="54">
        <v>8678009</v>
      </c>
      <c r="CX51" s="54">
        <v>0</v>
      </c>
      <c r="CY51" s="54">
        <v>281561</v>
      </c>
      <c r="CZ51" s="54">
        <v>426557</v>
      </c>
      <c r="DA51" s="54">
        <v>23504836</v>
      </c>
      <c r="DB51" s="54">
        <v>0</v>
      </c>
      <c r="DC51" s="54">
        <v>0</v>
      </c>
      <c r="DD51" s="54">
        <v>0</v>
      </c>
      <c r="DE51" s="54">
        <v>336960</v>
      </c>
      <c r="DF51" s="54">
        <v>0</v>
      </c>
      <c r="DG51" s="54">
        <v>336960</v>
      </c>
      <c r="DH51" s="54">
        <v>0</v>
      </c>
      <c r="DI51" s="61">
        <v>0</v>
      </c>
      <c r="DJ51" s="61">
        <v>0</v>
      </c>
      <c r="DK51" s="61">
        <v>0</v>
      </c>
      <c r="DL51" s="61">
        <v>2256430</v>
      </c>
      <c r="DM51" s="61">
        <v>2256430</v>
      </c>
      <c r="DN51" s="54">
        <v>0</v>
      </c>
      <c r="DO51" s="61">
        <v>0</v>
      </c>
      <c r="DP51" s="61">
        <v>0</v>
      </c>
      <c r="DQ51" s="61">
        <v>0</v>
      </c>
      <c r="DR51" s="61">
        <v>8352744</v>
      </c>
      <c r="DS51" s="61">
        <v>8352744</v>
      </c>
      <c r="DT51" s="54">
        <v>0</v>
      </c>
      <c r="DU51" s="54">
        <v>0</v>
      </c>
      <c r="DV51" s="54">
        <v>0</v>
      </c>
      <c r="DW51" s="54">
        <v>0</v>
      </c>
      <c r="DX51" s="54">
        <v>0</v>
      </c>
      <c r="DY51" s="54">
        <v>0</v>
      </c>
      <c r="DZ51" s="61">
        <v>1756982</v>
      </c>
      <c r="EA51" s="61">
        <v>265035</v>
      </c>
      <c r="EB51" s="61">
        <v>290485</v>
      </c>
      <c r="EC51" s="61">
        <v>1863558</v>
      </c>
      <c r="ED51" s="61">
        <v>54161</v>
      </c>
      <c r="EE51" s="61">
        <v>4230221</v>
      </c>
      <c r="EF51" s="61">
        <v>0</v>
      </c>
      <c r="EG51" s="61">
        <v>0</v>
      </c>
      <c r="EH51" s="61">
        <v>0</v>
      </c>
      <c r="EI51" s="61">
        <v>0</v>
      </c>
      <c r="EJ51" s="61">
        <v>3844881</v>
      </c>
      <c r="EK51" s="61">
        <v>3844881</v>
      </c>
      <c r="EL51" s="96">
        <v>30524944</v>
      </c>
      <c r="EM51" s="61">
        <v>15141712</v>
      </c>
      <c r="EN51" s="61">
        <v>690806</v>
      </c>
      <c r="EO51" s="61">
        <v>8903023</v>
      </c>
      <c r="EP51" s="61">
        <v>23664198</v>
      </c>
      <c r="EQ51" s="61">
        <v>78924683</v>
      </c>
      <c r="ER51" s="96">
        <v>1665601</v>
      </c>
      <c r="ES51" s="61">
        <v>296970</v>
      </c>
      <c r="ET51" s="61">
        <v>308095</v>
      </c>
      <c r="EU51" s="61">
        <v>4800988</v>
      </c>
      <c r="EV51" s="61">
        <v>1662181</v>
      </c>
      <c r="EW51" s="61">
        <v>8733835</v>
      </c>
      <c r="EX51" s="81">
        <v>1275000</v>
      </c>
      <c r="EY51" s="61">
        <v>565000</v>
      </c>
      <c r="EZ51" s="61">
        <v>82000</v>
      </c>
      <c r="FA51" s="61">
        <v>84496</v>
      </c>
      <c r="FB51" s="61">
        <v>0</v>
      </c>
      <c r="FC51" s="61">
        <v>2006496</v>
      </c>
      <c r="FD51" s="54">
        <v>4547499</v>
      </c>
      <c r="FE51" s="61">
        <v>2831606</v>
      </c>
      <c r="FF51" s="61">
        <v>976271</v>
      </c>
      <c r="FG51" s="61">
        <v>5016455</v>
      </c>
      <c r="FH51" s="61">
        <v>0</v>
      </c>
      <c r="FI51" s="61">
        <v>13371831</v>
      </c>
      <c r="FJ51" s="54">
        <v>0</v>
      </c>
      <c r="FK51" s="54">
        <v>0</v>
      </c>
      <c r="FL51" s="54">
        <v>0</v>
      </c>
      <c r="FM51" s="54">
        <v>0</v>
      </c>
      <c r="FN51" s="54">
        <v>0</v>
      </c>
      <c r="FO51" s="54">
        <v>0</v>
      </c>
      <c r="FP51" s="54">
        <v>1054192</v>
      </c>
      <c r="FQ51" s="54">
        <v>344077</v>
      </c>
      <c r="FR51" s="54">
        <v>174178</v>
      </c>
      <c r="FS51" s="54">
        <v>814696</v>
      </c>
      <c r="FT51" s="54">
        <v>11590613</v>
      </c>
      <c r="FU51" s="54">
        <v>13977756</v>
      </c>
      <c r="FV51" s="54">
        <v>0</v>
      </c>
      <c r="FW51" s="54">
        <v>0</v>
      </c>
      <c r="FX51" s="54">
        <v>0</v>
      </c>
      <c r="FY51" s="54">
        <v>0</v>
      </c>
      <c r="FZ51" s="54">
        <v>0</v>
      </c>
      <c r="GA51" s="54">
        <v>0</v>
      </c>
      <c r="GB51" s="54">
        <v>0</v>
      </c>
      <c r="GC51" s="54">
        <v>0</v>
      </c>
      <c r="GD51" s="54">
        <v>0</v>
      </c>
      <c r="GE51" s="54">
        <v>0</v>
      </c>
      <c r="GF51" s="54">
        <v>0</v>
      </c>
      <c r="GG51" s="54">
        <v>0</v>
      </c>
      <c r="GH51" s="54">
        <v>348608</v>
      </c>
      <c r="GI51" s="54">
        <v>187767</v>
      </c>
      <c r="GJ51" s="54">
        <v>141976</v>
      </c>
      <c r="GK51" s="54">
        <v>452612</v>
      </c>
      <c r="GL51" s="54">
        <v>0</v>
      </c>
      <c r="GM51" s="54">
        <v>1130963</v>
      </c>
      <c r="GN51" s="54">
        <v>713423</v>
      </c>
      <c r="GO51" s="54">
        <v>648621</v>
      </c>
      <c r="GP51" s="54">
        <v>556184</v>
      </c>
      <c r="GQ51" s="54">
        <v>2684369</v>
      </c>
      <c r="GR51" s="54">
        <v>523281</v>
      </c>
      <c r="GS51" s="54">
        <v>5125878</v>
      </c>
      <c r="GT51" s="54">
        <v>553320</v>
      </c>
      <c r="GU51" s="54">
        <v>109396</v>
      </c>
      <c r="GV51" s="54">
        <v>54924</v>
      </c>
      <c r="GW51" s="54">
        <v>1068311</v>
      </c>
      <c r="GX51" s="54">
        <v>0</v>
      </c>
      <c r="GY51" s="54">
        <v>1785951</v>
      </c>
      <c r="GZ51" s="54">
        <v>1698480</v>
      </c>
      <c r="HA51" s="54">
        <v>276011</v>
      </c>
      <c r="HB51" s="54">
        <v>250745</v>
      </c>
      <c r="HC51" s="54">
        <v>744113</v>
      </c>
      <c r="HD51" s="54">
        <v>0</v>
      </c>
      <c r="HE51" s="54">
        <v>2969349</v>
      </c>
      <c r="HF51" s="54">
        <v>0</v>
      </c>
      <c r="HG51" s="54">
        <v>0</v>
      </c>
      <c r="HH51" s="54">
        <v>0</v>
      </c>
      <c r="HI51" s="54">
        <v>0</v>
      </c>
      <c r="HJ51" s="54">
        <v>1377174</v>
      </c>
      <c r="HK51" s="54">
        <v>1377174</v>
      </c>
      <c r="HL51" s="54">
        <v>0</v>
      </c>
      <c r="HM51" s="54">
        <v>0</v>
      </c>
      <c r="HN51" s="54">
        <v>0</v>
      </c>
      <c r="HO51" s="54">
        <v>0</v>
      </c>
      <c r="HP51" s="54">
        <v>0</v>
      </c>
      <c r="HQ51" s="54">
        <v>0</v>
      </c>
      <c r="HR51" s="54">
        <v>4007614</v>
      </c>
      <c r="HS51" s="54">
        <v>11112</v>
      </c>
      <c r="HT51" s="54">
        <v>20593</v>
      </c>
      <c r="HU51" s="54">
        <v>43285</v>
      </c>
      <c r="HV51" s="54">
        <v>9890816</v>
      </c>
      <c r="HW51" s="54">
        <v>13973420</v>
      </c>
      <c r="HX51" s="54">
        <v>0</v>
      </c>
      <c r="HY51" s="54">
        <v>0</v>
      </c>
      <c r="HZ51" s="54">
        <v>0</v>
      </c>
      <c r="IA51" s="54">
        <v>0</v>
      </c>
      <c r="IB51" s="54">
        <v>306118</v>
      </c>
      <c r="IC51" s="54">
        <v>306118</v>
      </c>
      <c r="ID51" s="54">
        <v>0</v>
      </c>
      <c r="IE51" s="54">
        <v>0</v>
      </c>
      <c r="IF51" s="54">
        <v>0</v>
      </c>
      <c r="IG51" s="54">
        <v>0</v>
      </c>
      <c r="IH51" s="54">
        <v>5455716</v>
      </c>
      <c r="II51" s="54">
        <v>5455716</v>
      </c>
      <c r="IJ51" s="54">
        <v>0</v>
      </c>
      <c r="IK51" s="54">
        <v>0</v>
      </c>
      <c r="IL51" s="54">
        <v>0</v>
      </c>
      <c r="IM51" s="54">
        <v>0</v>
      </c>
      <c r="IN51" s="54">
        <v>649406</v>
      </c>
      <c r="IO51" s="54">
        <v>649406</v>
      </c>
      <c r="IP51" s="54">
        <v>0</v>
      </c>
      <c r="IQ51" s="54">
        <v>0</v>
      </c>
      <c r="IR51" s="54">
        <v>0</v>
      </c>
      <c r="IS51" s="54">
        <v>0</v>
      </c>
      <c r="IT51" s="54">
        <v>148437</v>
      </c>
      <c r="IU51" s="54">
        <v>148437</v>
      </c>
      <c r="IV51" s="54">
        <v>1121442</v>
      </c>
      <c r="IW51" s="54">
        <v>289088</v>
      </c>
      <c r="IX51" s="54">
        <v>126506</v>
      </c>
      <c r="IY51" s="54">
        <v>702190</v>
      </c>
      <c r="IZ51" s="54">
        <v>5673122</v>
      </c>
      <c r="JA51" s="54">
        <v>7912348</v>
      </c>
      <c r="JB51" s="54">
        <v>16985182</v>
      </c>
      <c r="JC51" s="54">
        <v>5549649</v>
      </c>
      <c r="JD51" s="54">
        <v>2692015</v>
      </c>
      <c r="JE51" s="54">
        <v>78924683</v>
      </c>
      <c r="JF51" s="54">
        <v>37276868</v>
      </c>
      <c r="JG51" s="54">
        <v>141428397</v>
      </c>
      <c r="JH51" s="54">
        <v>0</v>
      </c>
      <c r="JI51" s="54">
        <v>0</v>
      </c>
      <c r="JJ51" s="54">
        <v>0</v>
      </c>
      <c r="JK51" s="54">
        <v>0</v>
      </c>
      <c r="JL51" s="54">
        <v>0</v>
      </c>
      <c r="JM51" s="54">
        <v>0</v>
      </c>
      <c r="JN51" s="64">
        <v>16985182</v>
      </c>
      <c r="JO51" s="64">
        <v>5549649</v>
      </c>
      <c r="JP51" s="64">
        <v>2692015</v>
      </c>
      <c r="JQ51" s="64">
        <v>16420969</v>
      </c>
      <c r="JR51" s="64">
        <v>37276868</v>
      </c>
      <c r="JS51" s="64">
        <v>78924683</v>
      </c>
      <c r="JU51" s="5">
        <f t="shared" si="80"/>
        <v>21404770</v>
      </c>
      <c r="JV51" s="26">
        <f t="shared" si="81"/>
        <v>0</v>
      </c>
      <c r="JW51" s="5">
        <f t="shared" si="82"/>
        <v>0</v>
      </c>
      <c r="JX51" s="26">
        <f t="shared" si="83"/>
        <v>0</v>
      </c>
      <c r="JY51" s="5">
        <f t="shared" si="84"/>
        <v>115500</v>
      </c>
      <c r="JZ51" s="26">
        <f t="shared" si="85"/>
        <v>0</v>
      </c>
      <c r="KA51" s="5">
        <f t="shared" si="86"/>
        <v>7099363</v>
      </c>
      <c r="KB51" s="26">
        <f t="shared" si="87"/>
        <v>0</v>
      </c>
      <c r="KC51" s="5">
        <f t="shared" si="88"/>
        <v>0</v>
      </c>
      <c r="KD51" s="26">
        <f t="shared" si="89"/>
        <v>0</v>
      </c>
      <c r="KE51" s="5">
        <f t="shared" si="90"/>
        <v>0</v>
      </c>
      <c r="KF51" s="26">
        <f t="shared" si="91"/>
        <v>0</v>
      </c>
      <c r="KG51" s="5">
        <f t="shared" si="92"/>
        <v>2323145</v>
      </c>
      <c r="KH51" s="26">
        <f t="shared" si="93"/>
        <v>0</v>
      </c>
      <c r="KI51" s="5">
        <f t="shared" si="94"/>
        <v>5455716</v>
      </c>
      <c r="KJ51" s="26">
        <f t="shared" si="95"/>
        <v>0</v>
      </c>
      <c r="KK51" s="5">
        <f t="shared" si="96"/>
        <v>23504836</v>
      </c>
      <c r="KL51" s="26">
        <f t="shared" si="97"/>
        <v>0</v>
      </c>
      <c r="KM51" s="5">
        <f t="shared" si="98"/>
        <v>336960</v>
      </c>
      <c r="KN51" s="26">
        <f t="shared" si="99"/>
        <v>0</v>
      </c>
      <c r="KO51" s="5">
        <f t="shared" si="100"/>
        <v>2256430</v>
      </c>
      <c r="KP51" s="26">
        <f t="shared" si="101"/>
        <v>0</v>
      </c>
      <c r="KQ51" s="5">
        <f t="shared" si="102"/>
        <v>8352744</v>
      </c>
      <c r="KR51" s="26">
        <f t="shared" si="103"/>
        <v>0</v>
      </c>
      <c r="KS51" s="5">
        <f t="shared" si="104"/>
        <v>0</v>
      </c>
      <c r="KT51" s="26">
        <f t="shared" si="105"/>
        <v>0</v>
      </c>
      <c r="KU51" s="5">
        <f t="shared" si="106"/>
        <v>4230221</v>
      </c>
      <c r="KV51" s="26">
        <f t="shared" si="107"/>
        <v>0</v>
      </c>
      <c r="KW51" s="5">
        <f t="shared" si="108"/>
        <v>3844881</v>
      </c>
      <c r="KX51" s="26">
        <f t="shared" si="109"/>
        <v>0</v>
      </c>
      <c r="KY51" s="5">
        <f t="shared" si="110"/>
        <v>78924683</v>
      </c>
      <c r="KZ51" s="26">
        <f t="shared" si="111"/>
        <v>0</v>
      </c>
      <c r="LA51" s="5">
        <f t="shared" si="112"/>
        <v>8733835</v>
      </c>
      <c r="LB51" s="26">
        <f t="shared" si="113"/>
        <v>0</v>
      </c>
      <c r="LC51" s="5">
        <f t="shared" si="114"/>
        <v>2006496</v>
      </c>
      <c r="LD51" s="26">
        <f t="shared" si="115"/>
        <v>0</v>
      </c>
      <c r="LE51" s="5">
        <f t="shared" si="116"/>
        <v>13371831</v>
      </c>
      <c r="LF51" s="26">
        <f t="shared" si="117"/>
        <v>0</v>
      </c>
      <c r="LG51" s="5">
        <f t="shared" si="118"/>
        <v>0</v>
      </c>
      <c r="LH51" s="26">
        <f t="shared" si="119"/>
        <v>0</v>
      </c>
      <c r="LI51" s="5">
        <f t="shared" si="120"/>
        <v>13977756</v>
      </c>
      <c r="LJ51" s="26">
        <f t="shared" si="121"/>
        <v>0</v>
      </c>
      <c r="LK51" s="5">
        <f t="shared" si="122"/>
        <v>0</v>
      </c>
      <c r="LL51" s="26">
        <f t="shared" si="123"/>
        <v>0</v>
      </c>
      <c r="LM51" s="5">
        <f t="shared" si="124"/>
        <v>0</v>
      </c>
      <c r="LN51" s="26">
        <f t="shared" si="125"/>
        <v>0</v>
      </c>
      <c r="LO51" s="5">
        <f t="shared" si="126"/>
        <v>1130963</v>
      </c>
      <c r="LP51" s="26">
        <f t="shared" si="127"/>
        <v>0</v>
      </c>
      <c r="LQ51" s="5">
        <f t="shared" si="128"/>
        <v>5125878</v>
      </c>
      <c r="LR51" s="26">
        <f t="shared" si="129"/>
        <v>0</v>
      </c>
      <c r="LS51" s="5">
        <f t="shared" si="130"/>
        <v>1785951</v>
      </c>
      <c r="LT51" s="26">
        <f t="shared" si="131"/>
        <v>0</v>
      </c>
      <c r="LU51" s="5">
        <f t="shared" si="132"/>
        <v>2969349</v>
      </c>
      <c r="LV51" s="26">
        <f t="shared" si="133"/>
        <v>0</v>
      </c>
      <c r="LW51" s="5">
        <f t="shared" si="134"/>
        <v>1377174</v>
      </c>
      <c r="LX51" s="26">
        <f t="shared" si="135"/>
        <v>0</v>
      </c>
      <c r="LY51" s="5">
        <f t="shared" si="136"/>
        <v>0</v>
      </c>
      <c r="LZ51" s="26">
        <f t="shared" si="137"/>
        <v>0</v>
      </c>
      <c r="MA51" s="5">
        <f t="shared" si="138"/>
        <v>13973420</v>
      </c>
      <c r="MB51" s="26">
        <f t="shared" si="139"/>
        <v>0</v>
      </c>
      <c r="MC51" s="5">
        <f t="shared" si="140"/>
        <v>306118</v>
      </c>
      <c r="MD51" s="26">
        <f t="shared" si="141"/>
        <v>0</v>
      </c>
      <c r="ME51" s="5">
        <f t="shared" si="142"/>
        <v>5455716</v>
      </c>
      <c r="MF51" s="26">
        <f t="shared" si="143"/>
        <v>0</v>
      </c>
      <c r="MG51" s="5">
        <f t="shared" si="144"/>
        <v>649406</v>
      </c>
      <c r="MH51" s="26">
        <f t="shared" si="145"/>
        <v>0</v>
      </c>
      <c r="MI51" s="5">
        <f t="shared" si="146"/>
        <v>148437</v>
      </c>
      <c r="MJ51" s="26">
        <f t="shared" si="147"/>
        <v>0</v>
      </c>
      <c r="MK51" s="5">
        <f t="shared" si="148"/>
        <v>7912348</v>
      </c>
      <c r="ML51" s="26">
        <f t="shared" si="149"/>
        <v>0</v>
      </c>
      <c r="MM51" s="5">
        <f t="shared" si="150"/>
        <v>141428397</v>
      </c>
      <c r="MN51" s="26">
        <f t="shared" si="151"/>
        <v>0</v>
      </c>
      <c r="MO51" s="5">
        <f t="shared" si="152"/>
        <v>0</v>
      </c>
      <c r="MP51" s="26">
        <f t="shared" si="153"/>
        <v>0</v>
      </c>
      <c r="MQ51" s="5">
        <f t="shared" si="154"/>
        <v>78924683</v>
      </c>
      <c r="MR51" s="26">
        <f t="shared" si="155"/>
        <v>0</v>
      </c>
      <c r="MT51" s="5">
        <f t="shared" si="76"/>
        <v>0</v>
      </c>
      <c r="MV51" s="4">
        <f t="shared" si="77"/>
        <v>0</v>
      </c>
    </row>
    <row r="52" spans="1:367" x14ac:dyDescent="0.15">
      <c r="A52" s="157" t="s">
        <v>482</v>
      </c>
      <c r="B52" s="25" t="s">
        <v>407</v>
      </c>
      <c r="C52" s="105">
        <v>176017</v>
      </c>
      <c r="D52" s="105">
        <v>2011</v>
      </c>
      <c r="E52" s="106">
        <v>1</v>
      </c>
      <c r="F52" s="106">
        <v>5</v>
      </c>
      <c r="G52" s="107">
        <v>6083</v>
      </c>
      <c r="H52" s="107">
        <v>6888</v>
      </c>
      <c r="I52" s="108">
        <v>417203877</v>
      </c>
      <c r="J52" s="108"/>
      <c r="K52" s="108">
        <v>4576972</v>
      </c>
      <c r="L52" s="108"/>
      <c r="M52" s="108">
        <v>12118047</v>
      </c>
      <c r="N52" s="108"/>
      <c r="O52" s="108">
        <v>41797582</v>
      </c>
      <c r="P52" s="108"/>
      <c r="Q52" s="108">
        <v>126481541</v>
      </c>
      <c r="R52" s="108"/>
      <c r="S52" s="108">
        <v>330142396</v>
      </c>
      <c r="T52" s="108"/>
      <c r="U52" s="108">
        <v>14794</v>
      </c>
      <c r="V52" s="108"/>
      <c r="W52" s="108">
        <v>23248</v>
      </c>
      <c r="X52" s="108"/>
      <c r="Y52" s="108">
        <v>19210</v>
      </c>
      <c r="Z52" s="108"/>
      <c r="AA52" s="108">
        <v>27664</v>
      </c>
      <c r="AB52" s="108"/>
      <c r="AC52" s="129">
        <v>8</v>
      </c>
      <c r="AD52" s="129">
        <v>10</v>
      </c>
      <c r="AE52" s="129">
        <v>0</v>
      </c>
      <c r="AF52" s="26">
        <v>3371039</v>
      </c>
      <c r="AG52" s="26">
        <v>2315666</v>
      </c>
      <c r="AH52" s="26">
        <v>694038</v>
      </c>
      <c r="AI52" s="26">
        <v>288921</v>
      </c>
      <c r="AJ52" s="26">
        <v>10589700</v>
      </c>
      <c r="AK52" s="36">
        <v>0.5</v>
      </c>
      <c r="AL52" s="26">
        <v>882475</v>
      </c>
      <c r="AM52" s="36">
        <v>6</v>
      </c>
      <c r="AN52" s="26">
        <v>782826</v>
      </c>
      <c r="AO52" s="36">
        <v>2</v>
      </c>
      <c r="AP52" s="26">
        <v>146779</v>
      </c>
      <c r="AQ52" s="36">
        <v>8</v>
      </c>
      <c r="AR52" s="26">
        <v>1565932</v>
      </c>
      <c r="AS52" s="36">
        <v>3</v>
      </c>
      <c r="AT52" s="26">
        <v>186420</v>
      </c>
      <c r="AU52" s="36">
        <v>21</v>
      </c>
      <c r="AV52" s="26">
        <v>392024</v>
      </c>
      <c r="AW52" s="36">
        <v>3</v>
      </c>
      <c r="AX52" s="26">
        <v>70004</v>
      </c>
      <c r="AY52" s="36">
        <v>14</v>
      </c>
      <c r="AZ52" s="54">
        <v>11483342</v>
      </c>
      <c r="BA52" s="54">
        <v>878765</v>
      </c>
      <c r="BB52" s="54">
        <v>14781</v>
      </c>
      <c r="BC52" s="54">
        <v>735586</v>
      </c>
      <c r="BD52" s="54">
        <v>0</v>
      </c>
      <c r="BE52" s="54">
        <v>13112474</v>
      </c>
      <c r="BF52" s="54">
        <v>0</v>
      </c>
      <c r="BG52" s="54">
        <v>0</v>
      </c>
      <c r="BH52" s="54">
        <v>0</v>
      </c>
      <c r="BI52" s="54">
        <v>0</v>
      </c>
      <c r="BJ52" s="54">
        <v>1926778</v>
      </c>
      <c r="BK52" s="54">
        <v>1926778</v>
      </c>
      <c r="BL52" s="54">
        <v>200000</v>
      </c>
      <c r="BM52" s="54">
        <v>0</v>
      </c>
      <c r="BN52" s="54">
        <v>0</v>
      </c>
      <c r="BO52" s="54">
        <v>44500</v>
      </c>
      <c r="BP52" s="54">
        <v>0</v>
      </c>
      <c r="BQ52" s="54">
        <v>244500</v>
      </c>
      <c r="BR52" s="54">
        <v>2981149</v>
      </c>
      <c r="BS52" s="54">
        <v>1205138</v>
      </c>
      <c r="BT52" s="54">
        <v>107385</v>
      </c>
      <c r="BU52" s="54">
        <v>471990</v>
      </c>
      <c r="BV52" s="54">
        <v>3421154</v>
      </c>
      <c r="BW52" s="54">
        <v>8186816</v>
      </c>
      <c r="BX52" s="54">
        <v>0</v>
      </c>
      <c r="BY52" s="54">
        <v>0</v>
      </c>
      <c r="BZ52" s="54">
        <v>0</v>
      </c>
      <c r="CA52" s="54">
        <v>0</v>
      </c>
      <c r="CB52" s="54">
        <v>0</v>
      </c>
      <c r="CC52" s="54">
        <v>0</v>
      </c>
      <c r="CD52" s="54">
        <v>0</v>
      </c>
      <c r="CE52" s="54">
        <v>0</v>
      </c>
      <c r="CF52" s="54">
        <v>0</v>
      </c>
      <c r="CG52" s="54">
        <v>0</v>
      </c>
      <c r="CH52" s="54">
        <v>0</v>
      </c>
      <c r="CI52" s="54">
        <v>0</v>
      </c>
      <c r="CJ52" s="54">
        <v>0</v>
      </c>
      <c r="CK52" s="54">
        <v>0</v>
      </c>
      <c r="CL52" s="54">
        <v>0</v>
      </c>
      <c r="CM52" s="54">
        <v>0</v>
      </c>
      <c r="CN52" s="54">
        <v>1734137</v>
      </c>
      <c r="CO52" s="54">
        <v>1734137</v>
      </c>
      <c r="CP52" s="54">
        <v>0</v>
      </c>
      <c r="CQ52" s="54">
        <v>0</v>
      </c>
      <c r="CR52" s="54">
        <v>0</v>
      </c>
      <c r="CS52" s="54">
        <v>0</v>
      </c>
      <c r="CT52" s="54">
        <v>0</v>
      </c>
      <c r="CU52" s="54">
        <v>0</v>
      </c>
      <c r="CV52" s="54">
        <v>13263506</v>
      </c>
      <c r="CW52" s="54">
        <v>5037494</v>
      </c>
      <c r="CX52" s="54">
        <v>0</v>
      </c>
      <c r="CY52" s="54">
        <v>51261</v>
      </c>
      <c r="CZ52" s="54">
        <v>1744600</v>
      </c>
      <c r="DA52" s="54">
        <v>20096861</v>
      </c>
      <c r="DB52" s="54">
        <v>0</v>
      </c>
      <c r="DC52" s="54">
        <v>0</v>
      </c>
      <c r="DD52" s="54">
        <v>0</v>
      </c>
      <c r="DE52" s="54">
        <v>0</v>
      </c>
      <c r="DF52" s="54">
        <v>1658650</v>
      </c>
      <c r="DG52" s="54">
        <v>1658650</v>
      </c>
      <c r="DH52" s="54">
        <v>511380</v>
      </c>
      <c r="DI52" s="54">
        <v>53826</v>
      </c>
      <c r="DJ52" s="54">
        <v>11243</v>
      </c>
      <c r="DK52" s="54">
        <v>132371</v>
      </c>
      <c r="DL52" s="54">
        <v>0</v>
      </c>
      <c r="DM52" s="54">
        <v>708820</v>
      </c>
      <c r="DN52" s="54">
        <v>0</v>
      </c>
      <c r="DO52" s="54">
        <v>0</v>
      </c>
      <c r="DP52" s="54">
        <v>0</v>
      </c>
      <c r="DQ52" s="54">
        <v>0</v>
      </c>
      <c r="DR52" s="54">
        <v>1031987</v>
      </c>
      <c r="DS52" s="54">
        <v>1031987</v>
      </c>
      <c r="DT52" s="54">
        <v>0</v>
      </c>
      <c r="DU52" s="54">
        <v>0</v>
      </c>
      <c r="DV52" s="54">
        <v>0</v>
      </c>
      <c r="DW52" s="54">
        <v>0</v>
      </c>
      <c r="DX52" s="54">
        <v>0</v>
      </c>
      <c r="DY52" s="54">
        <v>0</v>
      </c>
      <c r="DZ52" s="54">
        <v>0</v>
      </c>
      <c r="EA52" s="54">
        <v>0</v>
      </c>
      <c r="EB52" s="54">
        <v>0</v>
      </c>
      <c r="EC52" s="54">
        <v>0</v>
      </c>
      <c r="ED52" s="54">
        <v>0</v>
      </c>
      <c r="EE52" s="54">
        <v>0</v>
      </c>
      <c r="EF52" s="54">
        <v>76094</v>
      </c>
      <c r="EG52" s="54">
        <v>0</v>
      </c>
      <c r="EH52" s="54">
        <v>0</v>
      </c>
      <c r="EI52" s="54">
        <v>9090</v>
      </c>
      <c r="EJ52" s="54">
        <v>394685</v>
      </c>
      <c r="EK52" s="54">
        <v>479869</v>
      </c>
      <c r="EL52" s="54">
        <v>28515471</v>
      </c>
      <c r="EM52" s="54">
        <v>7175223</v>
      </c>
      <c r="EN52" s="54">
        <v>133409</v>
      </c>
      <c r="EO52" s="54">
        <v>1444798</v>
      </c>
      <c r="EP52" s="54">
        <v>11911991</v>
      </c>
      <c r="EQ52" s="54">
        <v>49180892</v>
      </c>
      <c r="ER52" s="54">
        <v>2209680</v>
      </c>
      <c r="ES52" s="54">
        <v>377682</v>
      </c>
      <c r="ET52" s="54">
        <v>324844</v>
      </c>
      <c r="EU52" s="54">
        <v>2774499</v>
      </c>
      <c r="EV52" s="54">
        <v>344954</v>
      </c>
      <c r="EW52" s="54">
        <v>6031659</v>
      </c>
      <c r="EX52" s="54">
        <v>1410000</v>
      </c>
      <c r="EY52" s="54">
        <v>369190</v>
      </c>
      <c r="EZ52" s="54">
        <v>78426</v>
      </c>
      <c r="FA52" s="54">
        <v>47680</v>
      </c>
      <c r="FB52" s="54">
        <v>0</v>
      </c>
      <c r="FC52" s="54">
        <v>1905296</v>
      </c>
      <c r="FD52" s="54">
        <v>5727683</v>
      </c>
      <c r="FE52" s="54">
        <v>1923823</v>
      </c>
      <c r="FF52" s="54">
        <v>689680</v>
      </c>
      <c r="FG52" s="54">
        <v>3022795</v>
      </c>
      <c r="FH52" s="54">
        <v>0</v>
      </c>
      <c r="FI52" s="54">
        <v>11363981</v>
      </c>
      <c r="FJ52" s="54">
        <v>0</v>
      </c>
      <c r="FK52" s="54">
        <v>0</v>
      </c>
      <c r="FL52" s="54">
        <v>0</v>
      </c>
      <c r="FM52" s="54">
        <v>0</v>
      </c>
      <c r="FN52" s="54">
        <v>0</v>
      </c>
      <c r="FO52" s="54">
        <v>0</v>
      </c>
      <c r="FP52" s="54">
        <v>1257567</v>
      </c>
      <c r="FQ52" s="54">
        <v>253438</v>
      </c>
      <c r="FR52" s="54">
        <v>241478</v>
      </c>
      <c r="FS52" s="54">
        <v>607468</v>
      </c>
      <c r="FT52" s="54">
        <v>5722736</v>
      </c>
      <c r="FU52" s="54">
        <v>8082687</v>
      </c>
      <c r="FV52" s="54">
        <v>0</v>
      </c>
      <c r="FW52" s="54">
        <v>0</v>
      </c>
      <c r="FX52" s="54">
        <v>0</v>
      </c>
      <c r="FY52" s="54">
        <v>0</v>
      </c>
      <c r="FZ52" s="54">
        <v>0</v>
      </c>
      <c r="GA52" s="54">
        <v>0</v>
      </c>
      <c r="GB52" s="54">
        <v>387059</v>
      </c>
      <c r="GC52" s="54">
        <v>0</v>
      </c>
      <c r="GD52" s="54">
        <v>0</v>
      </c>
      <c r="GE52" s="54">
        <v>0</v>
      </c>
      <c r="GF52" s="54">
        <v>0</v>
      </c>
      <c r="GG52" s="54">
        <v>387059</v>
      </c>
      <c r="GH52" s="54">
        <v>495233</v>
      </c>
      <c r="GI52" s="54">
        <v>93168</v>
      </c>
      <c r="GJ52" s="54">
        <v>90735</v>
      </c>
      <c r="GK52" s="54">
        <v>303823</v>
      </c>
      <c r="GL52" s="54">
        <v>0</v>
      </c>
      <c r="GM52" s="54">
        <v>982959</v>
      </c>
      <c r="GN52" s="54">
        <v>903380</v>
      </c>
      <c r="GO52" s="54">
        <v>582012</v>
      </c>
      <c r="GP52" s="54">
        <v>414998</v>
      </c>
      <c r="GQ52" s="54">
        <v>1679715</v>
      </c>
      <c r="GR52" s="54">
        <v>0</v>
      </c>
      <c r="GS52" s="54">
        <v>3580105</v>
      </c>
      <c r="GT52" s="54">
        <v>319843</v>
      </c>
      <c r="GU52" s="54">
        <v>92844</v>
      </c>
      <c r="GV52" s="54">
        <v>66745</v>
      </c>
      <c r="GW52" s="54">
        <v>681231</v>
      </c>
      <c r="GX52" s="54">
        <v>97036</v>
      </c>
      <c r="GY52" s="54">
        <v>1257699</v>
      </c>
      <c r="GZ52" s="54">
        <v>744691</v>
      </c>
      <c r="HA52" s="54">
        <v>359154</v>
      </c>
      <c r="HB52" s="54">
        <v>269245</v>
      </c>
      <c r="HC52" s="54">
        <v>502408</v>
      </c>
      <c r="HD52" s="54">
        <v>410312</v>
      </c>
      <c r="HE52" s="54">
        <v>2285810</v>
      </c>
      <c r="HF52" s="54">
        <v>30839</v>
      </c>
      <c r="HG52" s="54">
        <v>11647</v>
      </c>
      <c r="HH52" s="54">
        <v>7430</v>
      </c>
      <c r="HI52" s="54">
        <v>5019</v>
      </c>
      <c r="HJ52" s="54">
        <v>8355</v>
      </c>
      <c r="HK52" s="54">
        <v>63290</v>
      </c>
      <c r="HL52" s="54">
        <v>0</v>
      </c>
      <c r="HM52" s="54">
        <v>0</v>
      </c>
      <c r="HN52" s="54">
        <v>0</v>
      </c>
      <c r="HO52" s="54">
        <v>0</v>
      </c>
      <c r="HP52" s="54">
        <v>0</v>
      </c>
      <c r="HQ52" s="54">
        <v>0</v>
      </c>
      <c r="HR52" s="54">
        <v>4122445</v>
      </c>
      <c r="HS52" s="54">
        <v>130595</v>
      </c>
      <c r="HT52" s="54">
        <v>72796</v>
      </c>
      <c r="HU52" s="54">
        <v>1140570</v>
      </c>
      <c r="HV52" s="54">
        <v>3076594</v>
      </c>
      <c r="HW52" s="54">
        <v>8543000</v>
      </c>
      <c r="HX52" s="54">
        <v>0</v>
      </c>
      <c r="HY52" s="54">
        <v>0</v>
      </c>
      <c r="HZ52" s="54">
        <v>0</v>
      </c>
      <c r="IA52" s="54">
        <v>0</v>
      </c>
      <c r="IB52" s="54">
        <v>154896</v>
      </c>
      <c r="IC52" s="54">
        <v>154896</v>
      </c>
      <c r="ID52" s="54">
        <v>0</v>
      </c>
      <c r="IE52" s="54">
        <v>0</v>
      </c>
      <c r="IF52" s="54">
        <v>0</v>
      </c>
      <c r="IG52" s="54">
        <v>0</v>
      </c>
      <c r="IH52" s="54">
        <v>0</v>
      </c>
      <c r="II52" s="54">
        <v>0</v>
      </c>
      <c r="IJ52" s="54">
        <v>0</v>
      </c>
      <c r="IK52" s="54">
        <v>0</v>
      </c>
      <c r="IL52" s="54">
        <v>0</v>
      </c>
      <c r="IM52" s="54">
        <v>0</v>
      </c>
      <c r="IN52" s="54">
        <v>629861</v>
      </c>
      <c r="IO52" s="54">
        <v>629861</v>
      </c>
      <c r="IP52" s="54">
        <v>1440</v>
      </c>
      <c r="IQ52" s="54">
        <v>0</v>
      </c>
      <c r="IR52" s="54">
        <v>800</v>
      </c>
      <c r="IS52" s="54">
        <v>5603</v>
      </c>
      <c r="IT52" s="54">
        <v>18769</v>
      </c>
      <c r="IU52" s="54">
        <v>26612</v>
      </c>
      <c r="IV52" s="54">
        <v>154314</v>
      </c>
      <c r="IW52" s="54">
        <v>77023</v>
      </c>
      <c r="IX52" s="54">
        <v>60309</v>
      </c>
      <c r="IY52" s="54">
        <v>185895</v>
      </c>
      <c r="IZ52" s="54">
        <v>1336846</v>
      </c>
      <c r="JA52" s="54">
        <v>1814387</v>
      </c>
      <c r="JB52" s="54">
        <v>17764174</v>
      </c>
      <c r="JC52" s="54">
        <v>4270576</v>
      </c>
      <c r="JD52" s="54">
        <v>2317486</v>
      </c>
      <c r="JE52" s="54">
        <v>10956706</v>
      </c>
      <c r="JF52" s="54">
        <v>11800359</v>
      </c>
      <c r="JG52" s="54">
        <v>47109301</v>
      </c>
      <c r="JH52" s="54">
        <v>394813</v>
      </c>
      <c r="JI52" s="54">
        <v>0</v>
      </c>
      <c r="JJ52" s="54">
        <v>0</v>
      </c>
      <c r="JK52" s="54">
        <v>0</v>
      </c>
      <c r="JL52" s="54">
        <v>1676778</v>
      </c>
      <c r="JM52" s="54">
        <v>2071591</v>
      </c>
      <c r="JN52" s="54">
        <v>18158987</v>
      </c>
      <c r="JO52" s="54">
        <v>4270576</v>
      </c>
      <c r="JP52" s="54">
        <v>2317486</v>
      </c>
      <c r="JQ52" s="54">
        <v>10956706</v>
      </c>
      <c r="JR52" s="54">
        <v>13477137</v>
      </c>
      <c r="JS52" s="54">
        <v>49180892</v>
      </c>
      <c r="JU52" s="5">
        <f t="shared" si="80"/>
        <v>13112474</v>
      </c>
      <c r="JV52" s="26">
        <f t="shared" si="81"/>
        <v>0</v>
      </c>
      <c r="JW52" s="5">
        <f t="shared" si="82"/>
        <v>1926778</v>
      </c>
      <c r="JX52" s="26">
        <f t="shared" si="83"/>
        <v>0</v>
      </c>
      <c r="JY52" s="5">
        <f t="shared" si="84"/>
        <v>244500</v>
      </c>
      <c r="JZ52" s="26">
        <f t="shared" si="85"/>
        <v>0</v>
      </c>
      <c r="KA52" s="5">
        <f t="shared" si="86"/>
        <v>8186816</v>
      </c>
      <c r="KB52" s="26">
        <f t="shared" si="87"/>
        <v>0</v>
      </c>
      <c r="KC52" s="5">
        <f t="shared" si="88"/>
        <v>0</v>
      </c>
      <c r="KD52" s="26">
        <f t="shared" si="89"/>
        <v>0</v>
      </c>
      <c r="KE52" s="5">
        <f t="shared" si="90"/>
        <v>0</v>
      </c>
      <c r="KF52" s="26">
        <f t="shared" si="91"/>
        <v>0</v>
      </c>
      <c r="KG52" s="5">
        <f t="shared" si="92"/>
        <v>1734137</v>
      </c>
      <c r="KH52" s="26">
        <f t="shared" si="93"/>
        <v>0</v>
      </c>
      <c r="KI52" s="5">
        <f t="shared" si="94"/>
        <v>0</v>
      </c>
      <c r="KJ52" s="26">
        <f t="shared" si="95"/>
        <v>0</v>
      </c>
      <c r="KK52" s="5">
        <f t="shared" si="96"/>
        <v>20096861</v>
      </c>
      <c r="KL52" s="26">
        <f t="shared" si="97"/>
        <v>0</v>
      </c>
      <c r="KM52" s="5">
        <f t="shared" si="98"/>
        <v>1658650</v>
      </c>
      <c r="KN52" s="26">
        <f t="shared" si="99"/>
        <v>0</v>
      </c>
      <c r="KO52" s="5">
        <f t="shared" si="100"/>
        <v>708820</v>
      </c>
      <c r="KP52" s="26">
        <f t="shared" si="101"/>
        <v>0</v>
      </c>
      <c r="KQ52" s="5">
        <f t="shared" si="102"/>
        <v>1031987</v>
      </c>
      <c r="KR52" s="26">
        <f t="shared" si="103"/>
        <v>0</v>
      </c>
      <c r="KS52" s="5">
        <f t="shared" si="104"/>
        <v>0</v>
      </c>
      <c r="KT52" s="26">
        <f t="shared" si="105"/>
        <v>0</v>
      </c>
      <c r="KU52" s="5">
        <f t="shared" si="106"/>
        <v>0</v>
      </c>
      <c r="KV52" s="26">
        <f t="shared" si="107"/>
        <v>0</v>
      </c>
      <c r="KW52" s="5">
        <f t="shared" si="108"/>
        <v>479869</v>
      </c>
      <c r="KX52" s="26">
        <f t="shared" si="109"/>
        <v>0</v>
      </c>
      <c r="KY52" s="5">
        <f t="shared" si="110"/>
        <v>49180892</v>
      </c>
      <c r="KZ52" s="26">
        <f t="shared" si="111"/>
        <v>0</v>
      </c>
      <c r="LA52" s="5">
        <f t="shared" si="112"/>
        <v>6031659</v>
      </c>
      <c r="LB52" s="26">
        <f t="shared" si="113"/>
        <v>0</v>
      </c>
      <c r="LC52" s="5">
        <f t="shared" si="114"/>
        <v>1905296</v>
      </c>
      <c r="LD52" s="26">
        <f t="shared" si="115"/>
        <v>0</v>
      </c>
      <c r="LE52" s="5">
        <f t="shared" si="116"/>
        <v>11363981</v>
      </c>
      <c r="LF52" s="26">
        <f t="shared" si="117"/>
        <v>0</v>
      </c>
      <c r="LG52" s="5">
        <f t="shared" si="118"/>
        <v>0</v>
      </c>
      <c r="LH52" s="26">
        <f t="shared" si="119"/>
        <v>0</v>
      </c>
      <c r="LI52" s="5">
        <f t="shared" si="120"/>
        <v>8082687</v>
      </c>
      <c r="LJ52" s="26">
        <f t="shared" si="121"/>
        <v>0</v>
      </c>
      <c r="LK52" s="5">
        <f t="shared" si="122"/>
        <v>0</v>
      </c>
      <c r="LL52" s="26">
        <f t="shared" si="123"/>
        <v>0</v>
      </c>
      <c r="LM52" s="5">
        <f t="shared" si="124"/>
        <v>387059</v>
      </c>
      <c r="LN52" s="26">
        <f t="shared" si="125"/>
        <v>0</v>
      </c>
      <c r="LO52" s="5">
        <f t="shared" si="126"/>
        <v>982959</v>
      </c>
      <c r="LP52" s="26">
        <f t="shared" si="127"/>
        <v>0</v>
      </c>
      <c r="LQ52" s="5">
        <f t="shared" si="128"/>
        <v>3580105</v>
      </c>
      <c r="LR52" s="26">
        <f t="shared" si="129"/>
        <v>0</v>
      </c>
      <c r="LS52" s="5">
        <f t="shared" si="130"/>
        <v>1257699</v>
      </c>
      <c r="LT52" s="26">
        <f t="shared" si="131"/>
        <v>0</v>
      </c>
      <c r="LU52" s="5">
        <f t="shared" si="132"/>
        <v>2285810</v>
      </c>
      <c r="LV52" s="26">
        <f t="shared" si="133"/>
        <v>0</v>
      </c>
      <c r="LW52" s="5">
        <f t="shared" si="134"/>
        <v>63290</v>
      </c>
      <c r="LX52" s="26">
        <f t="shared" si="135"/>
        <v>0</v>
      </c>
      <c r="LY52" s="5">
        <f t="shared" si="136"/>
        <v>0</v>
      </c>
      <c r="LZ52" s="26">
        <f t="shared" si="137"/>
        <v>0</v>
      </c>
      <c r="MA52" s="5">
        <f t="shared" si="138"/>
        <v>8543000</v>
      </c>
      <c r="MB52" s="26">
        <f t="shared" si="139"/>
        <v>0</v>
      </c>
      <c r="MC52" s="5">
        <f t="shared" si="140"/>
        <v>154896</v>
      </c>
      <c r="MD52" s="26">
        <f t="shared" si="141"/>
        <v>0</v>
      </c>
      <c r="ME52" s="5">
        <f t="shared" si="142"/>
        <v>0</v>
      </c>
      <c r="MF52" s="26">
        <f t="shared" si="143"/>
        <v>0</v>
      </c>
      <c r="MG52" s="5">
        <f t="shared" si="144"/>
        <v>629861</v>
      </c>
      <c r="MH52" s="26">
        <f t="shared" si="145"/>
        <v>0</v>
      </c>
      <c r="MI52" s="5">
        <f t="shared" si="146"/>
        <v>26612</v>
      </c>
      <c r="MJ52" s="26">
        <f t="shared" si="147"/>
        <v>0</v>
      </c>
      <c r="MK52" s="5">
        <f t="shared" si="148"/>
        <v>1814387</v>
      </c>
      <c r="ML52" s="26">
        <f t="shared" si="149"/>
        <v>0</v>
      </c>
      <c r="MM52" s="5">
        <f t="shared" si="150"/>
        <v>47109301</v>
      </c>
      <c r="MN52" s="26">
        <f t="shared" si="151"/>
        <v>0</v>
      </c>
      <c r="MO52" s="5">
        <f t="shared" si="152"/>
        <v>2071591</v>
      </c>
      <c r="MP52" s="26">
        <f t="shared" si="153"/>
        <v>0</v>
      </c>
      <c r="MQ52" s="5">
        <f t="shared" si="154"/>
        <v>49180892</v>
      </c>
      <c r="MR52" s="26">
        <f t="shared" si="155"/>
        <v>0</v>
      </c>
      <c r="MT52" s="5">
        <f t="shared" si="76"/>
        <v>0</v>
      </c>
      <c r="MV52" s="4">
        <f t="shared" si="77"/>
        <v>0</v>
      </c>
    </row>
    <row r="53" spans="1:367" x14ac:dyDescent="0.15">
      <c r="A53" s="157" t="s">
        <v>321</v>
      </c>
      <c r="B53" s="25" t="s">
        <v>406</v>
      </c>
      <c r="C53" s="109">
        <v>176080</v>
      </c>
      <c r="D53" s="105">
        <v>2011</v>
      </c>
      <c r="E53" s="106">
        <v>1</v>
      </c>
      <c r="F53" s="106">
        <v>5</v>
      </c>
      <c r="G53" s="107">
        <v>7418</v>
      </c>
      <c r="H53" s="107">
        <v>6661</v>
      </c>
      <c r="I53" s="108">
        <v>565042292</v>
      </c>
      <c r="J53" s="108"/>
      <c r="K53" s="108">
        <v>2347702</v>
      </c>
      <c r="L53" s="108"/>
      <c r="M53" s="108">
        <v>18232053</v>
      </c>
      <c r="N53" s="108"/>
      <c r="O53" s="108">
        <v>24820008</v>
      </c>
      <c r="P53" s="108"/>
      <c r="Q53" s="108">
        <v>156710000</v>
      </c>
      <c r="R53" s="108"/>
      <c r="S53" s="108">
        <v>322448788</v>
      </c>
      <c r="T53" s="108"/>
      <c r="U53" s="108">
        <v>13590</v>
      </c>
      <c r="V53" s="108"/>
      <c r="W53" s="108">
        <v>21930</v>
      </c>
      <c r="X53" s="108"/>
      <c r="Y53" s="108">
        <v>19198</v>
      </c>
      <c r="Z53" s="108"/>
      <c r="AA53" s="108">
        <v>27538</v>
      </c>
      <c r="AB53" s="108"/>
      <c r="AC53" s="130">
        <v>8</v>
      </c>
      <c r="AD53" s="130">
        <v>9</v>
      </c>
      <c r="AE53" s="130">
        <v>0</v>
      </c>
      <c r="AF53" s="26">
        <v>3434255</v>
      </c>
      <c r="AG53" s="26">
        <v>2524356</v>
      </c>
      <c r="AH53" s="26">
        <v>477868</v>
      </c>
      <c r="AI53" s="26">
        <v>245351</v>
      </c>
      <c r="AJ53" s="26">
        <v>967214</v>
      </c>
      <c r="AK53" s="36">
        <v>5</v>
      </c>
      <c r="AL53" s="26">
        <v>967214</v>
      </c>
      <c r="AM53" s="36">
        <v>5</v>
      </c>
      <c r="AN53" s="26" t="s">
        <v>477</v>
      </c>
      <c r="AO53" s="36">
        <v>7</v>
      </c>
      <c r="AP53" s="26">
        <v>119074.29</v>
      </c>
      <c r="AQ53" s="36">
        <v>7</v>
      </c>
      <c r="AR53" s="26">
        <v>210653.29</v>
      </c>
      <c r="AS53" s="36">
        <v>17</v>
      </c>
      <c r="AT53" s="26">
        <v>210653.29</v>
      </c>
      <c r="AU53" s="36">
        <v>17</v>
      </c>
      <c r="AV53" s="26">
        <v>62631.25</v>
      </c>
      <c r="AW53" s="36">
        <v>12</v>
      </c>
      <c r="AX53" s="26">
        <v>62631.25</v>
      </c>
      <c r="AY53" s="36">
        <v>12</v>
      </c>
      <c r="AZ53" s="54">
        <v>7765055</v>
      </c>
      <c r="BA53" s="54">
        <v>1594357</v>
      </c>
      <c r="BB53" s="54">
        <v>43002</v>
      </c>
      <c r="BC53" s="54">
        <v>944992</v>
      </c>
      <c r="BD53" s="54">
        <v>11397</v>
      </c>
      <c r="BE53" s="54">
        <v>10358803</v>
      </c>
      <c r="BF53" s="54">
        <v>0</v>
      </c>
      <c r="BG53" s="54">
        <v>0</v>
      </c>
      <c r="BH53" s="54">
        <v>0</v>
      </c>
      <c r="BI53" s="54">
        <v>0</v>
      </c>
      <c r="BJ53" s="54">
        <v>4000000</v>
      </c>
      <c r="BK53" s="54">
        <v>4000000</v>
      </c>
      <c r="BL53" s="54">
        <v>175000</v>
      </c>
      <c r="BM53" s="54">
        <v>175708</v>
      </c>
      <c r="BN53" s="54">
        <v>0</v>
      </c>
      <c r="BO53" s="54">
        <v>42500</v>
      </c>
      <c r="BP53" s="54">
        <v>0</v>
      </c>
      <c r="BQ53" s="54">
        <v>393208</v>
      </c>
      <c r="BR53" s="54">
        <v>0</v>
      </c>
      <c r="BS53" s="54">
        <v>28882</v>
      </c>
      <c r="BT53" s="54">
        <v>7415</v>
      </c>
      <c r="BU53" s="54">
        <v>96866</v>
      </c>
      <c r="BV53" s="54">
        <v>16198975</v>
      </c>
      <c r="BW53" s="54">
        <v>16332138</v>
      </c>
      <c r="BX53" s="54">
        <v>0</v>
      </c>
      <c r="BY53" s="54">
        <v>0</v>
      </c>
      <c r="BZ53" s="54">
        <v>0</v>
      </c>
      <c r="CA53" s="54">
        <v>100000</v>
      </c>
      <c r="CB53" s="54">
        <v>0</v>
      </c>
      <c r="CC53" s="54">
        <v>100000</v>
      </c>
      <c r="CD53" s="54">
        <v>0</v>
      </c>
      <c r="CE53" s="54">
        <v>0</v>
      </c>
      <c r="CF53" s="54">
        <v>0</v>
      </c>
      <c r="CG53" s="54">
        <v>0</v>
      </c>
      <c r="CH53" s="54">
        <v>0</v>
      </c>
      <c r="CI53" s="54">
        <v>0</v>
      </c>
      <c r="CJ53" s="54">
        <v>0</v>
      </c>
      <c r="CK53" s="54">
        <v>0</v>
      </c>
      <c r="CL53" s="54">
        <v>0</v>
      </c>
      <c r="CM53" s="54">
        <v>25556</v>
      </c>
      <c r="CN53" s="54">
        <v>794097</v>
      </c>
      <c r="CO53" s="54">
        <v>819653</v>
      </c>
      <c r="CP53" s="54">
        <v>0</v>
      </c>
      <c r="CQ53" s="54">
        <v>0</v>
      </c>
      <c r="CR53" s="54">
        <v>0</v>
      </c>
      <c r="CS53" s="54">
        <v>0</v>
      </c>
      <c r="CT53" s="54">
        <v>0</v>
      </c>
      <c r="CU53" s="54">
        <v>0</v>
      </c>
      <c r="CV53" s="54">
        <v>14390603</v>
      </c>
      <c r="CW53" s="54">
        <v>4984506</v>
      </c>
      <c r="CX53" s="54">
        <v>0</v>
      </c>
      <c r="CY53" s="54">
        <v>2649</v>
      </c>
      <c r="CZ53" s="54">
        <v>1181486</v>
      </c>
      <c r="DA53" s="54">
        <v>20559244</v>
      </c>
      <c r="DB53" s="54">
        <v>0</v>
      </c>
      <c r="DC53" s="54">
        <v>0</v>
      </c>
      <c r="DD53" s="54">
        <v>0</v>
      </c>
      <c r="DE53" s="54">
        <v>0</v>
      </c>
      <c r="DF53" s="54">
        <v>3811000</v>
      </c>
      <c r="DG53" s="54">
        <v>3811000</v>
      </c>
      <c r="DH53" s="54">
        <v>9284</v>
      </c>
      <c r="DI53" s="54">
        <v>0</v>
      </c>
      <c r="DJ53" s="54">
        <v>0</v>
      </c>
      <c r="DK53" s="54">
        <v>0</v>
      </c>
      <c r="DL53" s="54">
        <v>704921</v>
      </c>
      <c r="DM53" s="54">
        <v>714205</v>
      </c>
      <c r="DN53" s="54">
        <v>88545</v>
      </c>
      <c r="DO53" s="54">
        <v>0</v>
      </c>
      <c r="DP53" s="54">
        <v>0</v>
      </c>
      <c r="DQ53" s="54">
        <v>0</v>
      </c>
      <c r="DR53" s="54">
        <v>601177</v>
      </c>
      <c r="DS53" s="54">
        <v>689722</v>
      </c>
      <c r="DT53" s="54">
        <v>147057</v>
      </c>
      <c r="DU53" s="54">
        <v>97645</v>
      </c>
      <c r="DV53" s="54">
        <v>65335</v>
      </c>
      <c r="DW53" s="54">
        <v>459208</v>
      </c>
      <c r="DX53" s="54">
        <v>18009</v>
      </c>
      <c r="DY53" s="54">
        <v>787254</v>
      </c>
      <c r="DZ53" s="54">
        <v>0</v>
      </c>
      <c r="EA53" s="54">
        <v>0</v>
      </c>
      <c r="EB53" s="54">
        <v>0</v>
      </c>
      <c r="EC53" s="54">
        <v>0</v>
      </c>
      <c r="ED53" s="54">
        <v>281042</v>
      </c>
      <c r="EE53" s="54">
        <v>281042</v>
      </c>
      <c r="EF53" s="54">
        <v>440</v>
      </c>
      <c r="EG53" s="54">
        <v>33466</v>
      </c>
      <c r="EH53" s="54">
        <v>230</v>
      </c>
      <c r="EI53" s="54">
        <v>21242</v>
      </c>
      <c r="EJ53" s="54">
        <v>80122</v>
      </c>
      <c r="EK53" s="54">
        <v>135500</v>
      </c>
      <c r="EL53" s="54">
        <v>22575984</v>
      </c>
      <c r="EM53" s="54">
        <v>6914564</v>
      </c>
      <c r="EN53" s="54">
        <v>115982</v>
      </c>
      <c r="EO53" s="54">
        <v>1693013</v>
      </c>
      <c r="EP53" s="54">
        <v>27682226</v>
      </c>
      <c r="EQ53" s="54">
        <v>58981769</v>
      </c>
      <c r="ER53" s="54">
        <v>2112220</v>
      </c>
      <c r="ES53" s="54">
        <v>407101</v>
      </c>
      <c r="ET53" s="54">
        <v>443452</v>
      </c>
      <c r="EU53" s="54">
        <v>2995838</v>
      </c>
      <c r="EV53" s="54">
        <v>217083</v>
      </c>
      <c r="EW53" s="54">
        <v>6175694</v>
      </c>
      <c r="EX53" s="54">
        <v>513080</v>
      </c>
      <c r="EY53" s="54">
        <v>576454</v>
      </c>
      <c r="EZ53" s="54">
        <v>67678</v>
      </c>
      <c r="FA53" s="54">
        <v>69071</v>
      </c>
      <c r="FB53" s="54">
        <v>0</v>
      </c>
      <c r="FC53" s="54">
        <v>1226283</v>
      </c>
      <c r="FD53" s="54">
        <v>5031866</v>
      </c>
      <c r="FE53" s="54">
        <v>2062210</v>
      </c>
      <c r="FF53" s="54">
        <v>558351</v>
      </c>
      <c r="FG53" s="54">
        <v>2349844</v>
      </c>
      <c r="FH53" s="54">
        <v>0</v>
      </c>
      <c r="FI53" s="54">
        <v>10002271</v>
      </c>
      <c r="FJ53" s="54">
        <v>0</v>
      </c>
      <c r="FK53" s="54">
        <v>0</v>
      </c>
      <c r="FL53" s="54">
        <v>0</v>
      </c>
      <c r="FM53" s="54">
        <v>100000</v>
      </c>
      <c r="FN53" s="54">
        <v>0</v>
      </c>
      <c r="FO53" s="54">
        <v>100000</v>
      </c>
      <c r="FP53" s="54">
        <v>755201</v>
      </c>
      <c r="FQ53" s="54">
        <v>117250</v>
      </c>
      <c r="FR53" s="54">
        <v>93397</v>
      </c>
      <c r="FS53" s="54">
        <v>412381</v>
      </c>
      <c r="FT53" s="54">
        <v>4974593</v>
      </c>
      <c r="FU53" s="54">
        <v>6352822</v>
      </c>
      <c r="FV53" s="54">
        <v>0</v>
      </c>
      <c r="FW53" s="54">
        <v>0</v>
      </c>
      <c r="FX53" s="54">
        <v>0</v>
      </c>
      <c r="FY53" s="54">
        <v>0</v>
      </c>
      <c r="FZ53" s="54">
        <v>0</v>
      </c>
      <c r="GA53" s="54">
        <v>0</v>
      </c>
      <c r="GB53" s="54">
        <v>0</v>
      </c>
      <c r="GC53" s="54">
        <v>0</v>
      </c>
      <c r="GD53" s="54">
        <v>0</v>
      </c>
      <c r="GE53" s="54">
        <v>0</v>
      </c>
      <c r="GF53" s="54">
        <v>0</v>
      </c>
      <c r="GG53" s="54">
        <v>0</v>
      </c>
      <c r="GH53" s="54">
        <v>306469</v>
      </c>
      <c r="GI53" s="54">
        <v>85460</v>
      </c>
      <c r="GJ53" s="54">
        <v>90910</v>
      </c>
      <c r="GK53" s="54">
        <v>240380</v>
      </c>
      <c r="GL53" s="54">
        <v>0</v>
      </c>
      <c r="GM53" s="54">
        <v>723219</v>
      </c>
      <c r="GN53" s="54">
        <v>845888</v>
      </c>
      <c r="GO53" s="54">
        <v>414856</v>
      </c>
      <c r="GP53" s="54">
        <v>336186</v>
      </c>
      <c r="GQ53" s="54">
        <v>982270</v>
      </c>
      <c r="GR53" s="54">
        <v>0</v>
      </c>
      <c r="GS53" s="54">
        <v>2579200</v>
      </c>
      <c r="GT53" s="54">
        <v>485634</v>
      </c>
      <c r="GU53" s="54">
        <v>16547</v>
      </c>
      <c r="GV53" s="54">
        <v>39849</v>
      </c>
      <c r="GW53" s="54">
        <v>370572</v>
      </c>
      <c r="GX53" s="54">
        <v>31963</v>
      </c>
      <c r="GY53" s="54">
        <v>944565</v>
      </c>
      <c r="GZ53" s="54">
        <v>760668</v>
      </c>
      <c r="HA53" s="54">
        <v>234144</v>
      </c>
      <c r="HB53" s="54">
        <v>95656</v>
      </c>
      <c r="HC53" s="54">
        <v>221850</v>
      </c>
      <c r="HD53" s="54">
        <v>75364</v>
      </c>
      <c r="HE53" s="54">
        <v>1387682</v>
      </c>
      <c r="HF53" s="54">
        <v>0</v>
      </c>
      <c r="HG53" s="54">
        <v>0</v>
      </c>
      <c r="HH53" s="54">
        <v>0</v>
      </c>
      <c r="HI53" s="54">
        <v>0</v>
      </c>
      <c r="HJ53" s="54">
        <v>833832</v>
      </c>
      <c r="HK53" s="54">
        <v>833832</v>
      </c>
      <c r="HL53" s="54">
        <v>138371</v>
      </c>
      <c r="HM53" s="54">
        <v>76376</v>
      </c>
      <c r="HN53" s="54">
        <v>41604</v>
      </c>
      <c r="HO53" s="54">
        <v>183303</v>
      </c>
      <c r="HP53" s="54">
        <v>10373</v>
      </c>
      <c r="HQ53" s="54">
        <v>450027</v>
      </c>
      <c r="HR53" s="54">
        <v>183286</v>
      </c>
      <c r="HS53" s="54">
        <v>14042</v>
      </c>
      <c r="HT53" s="54">
        <v>12897</v>
      </c>
      <c r="HU53" s="54">
        <v>61855</v>
      </c>
      <c r="HV53" s="54">
        <v>15095498</v>
      </c>
      <c r="HW53" s="54">
        <v>15367578</v>
      </c>
      <c r="HX53" s="54">
        <v>0</v>
      </c>
      <c r="HY53" s="54">
        <v>0</v>
      </c>
      <c r="HZ53" s="54">
        <v>0</v>
      </c>
      <c r="IA53" s="54">
        <v>0</v>
      </c>
      <c r="IB53" s="54">
        <v>334259</v>
      </c>
      <c r="IC53" s="54">
        <v>334259</v>
      </c>
      <c r="ID53" s="54">
        <v>0</v>
      </c>
      <c r="IE53" s="54">
        <v>0</v>
      </c>
      <c r="IF53" s="54">
        <v>0</v>
      </c>
      <c r="IG53" s="54">
        <v>0</v>
      </c>
      <c r="IH53" s="54">
        <v>0</v>
      </c>
      <c r="II53" s="54">
        <v>0</v>
      </c>
      <c r="IJ53" s="54">
        <v>0</v>
      </c>
      <c r="IK53" s="54">
        <v>0</v>
      </c>
      <c r="IL53" s="54">
        <v>0</v>
      </c>
      <c r="IM53" s="54">
        <v>0</v>
      </c>
      <c r="IN53" s="54">
        <v>732531</v>
      </c>
      <c r="IO53" s="54">
        <v>732531</v>
      </c>
      <c r="IP53" s="54">
        <v>1390</v>
      </c>
      <c r="IQ53" s="54">
        <v>915</v>
      </c>
      <c r="IR53" s="54">
        <v>3365</v>
      </c>
      <c r="IS53" s="54">
        <v>12406</v>
      </c>
      <c r="IT53" s="54">
        <v>21347</v>
      </c>
      <c r="IU53" s="54">
        <v>39423</v>
      </c>
      <c r="IV53" s="54">
        <v>631951</v>
      </c>
      <c r="IW53" s="54">
        <v>54267</v>
      </c>
      <c r="IX53" s="54">
        <v>85511</v>
      </c>
      <c r="IY53" s="54">
        <v>355509</v>
      </c>
      <c r="IZ53" s="54">
        <v>3212119</v>
      </c>
      <c r="JA53" s="54">
        <v>4339357</v>
      </c>
      <c r="JB53" s="54">
        <v>11766024</v>
      </c>
      <c r="JC53" s="54">
        <v>4059622</v>
      </c>
      <c r="JD53" s="54">
        <v>1868856</v>
      </c>
      <c r="JE53" s="54">
        <v>8355279</v>
      </c>
      <c r="JF53" s="54">
        <v>25538962</v>
      </c>
      <c r="JG53" s="54">
        <v>51588743</v>
      </c>
      <c r="JH53" s="54">
        <v>0</v>
      </c>
      <c r="JI53" s="54">
        <v>0</v>
      </c>
      <c r="JJ53" s="54">
        <v>0</v>
      </c>
      <c r="JK53" s="54">
        <v>0</v>
      </c>
      <c r="JL53" s="54">
        <v>1000000</v>
      </c>
      <c r="JM53" s="54">
        <v>1000000</v>
      </c>
      <c r="JN53" s="54">
        <v>11766024</v>
      </c>
      <c r="JO53" s="54">
        <v>4059622</v>
      </c>
      <c r="JP53" s="54">
        <v>1868856</v>
      </c>
      <c r="JQ53" s="54">
        <v>8355279</v>
      </c>
      <c r="JR53" s="54">
        <v>26538962</v>
      </c>
      <c r="JS53" s="54">
        <v>52588743</v>
      </c>
      <c r="JU53" s="5">
        <f t="shared" si="80"/>
        <v>10358803</v>
      </c>
      <c r="JV53" s="26">
        <f t="shared" si="81"/>
        <v>0</v>
      </c>
      <c r="JW53" s="5">
        <f t="shared" si="82"/>
        <v>4000000</v>
      </c>
      <c r="JX53" s="26">
        <f t="shared" si="83"/>
        <v>0</v>
      </c>
      <c r="JY53" s="5">
        <f t="shared" si="84"/>
        <v>393208</v>
      </c>
      <c r="JZ53" s="26">
        <f t="shared" si="85"/>
        <v>0</v>
      </c>
      <c r="KA53" s="5">
        <f t="shared" si="86"/>
        <v>16332138</v>
      </c>
      <c r="KB53" s="26">
        <f t="shared" si="87"/>
        <v>0</v>
      </c>
      <c r="KC53" s="5">
        <f t="shared" si="88"/>
        <v>100000</v>
      </c>
      <c r="KD53" s="26">
        <f t="shared" si="89"/>
        <v>0</v>
      </c>
      <c r="KE53" s="5">
        <f t="shared" si="90"/>
        <v>0</v>
      </c>
      <c r="KF53" s="26">
        <f t="shared" si="91"/>
        <v>0</v>
      </c>
      <c r="KG53" s="5">
        <f t="shared" si="92"/>
        <v>819653</v>
      </c>
      <c r="KH53" s="26">
        <f t="shared" si="93"/>
        <v>0</v>
      </c>
      <c r="KI53" s="5">
        <f t="shared" si="94"/>
        <v>0</v>
      </c>
      <c r="KJ53" s="26">
        <f t="shared" si="95"/>
        <v>0</v>
      </c>
      <c r="KK53" s="5">
        <f t="shared" si="96"/>
        <v>20559244</v>
      </c>
      <c r="KL53" s="26">
        <f t="shared" si="97"/>
        <v>0</v>
      </c>
      <c r="KM53" s="5">
        <f t="shared" si="98"/>
        <v>3811000</v>
      </c>
      <c r="KN53" s="26">
        <f t="shared" si="99"/>
        <v>0</v>
      </c>
      <c r="KO53" s="5">
        <f t="shared" si="100"/>
        <v>714205</v>
      </c>
      <c r="KP53" s="26">
        <f t="shared" si="101"/>
        <v>0</v>
      </c>
      <c r="KQ53" s="5">
        <f t="shared" si="102"/>
        <v>689722</v>
      </c>
      <c r="KR53" s="26">
        <f t="shared" si="103"/>
        <v>0</v>
      </c>
      <c r="KS53" s="5">
        <f t="shared" si="104"/>
        <v>787254</v>
      </c>
      <c r="KT53" s="26">
        <f t="shared" si="105"/>
        <v>0</v>
      </c>
      <c r="KU53" s="5">
        <f t="shared" si="106"/>
        <v>281042</v>
      </c>
      <c r="KV53" s="26">
        <f t="shared" si="107"/>
        <v>0</v>
      </c>
      <c r="KW53" s="5">
        <f t="shared" si="108"/>
        <v>135500</v>
      </c>
      <c r="KX53" s="26">
        <f t="shared" si="109"/>
        <v>0</v>
      </c>
      <c r="KY53" s="5">
        <f t="shared" si="110"/>
        <v>58981769</v>
      </c>
      <c r="KZ53" s="26">
        <f t="shared" si="111"/>
        <v>0</v>
      </c>
      <c r="LA53" s="5">
        <f t="shared" si="112"/>
        <v>6175694</v>
      </c>
      <c r="LB53" s="26">
        <f t="shared" si="113"/>
        <v>0</v>
      </c>
      <c r="LC53" s="5">
        <f t="shared" si="114"/>
        <v>1226283</v>
      </c>
      <c r="LD53" s="26">
        <f t="shared" si="115"/>
        <v>0</v>
      </c>
      <c r="LE53" s="5">
        <f t="shared" si="116"/>
        <v>10002271</v>
      </c>
      <c r="LF53" s="26">
        <f t="shared" si="117"/>
        <v>0</v>
      </c>
      <c r="LG53" s="5">
        <f t="shared" si="118"/>
        <v>100000</v>
      </c>
      <c r="LH53" s="26">
        <f t="shared" si="119"/>
        <v>0</v>
      </c>
      <c r="LI53" s="5">
        <f t="shared" si="120"/>
        <v>6352822</v>
      </c>
      <c r="LJ53" s="26">
        <f t="shared" si="121"/>
        <v>0</v>
      </c>
      <c r="LK53" s="5">
        <f t="shared" si="122"/>
        <v>0</v>
      </c>
      <c r="LL53" s="26">
        <f t="shared" si="123"/>
        <v>0</v>
      </c>
      <c r="LM53" s="5">
        <f t="shared" si="124"/>
        <v>0</v>
      </c>
      <c r="LN53" s="26">
        <f t="shared" si="125"/>
        <v>0</v>
      </c>
      <c r="LO53" s="5">
        <f t="shared" si="126"/>
        <v>723219</v>
      </c>
      <c r="LP53" s="26">
        <f t="shared" si="127"/>
        <v>0</v>
      </c>
      <c r="LQ53" s="5">
        <f t="shared" si="128"/>
        <v>2579200</v>
      </c>
      <c r="LR53" s="26">
        <f t="shared" si="129"/>
        <v>0</v>
      </c>
      <c r="LS53" s="5">
        <f t="shared" si="130"/>
        <v>944565</v>
      </c>
      <c r="LT53" s="26">
        <f t="shared" si="131"/>
        <v>0</v>
      </c>
      <c r="LU53" s="5">
        <f t="shared" si="132"/>
        <v>1387682</v>
      </c>
      <c r="LV53" s="26">
        <f t="shared" si="133"/>
        <v>0</v>
      </c>
      <c r="LW53" s="5">
        <f t="shared" si="134"/>
        <v>833832</v>
      </c>
      <c r="LX53" s="26">
        <f t="shared" si="135"/>
        <v>0</v>
      </c>
      <c r="LY53" s="5">
        <f t="shared" si="136"/>
        <v>450027</v>
      </c>
      <c r="LZ53" s="26">
        <f t="shared" si="137"/>
        <v>0</v>
      </c>
      <c r="MA53" s="5">
        <f t="shared" si="138"/>
        <v>15367578</v>
      </c>
      <c r="MB53" s="26">
        <f t="shared" si="139"/>
        <v>0</v>
      </c>
      <c r="MC53" s="5">
        <f t="shared" si="140"/>
        <v>334259</v>
      </c>
      <c r="MD53" s="26">
        <f t="shared" si="141"/>
        <v>0</v>
      </c>
      <c r="ME53" s="5">
        <f t="shared" si="142"/>
        <v>0</v>
      </c>
      <c r="MF53" s="26">
        <f t="shared" si="143"/>
        <v>0</v>
      </c>
      <c r="MG53" s="5">
        <f t="shared" si="144"/>
        <v>732531</v>
      </c>
      <c r="MH53" s="26">
        <f t="shared" si="145"/>
        <v>0</v>
      </c>
      <c r="MI53" s="5">
        <f t="shared" si="146"/>
        <v>39423</v>
      </c>
      <c r="MJ53" s="26">
        <f t="shared" si="147"/>
        <v>0</v>
      </c>
      <c r="MK53" s="5">
        <f t="shared" si="148"/>
        <v>4339357</v>
      </c>
      <c r="ML53" s="26">
        <f t="shared" si="149"/>
        <v>0</v>
      </c>
      <c r="MM53" s="5">
        <f t="shared" si="150"/>
        <v>51588743</v>
      </c>
      <c r="MN53" s="26">
        <f t="shared" si="151"/>
        <v>0</v>
      </c>
      <c r="MO53" s="5">
        <f t="shared" si="152"/>
        <v>1000000</v>
      </c>
      <c r="MP53" s="26">
        <f t="shared" si="153"/>
        <v>0</v>
      </c>
      <c r="MQ53" s="5">
        <f t="shared" si="154"/>
        <v>52588743</v>
      </c>
      <c r="MR53" s="26">
        <f t="shared" si="155"/>
        <v>0</v>
      </c>
      <c r="MT53" s="5">
        <f t="shared" si="76"/>
        <v>0</v>
      </c>
      <c r="MV53" s="4">
        <f t="shared" si="77"/>
        <v>0</v>
      </c>
    </row>
    <row r="54" spans="1:367" x14ac:dyDescent="0.15">
      <c r="A54" s="99" t="s">
        <v>322</v>
      </c>
      <c r="B54" s="25" t="s">
        <v>481</v>
      </c>
      <c r="C54" s="109">
        <v>178396</v>
      </c>
      <c r="D54" s="105">
        <v>2011</v>
      </c>
      <c r="E54" s="106">
        <v>1</v>
      </c>
      <c r="F54" s="107">
        <v>5</v>
      </c>
      <c r="G54" s="107">
        <v>11199</v>
      </c>
      <c r="H54" s="107">
        <v>12170</v>
      </c>
      <c r="I54" s="108">
        <v>1160825118</v>
      </c>
      <c r="J54" s="108"/>
      <c r="K54" s="108">
        <v>3117987</v>
      </c>
      <c r="L54" s="108"/>
      <c r="M54" s="108">
        <v>88234000</v>
      </c>
      <c r="N54" s="108"/>
      <c r="O54" s="108">
        <v>26880554</v>
      </c>
      <c r="P54" s="108"/>
      <c r="Q54" s="108">
        <v>657436929</v>
      </c>
      <c r="R54" s="108"/>
      <c r="S54" s="108"/>
      <c r="T54" s="108"/>
      <c r="U54" s="108">
        <v>16992</v>
      </c>
      <c r="V54" s="108"/>
      <c r="W54" s="108">
        <v>28206</v>
      </c>
      <c r="X54" s="108"/>
      <c r="Y54" s="108">
        <v>21280</v>
      </c>
      <c r="Z54" s="108"/>
      <c r="AA54" s="108">
        <v>32470</v>
      </c>
      <c r="AB54" s="108"/>
      <c r="AC54" s="130">
        <v>9</v>
      </c>
      <c r="AD54" s="130">
        <v>11</v>
      </c>
      <c r="AE54" s="130">
        <v>0</v>
      </c>
      <c r="AF54" s="26">
        <v>4111316</v>
      </c>
      <c r="AG54" s="26">
        <v>3394654</v>
      </c>
      <c r="AH54" s="26">
        <v>621949</v>
      </c>
      <c r="AI54" s="26">
        <v>239910</v>
      </c>
      <c r="AJ54" s="26">
        <v>1078125.3999999999</v>
      </c>
      <c r="AK54" s="36">
        <v>5</v>
      </c>
      <c r="AL54" s="26">
        <v>770089.57142857148</v>
      </c>
      <c r="AM54" s="36">
        <v>7</v>
      </c>
      <c r="AN54" s="26">
        <v>166039.875</v>
      </c>
      <c r="AO54" s="36">
        <v>8</v>
      </c>
      <c r="AP54" s="26">
        <v>147591</v>
      </c>
      <c r="AQ54" s="36">
        <v>9</v>
      </c>
      <c r="AR54" s="26">
        <v>207250.14285714287</v>
      </c>
      <c r="AS54" s="36">
        <v>21</v>
      </c>
      <c r="AT54" s="26">
        <v>167394.34615384616</v>
      </c>
      <c r="AU54" s="36">
        <v>26</v>
      </c>
      <c r="AV54" s="26">
        <v>80029.76470588235</v>
      </c>
      <c r="AW54" s="36">
        <v>17</v>
      </c>
      <c r="AX54" s="26">
        <v>59152.434782608696</v>
      </c>
      <c r="AY54" s="36">
        <v>23</v>
      </c>
      <c r="AZ54" s="54">
        <v>12842594</v>
      </c>
      <c r="BA54" s="54">
        <v>4862044</v>
      </c>
      <c r="BB54" s="54">
        <v>32948</v>
      </c>
      <c r="BC54" s="54">
        <v>151363</v>
      </c>
      <c r="BD54" s="54">
        <v>2704120</v>
      </c>
      <c r="BE54" s="54">
        <v>20593069</v>
      </c>
      <c r="BF54" s="54">
        <v>0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  <c r="BL54" s="54">
        <v>0</v>
      </c>
      <c r="BM54" s="54">
        <v>200000</v>
      </c>
      <c r="BN54" s="54">
        <v>0</v>
      </c>
      <c r="BO54" s="54">
        <v>11600</v>
      </c>
      <c r="BP54" s="54">
        <v>0</v>
      </c>
      <c r="BQ54" s="54">
        <v>211600</v>
      </c>
      <c r="BR54" s="54">
        <v>1865387</v>
      </c>
      <c r="BS54" s="54">
        <v>805350</v>
      </c>
      <c r="BT54" s="54">
        <v>73120</v>
      </c>
      <c r="BU54" s="54">
        <v>56465</v>
      </c>
      <c r="BV54" s="54">
        <v>11695449</v>
      </c>
      <c r="BW54" s="54">
        <v>14495771</v>
      </c>
      <c r="BX54" s="54">
        <v>0</v>
      </c>
      <c r="BY54" s="54">
        <v>0</v>
      </c>
      <c r="BZ54" s="54">
        <v>0</v>
      </c>
      <c r="CA54" s="54">
        <v>0</v>
      </c>
      <c r="CB54" s="54">
        <v>0</v>
      </c>
      <c r="CC54" s="54">
        <v>0</v>
      </c>
      <c r="CD54" s="54">
        <v>0</v>
      </c>
      <c r="CE54" s="54">
        <v>0</v>
      </c>
      <c r="CF54" s="54">
        <v>0</v>
      </c>
      <c r="CG54" s="54">
        <v>0</v>
      </c>
      <c r="CH54" s="54">
        <v>0</v>
      </c>
      <c r="CI54" s="54">
        <v>0</v>
      </c>
      <c r="CJ54" s="54">
        <v>0</v>
      </c>
      <c r="CK54" s="54">
        <v>0</v>
      </c>
      <c r="CL54" s="54">
        <v>0</v>
      </c>
      <c r="CM54" s="54">
        <v>0</v>
      </c>
      <c r="CN54" s="54">
        <v>2681641</v>
      </c>
      <c r="CO54" s="54">
        <v>2681641</v>
      </c>
      <c r="CP54" s="54">
        <v>0</v>
      </c>
      <c r="CQ54" s="54">
        <v>0</v>
      </c>
      <c r="CR54" s="54">
        <v>0</v>
      </c>
      <c r="CS54" s="54">
        <v>0</v>
      </c>
      <c r="CT54" s="54">
        <v>0</v>
      </c>
      <c r="CU54" s="54">
        <v>0</v>
      </c>
      <c r="CV54" s="54">
        <v>8396324</v>
      </c>
      <c r="CW54" s="54">
        <v>3328382</v>
      </c>
      <c r="CX54" s="54">
        <v>0</v>
      </c>
      <c r="CY54" s="54">
        <v>30568</v>
      </c>
      <c r="CZ54" s="54">
        <v>1007290</v>
      </c>
      <c r="DA54" s="54">
        <v>12762564</v>
      </c>
      <c r="DB54" s="54">
        <v>0</v>
      </c>
      <c r="DC54" s="54">
        <v>0</v>
      </c>
      <c r="DD54" s="54">
        <v>0</v>
      </c>
      <c r="DE54" s="54">
        <v>0</v>
      </c>
      <c r="DF54" s="54">
        <v>4031216</v>
      </c>
      <c r="DG54" s="54">
        <v>4031216</v>
      </c>
      <c r="DH54" s="54">
        <v>1281054</v>
      </c>
      <c r="DI54" s="54">
        <v>388412</v>
      </c>
      <c r="DJ54" s="54">
        <v>8091</v>
      </c>
      <c r="DK54" s="54">
        <v>18650</v>
      </c>
      <c r="DL54" s="54">
        <v>776664</v>
      </c>
      <c r="DM54" s="54">
        <v>2472871</v>
      </c>
      <c r="DN54" s="54">
        <v>0</v>
      </c>
      <c r="DO54" s="54">
        <v>0</v>
      </c>
      <c r="DP54" s="54">
        <v>0</v>
      </c>
      <c r="DQ54" s="54">
        <v>0</v>
      </c>
      <c r="DR54" s="54">
        <v>1787938</v>
      </c>
      <c r="DS54" s="54">
        <v>1787938</v>
      </c>
      <c r="DT54" s="54">
        <v>302231</v>
      </c>
      <c r="DU54" s="54">
        <v>369661</v>
      </c>
      <c r="DV54" s="54">
        <v>104134</v>
      </c>
      <c r="DW54" s="54">
        <v>622004</v>
      </c>
      <c r="DX54" s="54">
        <v>2465</v>
      </c>
      <c r="DY54" s="54">
        <v>1400495</v>
      </c>
      <c r="DZ54" s="54">
        <v>0</v>
      </c>
      <c r="EA54" s="54">
        <v>0</v>
      </c>
      <c r="EB54" s="54">
        <v>0</v>
      </c>
      <c r="EC54" s="54">
        <v>0</v>
      </c>
      <c r="ED54" s="54">
        <v>1684554</v>
      </c>
      <c r="EE54" s="54">
        <v>1684554</v>
      </c>
      <c r="EF54" s="54">
        <v>5680</v>
      </c>
      <c r="EG54" s="54">
        <v>1130361</v>
      </c>
      <c r="EH54" s="54">
        <v>10588</v>
      </c>
      <c r="EI54" s="54">
        <v>92679</v>
      </c>
      <c r="EJ54" s="54">
        <v>785503</v>
      </c>
      <c r="EK54" s="54">
        <v>2024811</v>
      </c>
      <c r="EL54" s="54">
        <v>24693270</v>
      </c>
      <c r="EM54" s="54">
        <v>11084210</v>
      </c>
      <c r="EN54" s="54">
        <v>228881</v>
      </c>
      <c r="EO54" s="54">
        <v>983329</v>
      </c>
      <c r="EP54" s="54">
        <v>27156840</v>
      </c>
      <c r="EQ54" s="54">
        <v>64146530</v>
      </c>
      <c r="ER54" s="54">
        <v>2413230</v>
      </c>
      <c r="ES54" s="54">
        <v>356179</v>
      </c>
      <c r="ET54" s="54">
        <v>452990</v>
      </c>
      <c r="EU54" s="54">
        <v>4283571</v>
      </c>
      <c r="EV54" s="54">
        <v>162228</v>
      </c>
      <c r="EW54" s="54">
        <v>7668198</v>
      </c>
      <c r="EX54" s="54">
        <v>1010000</v>
      </c>
      <c r="EY54" s="54">
        <v>662500</v>
      </c>
      <c r="EZ54" s="54">
        <v>99000</v>
      </c>
      <c r="FA54" s="54">
        <v>37549</v>
      </c>
      <c r="FB54" s="54">
        <v>1903653</v>
      </c>
      <c r="FC54" s="54">
        <v>3712702</v>
      </c>
      <c r="FD54" s="54">
        <v>6189427</v>
      </c>
      <c r="FE54" s="54">
        <v>2312560</v>
      </c>
      <c r="FF54" s="54">
        <v>915994</v>
      </c>
      <c r="FG54" s="54">
        <v>3013724</v>
      </c>
      <c r="FH54" s="54">
        <v>0</v>
      </c>
      <c r="FI54" s="54">
        <v>12431705</v>
      </c>
      <c r="FJ54" s="54">
        <v>0</v>
      </c>
      <c r="FK54" s="54">
        <v>0</v>
      </c>
      <c r="FL54" s="54">
        <v>0</v>
      </c>
      <c r="FM54" s="54">
        <v>0</v>
      </c>
      <c r="FN54" s="54">
        <v>0</v>
      </c>
      <c r="FO54" s="54">
        <v>0</v>
      </c>
      <c r="FP54" s="54">
        <v>315778</v>
      </c>
      <c r="FQ54" s="54">
        <v>383199</v>
      </c>
      <c r="FR54" s="54">
        <v>161873</v>
      </c>
      <c r="FS54" s="54">
        <v>401770</v>
      </c>
      <c r="FT54" s="54">
        <v>10537049</v>
      </c>
      <c r="FU54" s="54">
        <v>11799669</v>
      </c>
      <c r="FV54" s="54">
        <v>0</v>
      </c>
      <c r="FW54" s="54">
        <v>0</v>
      </c>
      <c r="FX54" s="54">
        <v>0</v>
      </c>
      <c r="FY54" s="54">
        <v>0</v>
      </c>
      <c r="FZ54" s="54">
        <v>0</v>
      </c>
      <c r="GA54" s="54">
        <v>0</v>
      </c>
      <c r="GB54" s="54">
        <v>0</v>
      </c>
      <c r="GC54" s="54">
        <v>0</v>
      </c>
      <c r="GD54" s="54">
        <v>0</v>
      </c>
      <c r="GE54" s="54">
        <v>0</v>
      </c>
      <c r="GF54" s="54">
        <v>0</v>
      </c>
      <c r="GG54" s="54">
        <v>0</v>
      </c>
      <c r="GH54" s="54">
        <v>363545</v>
      </c>
      <c r="GI54" s="54">
        <v>147977</v>
      </c>
      <c r="GJ54" s="54">
        <v>62664</v>
      </c>
      <c r="GK54" s="54">
        <v>287673</v>
      </c>
      <c r="GL54" s="54">
        <v>0</v>
      </c>
      <c r="GM54" s="54">
        <v>861859</v>
      </c>
      <c r="GN54" s="54">
        <v>1733089</v>
      </c>
      <c r="GO54" s="54">
        <v>631201</v>
      </c>
      <c r="GP54" s="54">
        <v>374479</v>
      </c>
      <c r="GQ54" s="54">
        <v>1531793</v>
      </c>
      <c r="GR54" s="54">
        <v>39915</v>
      </c>
      <c r="GS54" s="54">
        <v>4310477</v>
      </c>
      <c r="GT54" s="54">
        <v>491265</v>
      </c>
      <c r="GU54" s="54">
        <v>165590</v>
      </c>
      <c r="GV54" s="54">
        <v>50467</v>
      </c>
      <c r="GW54" s="54">
        <v>499241</v>
      </c>
      <c r="GX54" s="54">
        <v>978341</v>
      </c>
      <c r="GY54" s="54">
        <v>2184904</v>
      </c>
      <c r="GZ54" s="54">
        <v>607870</v>
      </c>
      <c r="HA54" s="54">
        <v>295168</v>
      </c>
      <c r="HB54" s="54">
        <v>34261</v>
      </c>
      <c r="HC54" s="54">
        <v>195376</v>
      </c>
      <c r="HD54" s="54">
        <v>809490</v>
      </c>
      <c r="HE54" s="54">
        <v>1942165</v>
      </c>
      <c r="HF54" s="54">
        <v>288</v>
      </c>
      <c r="HG54" s="54">
        <v>45</v>
      </c>
      <c r="HH54" s="54">
        <v>3445</v>
      </c>
      <c r="HI54" s="54">
        <v>25684</v>
      </c>
      <c r="HJ54" s="54">
        <v>718498</v>
      </c>
      <c r="HK54" s="54">
        <v>747960</v>
      </c>
      <c r="HL54" s="54">
        <v>124703</v>
      </c>
      <c r="HM54" s="54">
        <v>260570</v>
      </c>
      <c r="HN54" s="54">
        <v>51731</v>
      </c>
      <c r="HO54" s="54">
        <v>195397</v>
      </c>
      <c r="HP54" s="54">
        <v>0</v>
      </c>
      <c r="HQ54" s="54">
        <v>632401</v>
      </c>
      <c r="HR54" s="54">
        <v>733769</v>
      </c>
      <c r="HS54" s="54">
        <v>1580</v>
      </c>
      <c r="HT54" s="54">
        <v>28911</v>
      </c>
      <c r="HU54" s="54">
        <v>20256</v>
      </c>
      <c r="HV54" s="54">
        <v>10194918</v>
      </c>
      <c r="HW54" s="54">
        <v>10979434</v>
      </c>
      <c r="HX54" s="54">
        <v>51639</v>
      </c>
      <c r="HY54" s="54">
        <v>3227</v>
      </c>
      <c r="HZ54" s="54">
        <v>0</v>
      </c>
      <c r="IA54" s="54">
        <v>0</v>
      </c>
      <c r="IB54" s="54">
        <v>218404</v>
      </c>
      <c r="IC54" s="54">
        <v>273270</v>
      </c>
      <c r="ID54" s="54">
        <v>0</v>
      </c>
      <c r="IE54" s="54">
        <v>0</v>
      </c>
      <c r="IF54" s="54">
        <v>0</v>
      </c>
      <c r="IG54" s="54">
        <v>0</v>
      </c>
      <c r="IH54" s="54">
        <v>0</v>
      </c>
      <c r="II54" s="54">
        <v>0</v>
      </c>
      <c r="IJ54" s="54">
        <v>0</v>
      </c>
      <c r="IK54" s="54">
        <v>0</v>
      </c>
      <c r="IL54" s="54">
        <v>0</v>
      </c>
      <c r="IM54" s="54">
        <v>0</v>
      </c>
      <c r="IN54" s="54">
        <v>920642</v>
      </c>
      <c r="IO54" s="54">
        <v>920642</v>
      </c>
      <c r="IP54" s="54">
        <v>1181</v>
      </c>
      <c r="IQ54" s="54">
        <v>1315</v>
      </c>
      <c r="IR54" s="54">
        <v>812</v>
      </c>
      <c r="IS54" s="54">
        <v>8253</v>
      </c>
      <c r="IT54" s="54">
        <v>34527</v>
      </c>
      <c r="IU54" s="54">
        <v>46088</v>
      </c>
      <c r="IV54" s="54">
        <v>948021</v>
      </c>
      <c r="IW54" s="54">
        <v>171289</v>
      </c>
      <c r="IX54" s="54">
        <v>54653</v>
      </c>
      <c r="IY54" s="54">
        <v>272867</v>
      </c>
      <c r="IZ54" s="54">
        <v>4202054</v>
      </c>
      <c r="JA54" s="54">
        <v>5648884</v>
      </c>
      <c r="JB54" s="54">
        <v>14983805</v>
      </c>
      <c r="JC54" s="54">
        <v>5392400</v>
      </c>
      <c r="JD54" s="54">
        <v>2291280</v>
      </c>
      <c r="JE54" s="54">
        <v>10773154</v>
      </c>
      <c r="JF54" s="54">
        <v>30719719</v>
      </c>
      <c r="JG54" s="54">
        <v>64160358</v>
      </c>
      <c r="JH54" s="54">
        <v>0</v>
      </c>
      <c r="JI54" s="54">
        <v>0</v>
      </c>
      <c r="JJ54" s="54">
        <v>0</v>
      </c>
      <c r="JK54" s="54">
        <v>0</v>
      </c>
      <c r="JL54" s="54">
        <v>1279667</v>
      </c>
      <c r="JM54" s="54">
        <v>1279667</v>
      </c>
      <c r="JN54" s="54">
        <v>14983805</v>
      </c>
      <c r="JO54" s="54">
        <v>5392400</v>
      </c>
      <c r="JP54" s="54">
        <v>2291280</v>
      </c>
      <c r="JQ54" s="54">
        <v>10773154</v>
      </c>
      <c r="JR54" s="54">
        <v>31999386</v>
      </c>
      <c r="JS54" s="54">
        <v>65440025</v>
      </c>
      <c r="JU54" s="5">
        <f t="shared" si="80"/>
        <v>20593069</v>
      </c>
      <c r="JV54" s="26">
        <f t="shared" si="81"/>
        <v>0</v>
      </c>
      <c r="JW54" s="5">
        <f t="shared" si="82"/>
        <v>0</v>
      </c>
      <c r="JX54" s="26">
        <f t="shared" si="83"/>
        <v>0</v>
      </c>
      <c r="JY54" s="5">
        <f t="shared" si="84"/>
        <v>211600</v>
      </c>
      <c r="JZ54" s="26">
        <f t="shared" si="85"/>
        <v>0</v>
      </c>
      <c r="KA54" s="5">
        <f t="shared" si="86"/>
        <v>14495771</v>
      </c>
      <c r="KB54" s="26">
        <f t="shared" si="87"/>
        <v>0</v>
      </c>
      <c r="KC54" s="5">
        <f t="shared" si="88"/>
        <v>0</v>
      </c>
      <c r="KD54" s="26">
        <f t="shared" si="89"/>
        <v>0</v>
      </c>
      <c r="KE54" s="5">
        <f t="shared" si="90"/>
        <v>0</v>
      </c>
      <c r="KF54" s="26">
        <f t="shared" si="91"/>
        <v>0</v>
      </c>
      <c r="KG54" s="5">
        <f t="shared" si="92"/>
        <v>2681641</v>
      </c>
      <c r="KH54" s="26">
        <f t="shared" si="93"/>
        <v>0</v>
      </c>
      <c r="KI54" s="5">
        <f t="shared" si="94"/>
        <v>0</v>
      </c>
      <c r="KJ54" s="26">
        <f t="shared" si="95"/>
        <v>0</v>
      </c>
      <c r="KK54" s="5">
        <f t="shared" si="96"/>
        <v>12762564</v>
      </c>
      <c r="KL54" s="26">
        <f t="shared" si="97"/>
        <v>0</v>
      </c>
      <c r="KM54" s="5">
        <f t="shared" si="98"/>
        <v>4031216</v>
      </c>
      <c r="KN54" s="26">
        <f t="shared" si="99"/>
        <v>0</v>
      </c>
      <c r="KO54" s="5">
        <f t="shared" si="100"/>
        <v>2472871</v>
      </c>
      <c r="KP54" s="26">
        <f t="shared" si="101"/>
        <v>0</v>
      </c>
      <c r="KQ54" s="5">
        <f t="shared" si="102"/>
        <v>1787938</v>
      </c>
      <c r="KR54" s="26">
        <f t="shared" si="103"/>
        <v>0</v>
      </c>
      <c r="KS54" s="5">
        <f t="shared" si="104"/>
        <v>1400495</v>
      </c>
      <c r="KT54" s="26">
        <f t="shared" si="105"/>
        <v>0</v>
      </c>
      <c r="KU54" s="5">
        <f t="shared" si="106"/>
        <v>1684554</v>
      </c>
      <c r="KV54" s="26">
        <f t="shared" si="107"/>
        <v>0</v>
      </c>
      <c r="KW54" s="5">
        <f t="shared" si="108"/>
        <v>2024811</v>
      </c>
      <c r="KX54" s="26">
        <f t="shared" si="109"/>
        <v>0</v>
      </c>
      <c r="KY54" s="5">
        <f t="shared" si="110"/>
        <v>64146530</v>
      </c>
      <c r="KZ54" s="26">
        <f t="shared" si="111"/>
        <v>0</v>
      </c>
      <c r="LA54" s="5">
        <f t="shared" si="112"/>
        <v>7668198</v>
      </c>
      <c r="LB54" s="26">
        <f t="shared" si="113"/>
        <v>0</v>
      </c>
      <c r="LC54" s="5">
        <f t="shared" si="114"/>
        <v>3712702</v>
      </c>
      <c r="LD54" s="26">
        <f t="shared" si="115"/>
        <v>0</v>
      </c>
      <c r="LE54" s="5">
        <f t="shared" si="116"/>
        <v>12431705</v>
      </c>
      <c r="LF54" s="26">
        <f t="shared" si="117"/>
        <v>0</v>
      </c>
      <c r="LG54" s="5">
        <f t="shared" si="118"/>
        <v>0</v>
      </c>
      <c r="LH54" s="26">
        <f t="shared" si="119"/>
        <v>0</v>
      </c>
      <c r="LI54" s="5">
        <f t="shared" si="120"/>
        <v>11799669</v>
      </c>
      <c r="LJ54" s="26">
        <f t="shared" si="121"/>
        <v>0</v>
      </c>
      <c r="LK54" s="5">
        <f t="shared" si="122"/>
        <v>0</v>
      </c>
      <c r="LL54" s="26">
        <f t="shared" si="123"/>
        <v>0</v>
      </c>
      <c r="LM54" s="5">
        <f t="shared" si="124"/>
        <v>0</v>
      </c>
      <c r="LN54" s="26">
        <f t="shared" si="125"/>
        <v>0</v>
      </c>
      <c r="LO54" s="5">
        <f t="shared" si="126"/>
        <v>861859</v>
      </c>
      <c r="LP54" s="26">
        <f t="shared" si="127"/>
        <v>0</v>
      </c>
      <c r="LQ54" s="5">
        <f t="shared" si="128"/>
        <v>4310477</v>
      </c>
      <c r="LR54" s="26">
        <f t="shared" si="129"/>
        <v>0</v>
      </c>
      <c r="LS54" s="5">
        <f t="shared" si="130"/>
        <v>2184904</v>
      </c>
      <c r="LT54" s="26">
        <f t="shared" si="131"/>
        <v>0</v>
      </c>
      <c r="LU54" s="5">
        <f t="shared" si="132"/>
        <v>1942165</v>
      </c>
      <c r="LV54" s="26">
        <f t="shared" si="133"/>
        <v>0</v>
      </c>
      <c r="LW54" s="5">
        <f t="shared" si="134"/>
        <v>747960</v>
      </c>
      <c r="LX54" s="26">
        <f t="shared" si="135"/>
        <v>0</v>
      </c>
      <c r="LY54" s="5">
        <f t="shared" si="136"/>
        <v>632401</v>
      </c>
      <c r="LZ54" s="26">
        <f t="shared" si="137"/>
        <v>0</v>
      </c>
      <c r="MA54" s="5">
        <f t="shared" si="138"/>
        <v>10979434</v>
      </c>
      <c r="MB54" s="26">
        <f t="shared" si="139"/>
        <v>0</v>
      </c>
      <c r="MC54" s="5">
        <f t="shared" si="140"/>
        <v>273270</v>
      </c>
      <c r="MD54" s="26">
        <f t="shared" si="141"/>
        <v>0</v>
      </c>
      <c r="ME54" s="5">
        <f t="shared" si="142"/>
        <v>0</v>
      </c>
      <c r="MF54" s="26">
        <f t="shared" si="143"/>
        <v>0</v>
      </c>
      <c r="MG54" s="5">
        <f t="shared" si="144"/>
        <v>920642</v>
      </c>
      <c r="MH54" s="26">
        <f t="shared" si="145"/>
        <v>0</v>
      </c>
      <c r="MI54" s="5">
        <f t="shared" si="146"/>
        <v>46088</v>
      </c>
      <c r="MJ54" s="26">
        <f t="shared" si="147"/>
        <v>0</v>
      </c>
      <c r="MK54" s="5">
        <f t="shared" si="148"/>
        <v>5648884</v>
      </c>
      <c r="ML54" s="26">
        <f t="shared" si="149"/>
        <v>0</v>
      </c>
      <c r="MM54" s="5">
        <f t="shared" si="150"/>
        <v>64160358</v>
      </c>
      <c r="MN54" s="26">
        <f t="shared" si="151"/>
        <v>0</v>
      </c>
      <c r="MO54" s="5">
        <f t="shared" si="152"/>
        <v>1279667</v>
      </c>
      <c r="MP54" s="26">
        <f t="shared" si="153"/>
        <v>0</v>
      </c>
      <c r="MQ54" s="5">
        <f t="shared" si="154"/>
        <v>65440025</v>
      </c>
      <c r="MR54" s="26">
        <f t="shared" si="155"/>
        <v>0</v>
      </c>
      <c r="MT54" s="5">
        <f t="shared" si="76"/>
        <v>0</v>
      </c>
      <c r="MV54" s="4">
        <f t="shared" si="77"/>
        <v>0</v>
      </c>
    </row>
    <row r="55" spans="1:367" x14ac:dyDescent="0.15">
      <c r="A55" s="18" t="s">
        <v>323</v>
      </c>
      <c r="B55" s="25" t="s">
        <v>405</v>
      </c>
      <c r="C55" s="105">
        <v>181464</v>
      </c>
      <c r="D55" s="105">
        <v>2011</v>
      </c>
      <c r="E55" s="106">
        <v>1</v>
      </c>
      <c r="F55" s="106">
        <v>3</v>
      </c>
      <c r="G55" s="115">
        <v>9774</v>
      </c>
      <c r="H55" s="115">
        <v>8355</v>
      </c>
      <c r="I55" s="114">
        <v>857343900</v>
      </c>
      <c r="J55" s="108"/>
      <c r="K55" s="114">
        <v>3407336</v>
      </c>
      <c r="L55" s="108"/>
      <c r="M55" s="114">
        <v>210029549</v>
      </c>
      <c r="N55" s="108"/>
      <c r="O55" s="108">
        <v>32080000</v>
      </c>
      <c r="P55" s="108"/>
      <c r="Q55" s="114">
        <v>282527310</v>
      </c>
      <c r="R55" s="108"/>
      <c r="S55" s="114">
        <v>641432595</v>
      </c>
      <c r="T55" s="108"/>
      <c r="U55" s="114">
        <v>15817</v>
      </c>
      <c r="V55" s="114"/>
      <c r="W55" s="114">
        <v>27517</v>
      </c>
      <c r="X55" s="114"/>
      <c r="Y55" s="114">
        <v>19458</v>
      </c>
      <c r="Z55" s="114"/>
      <c r="AA55" s="114">
        <v>31586</v>
      </c>
      <c r="AB55" s="108"/>
      <c r="AC55" s="136">
        <v>10</v>
      </c>
      <c r="AD55" s="136">
        <v>13</v>
      </c>
      <c r="AE55" s="136">
        <v>0</v>
      </c>
      <c r="AF55" s="26">
        <v>6084087</v>
      </c>
      <c r="AG55" s="26">
        <v>4262532</v>
      </c>
      <c r="AH55" s="26">
        <v>888165</v>
      </c>
      <c r="AI55" s="26">
        <v>345932</v>
      </c>
      <c r="AJ55" s="42">
        <v>604803.73</v>
      </c>
      <c r="AK55" s="36">
        <v>7.5</v>
      </c>
      <c r="AL55" s="26">
        <v>567003.5</v>
      </c>
      <c r="AM55" s="36">
        <v>8</v>
      </c>
      <c r="AN55" s="26">
        <v>210904.67</v>
      </c>
      <c r="AO55" s="36">
        <v>10.5</v>
      </c>
      <c r="AP55" s="42">
        <v>201318.09</v>
      </c>
      <c r="AQ55" s="36">
        <v>11</v>
      </c>
      <c r="AR55" s="48">
        <v>198397.45</v>
      </c>
      <c r="AS55" s="43">
        <v>22</v>
      </c>
      <c r="AT55" s="42">
        <v>174589.76</v>
      </c>
      <c r="AU55" s="43">
        <v>25</v>
      </c>
      <c r="AV55" s="42">
        <v>95834.39</v>
      </c>
      <c r="AW55" s="43">
        <v>18</v>
      </c>
      <c r="AX55" s="42">
        <v>82143.759999999995</v>
      </c>
      <c r="AY55" s="43">
        <v>21</v>
      </c>
      <c r="AZ55" s="52">
        <v>27378667</v>
      </c>
      <c r="BA55" s="52">
        <v>2124311</v>
      </c>
      <c r="BB55" s="52">
        <v>339061</v>
      </c>
      <c r="BC55" s="52">
        <v>1874057</v>
      </c>
      <c r="BD55" s="52">
        <v>0</v>
      </c>
      <c r="BE55" s="52">
        <v>31716096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0</v>
      </c>
      <c r="BL55" s="52">
        <v>300000</v>
      </c>
      <c r="BM55" s="52">
        <v>0</v>
      </c>
      <c r="BN55" s="52">
        <v>0</v>
      </c>
      <c r="BO55" s="52">
        <v>500</v>
      </c>
      <c r="BP55" s="52">
        <v>0</v>
      </c>
      <c r="BQ55" s="52">
        <v>300500</v>
      </c>
      <c r="BR55" s="52">
        <v>3192716</v>
      </c>
      <c r="BS55" s="52">
        <v>481630</v>
      </c>
      <c r="BT55" s="52">
        <v>150177</v>
      </c>
      <c r="BU55" s="52">
        <v>363034</v>
      </c>
      <c r="BV55" s="52">
        <v>8450964</v>
      </c>
      <c r="BW55" s="52">
        <v>12638521</v>
      </c>
      <c r="BX55" s="54">
        <v>0</v>
      </c>
      <c r="BY55" s="54">
        <v>0</v>
      </c>
      <c r="BZ55" s="54">
        <v>0</v>
      </c>
      <c r="CA55" s="54">
        <v>0</v>
      </c>
      <c r="CB55" s="54">
        <v>0</v>
      </c>
      <c r="CC55" s="54">
        <v>0</v>
      </c>
      <c r="CD55" s="54">
        <v>0</v>
      </c>
      <c r="CE55" s="52">
        <v>0</v>
      </c>
      <c r="CF55" s="52">
        <v>0</v>
      </c>
      <c r="CG55" s="52">
        <v>0</v>
      </c>
      <c r="CH55" s="52">
        <v>0</v>
      </c>
      <c r="CI55" s="54">
        <v>0</v>
      </c>
      <c r="CJ55" s="54">
        <v>0</v>
      </c>
      <c r="CK55" s="52">
        <v>0</v>
      </c>
      <c r="CL55" s="52">
        <v>0</v>
      </c>
      <c r="CM55" s="52">
        <v>0</v>
      </c>
      <c r="CN55" s="52">
        <v>0</v>
      </c>
      <c r="CO55" s="54">
        <v>0</v>
      </c>
      <c r="CP55" s="54">
        <v>0</v>
      </c>
      <c r="CQ55" s="54">
        <v>0</v>
      </c>
      <c r="CR55" s="54">
        <v>0</v>
      </c>
      <c r="CS55" s="54">
        <v>0</v>
      </c>
      <c r="CT55" s="54">
        <v>0</v>
      </c>
      <c r="CU55" s="54">
        <v>0</v>
      </c>
      <c r="CV55" s="54">
        <v>9178492</v>
      </c>
      <c r="CW55" s="52">
        <v>2371066</v>
      </c>
      <c r="CX55" s="52">
        <v>67789</v>
      </c>
      <c r="CY55" s="52">
        <v>901849</v>
      </c>
      <c r="CZ55" s="52">
        <v>22667</v>
      </c>
      <c r="DA55" s="52">
        <v>12541863</v>
      </c>
      <c r="DB55" s="52">
        <v>4884337</v>
      </c>
      <c r="DC55" s="52">
        <v>183750</v>
      </c>
      <c r="DD55" s="52">
        <v>61250</v>
      </c>
      <c r="DE55" s="52">
        <v>122500</v>
      </c>
      <c r="DF55" s="52">
        <v>0</v>
      </c>
      <c r="DG55" s="52">
        <v>5251837</v>
      </c>
      <c r="DH55" s="54">
        <v>3727516</v>
      </c>
      <c r="DI55" s="52">
        <v>422098</v>
      </c>
      <c r="DJ55" s="52">
        <v>142279</v>
      </c>
      <c r="DK55" s="52">
        <v>253599</v>
      </c>
      <c r="DL55" s="52">
        <v>2228689</v>
      </c>
      <c r="DM55" s="52">
        <v>6774181</v>
      </c>
      <c r="DN55" s="54">
        <v>5704075</v>
      </c>
      <c r="DO55" s="54">
        <v>751725</v>
      </c>
      <c r="DP55" s="54">
        <v>225409</v>
      </c>
      <c r="DQ55" s="54">
        <v>460435</v>
      </c>
      <c r="DR55" s="54">
        <v>3508533</v>
      </c>
      <c r="DS55" s="54">
        <v>10650177</v>
      </c>
      <c r="DT55" s="54">
        <v>0</v>
      </c>
      <c r="DU55" s="54">
        <v>0</v>
      </c>
      <c r="DV55" s="54">
        <v>0</v>
      </c>
      <c r="DW55" s="54">
        <v>0</v>
      </c>
      <c r="DX55" s="54">
        <v>0</v>
      </c>
      <c r="DY55" s="54">
        <v>0</v>
      </c>
      <c r="DZ55" s="52">
        <v>0</v>
      </c>
      <c r="EA55" s="52">
        <v>0</v>
      </c>
      <c r="EB55" s="52">
        <v>0</v>
      </c>
      <c r="EC55" s="52">
        <v>0</v>
      </c>
      <c r="ED55" s="52">
        <v>0</v>
      </c>
      <c r="EE55" s="52">
        <v>0</v>
      </c>
      <c r="EF55" s="52">
        <v>382353</v>
      </c>
      <c r="EG55" s="52">
        <v>1513</v>
      </c>
      <c r="EH55" s="52">
        <v>419</v>
      </c>
      <c r="EI55" s="52">
        <v>102383</v>
      </c>
      <c r="EJ55" s="52">
        <v>3319913</v>
      </c>
      <c r="EK55" s="52">
        <v>3806581</v>
      </c>
      <c r="EL55" s="52">
        <v>54748156</v>
      </c>
      <c r="EM55" s="52">
        <v>6336093</v>
      </c>
      <c r="EN55" s="52">
        <v>986384</v>
      </c>
      <c r="EO55" s="52">
        <v>4078357</v>
      </c>
      <c r="EP55" s="52">
        <v>17530766</v>
      </c>
      <c r="EQ55" s="52">
        <v>83679756</v>
      </c>
      <c r="ER55" s="52">
        <v>3438754</v>
      </c>
      <c r="ES55" s="52">
        <v>496114</v>
      </c>
      <c r="ET55" s="52">
        <v>568075</v>
      </c>
      <c r="EU55" s="52">
        <v>5843676</v>
      </c>
      <c r="EV55" s="52">
        <v>13000</v>
      </c>
      <c r="EW55" s="52">
        <v>10359619</v>
      </c>
      <c r="EX55" s="52">
        <v>1975000</v>
      </c>
      <c r="EY55" s="52">
        <v>609708</v>
      </c>
      <c r="EZ55" s="52">
        <v>69543</v>
      </c>
      <c r="FA55" s="52">
        <v>105854</v>
      </c>
      <c r="FB55" s="52">
        <v>0</v>
      </c>
      <c r="FC55" s="52">
        <v>2760105</v>
      </c>
      <c r="FD55" s="52">
        <v>5631931</v>
      </c>
      <c r="FE55" s="52">
        <v>1520777</v>
      </c>
      <c r="FF55" s="52">
        <v>1213832</v>
      </c>
      <c r="FG55" s="52">
        <v>4473750</v>
      </c>
      <c r="FH55" s="52">
        <v>0</v>
      </c>
      <c r="FI55" s="52">
        <v>12840290</v>
      </c>
      <c r="FJ55" s="52">
        <v>0</v>
      </c>
      <c r="FK55" s="52">
        <v>0</v>
      </c>
      <c r="FL55" s="52">
        <v>0</v>
      </c>
      <c r="FM55" s="52">
        <v>0</v>
      </c>
      <c r="FN55" s="52">
        <v>0</v>
      </c>
      <c r="FO55" s="52">
        <v>0</v>
      </c>
      <c r="FP55" s="54">
        <v>1652357</v>
      </c>
      <c r="FQ55" s="54">
        <v>354849</v>
      </c>
      <c r="FR55" s="54">
        <v>282058</v>
      </c>
      <c r="FS55" s="54">
        <v>1266011</v>
      </c>
      <c r="FT55" s="54">
        <v>10732128</v>
      </c>
      <c r="FU55" s="54">
        <v>14287403</v>
      </c>
      <c r="FV55" s="54">
        <v>0</v>
      </c>
      <c r="FW55" s="54">
        <v>0</v>
      </c>
      <c r="FX55" s="54">
        <v>0</v>
      </c>
      <c r="FY55" s="54">
        <v>0</v>
      </c>
      <c r="FZ55" s="54">
        <v>0</v>
      </c>
      <c r="GA55" s="54">
        <v>0</v>
      </c>
      <c r="GB55" s="54">
        <v>206396</v>
      </c>
      <c r="GC55" s="54">
        <v>0</v>
      </c>
      <c r="GD55" s="54">
        <v>0</v>
      </c>
      <c r="GE55" s="54">
        <v>0</v>
      </c>
      <c r="GF55" s="54">
        <v>0</v>
      </c>
      <c r="GG55" s="54">
        <v>206396</v>
      </c>
      <c r="GH55" s="54">
        <v>478554</v>
      </c>
      <c r="GI55" s="54">
        <v>222132</v>
      </c>
      <c r="GJ55" s="54">
        <v>109664</v>
      </c>
      <c r="GK55" s="54">
        <v>423747</v>
      </c>
      <c r="GL55" s="54">
        <v>0</v>
      </c>
      <c r="GM55" s="54">
        <v>1234097</v>
      </c>
      <c r="GN55" s="54">
        <v>1806047</v>
      </c>
      <c r="GO55" s="54">
        <v>499966</v>
      </c>
      <c r="GP55" s="54">
        <v>365512</v>
      </c>
      <c r="GQ55" s="54">
        <v>1999838</v>
      </c>
      <c r="GR55" s="54">
        <v>174388</v>
      </c>
      <c r="GS55" s="54">
        <v>4845751</v>
      </c>
      <c r="GT55" s="54">
        <v>199038</v>
      </c>
      <c r="GU55" s="54">
        <v>8309</v>
      </c>
      <c r="GV55" s="54">
        <v>4157</v>
      </c>
      <c r="GW55" s="54">
        <v>300371</v>
      </c>
      <c r="GX55" s="54">
        <v>266350</v>
      </c>
      <c r="GY55" s="54">
        <v>778225</v>
      </c>
      <c r="GZ55" s="54">
        <v>1588249</v>
      </c>
      <c r="HA55" s="54">
        <v>330231</v>
      </c>
      <c r="HB55" s="54">
        <v>218361</v>
      </c>
      <c r="HC55" s="54">
        <v>527490</v>
      </c>
      <c r="HD55" s="54">
        <v>732693</v>
      </c>
      <c r="HE55" s="54">
        <v>3397024</v>
      </c>
      <c r="HF55" s="54">
        <v>14874</v>
      </c>
      <c r="HG55" s="54">
        <v>560</v>
      </c>
      <c r="HH55" s="54">
        <v>741</v>
      </c>
      <c r="HI55" s="54">
        <v>0</v>
      </c>
      <c r="HJ55" s="54">
        <v>171718</v>
      </c>
      <c r="HK55" s="54">
        <v>187893</v>
      </c>
      <c r="HL55" s="54">
        <v>0</v>
      </c>
      <c r="HM55" s="54">
        <v>0</v>
      </c>
      <c r="HN55" s="54">
        <v>0</v>
      </c>
      <c r="HO55" s="54">
        <v>0</v>
      </c>
      <c r="HP55" s="54">
        <v>0</v>
      </c>
      <c r="HQ55" s="54">
        <v>0</v>
      </c>
      <c r="HR55" s="54">
        <v>1027762</v>
      </c>
      <c r="HS55" s="54">
        <v>465</v>
      </c>
      <c r="HT55" s="54">
        <v>804</v>
      </c>
      <c r="HU55" s="54">
        <v>639314</v>
      </c>
      <c r="HV55" s="54">
        <v>10842859</v>
      </c>
      <c r="HW55" s="54">
        <v>12511204</v>
      </c>
      <c r="HX55" s="54">
        <v>0</v>
      </c>
      <c r="HY55" s="54">
        <v>0</v>
      </c>
      <c r="HZ55" s="54">
        <v>0</v>
      </c>
      <c r="IA55" s="54">
        <v>0</v>
      </c>
      <c r="IB55" s="54">
        <v>376235</v>
      </c>
      <c r="IC55" s="54">
        <v>376235</v>
      </c>
      <c r="ID55" s="54">
        <v>0</v>
      </c>
      <c r="IE55" s="54">
        <v>0</v>
      </c>
      <c r="IF55" s="54">
        <v>0</v>
      </c>
      <c r="IG55" s="54">
        <v>0</v>
      </c>
      <c r="IH55" s="54">
        <v>0</v>
      </c>
      <c r="II55" s="54">
        <v>0</v>
      </c>
      <c r="IJ55" s="54">
        <v>0</v>
      </c>
      <c r="IK55" s="54">
        <v>0</v>
      </c>
      <c r="IL55" s="54">
        <v>0</v>
      </c>
      <c r="IM55" s="54">
        <v>0</v>
      </c>
      <c r="IN55" s="54">
        <v>923312</v>
      </c>
      <c r="IO55" s="54">
        <v>923312</v>
      </c>
      <c r="IP55" s="54">
        <v>2298</v>
      </c>
      <c r="IQ55" s="54">
        <v>1214</v>
      </c>
      <c r="IR55" s="54">
        <v>1221</v>
      </c>
      <c r="IS55" s="54">
        <v>12576</v>
      </c>
      <c r="IT55" s="54">
        <v>34482</v>
      </c>
      <c r="IU55" s="54">
        <v>51791</v>
      </c>
      <c r="IV55" s="54">
        <v>2126042</v>
      </c>
      <c r="IW55" s="54">
        <v>298612</v>
      </c>
      <c r="IX55" s="54">
        <v>150189</v>
      </c>
      <c r="IY55" s="54">
        <v>728044</v>
      </c>
      <c r="IZ55" s="54">
        <v>13854252</v>
      </c>
      <c r="JA55" s="54">
        <v>17157139</v>
      </c>
      <c r="JB55" s="54">
        <v>20147302</v>
      </c>
      <c r="JC55" s="54">
        <v>4342937</v>
      </c>
      <c r="JD55" s="54">
        <v>2984157</v>
      </c>
      <c r="JE55" s="54">
        <v>16320671</v>
      </c>
      <c r="JF55" s="54">
        <v>38121417</v>
      </c>
      <c r="JG55" s="54">
        <v>81916484</v>
      </c>
      <c r="JH55" s="54">
        <v>0</v>
      </c>
      <c r="JI55" s="54">
        <v>0</v>
      </c>
      <c r="JJ55" s="54">
        <v>0</v>
      </c>
      <c r="JK55" s="54">
        <v>0</v>
      </c>
      <c r="JL55" s="54">
        <v>532870</v>
      </c>
      <c r="JM55" s="54">
        <v>532870</v>
      </c>
      <c r="JN55" s="54">
        <v>20147302</v>
      </c>
      <c r="JO55" s="54">
        <v>4342937</v>
      </c>
      <c r="JP55" s="54">
        <v>2984157</v>
      </c>
      <c r="JQ55" s="54">
        <v>16320671</v>
      </c>
      <c r="JR55" s="54">
        <v>38654287</v>
      </c>
      <c r="JS55" s="54">
        <v>82449354</v>
      </c>
      <c r="JU55" s="5">
        <f t="shared" si="80"/>
        <v>31716096</v>
      </c>
      <c r="JV55" s="26">
        <f t="shared" si="81"/>
        <v>0</v>
      </c>
      <c r="JW55" s="5">
        <f t="shared" si="82"/>
        <v>0</v>
      </c>
      <c r="JX55" s="26">
        <f t="shared" si="83"/>
        <v>0</v>
      </c>
      <c r="JY55" s="5">
        <f t="shared" si="84"/>
        <v>300500</v>
      </c>
      <c r="JZ55" s="26">
        <f t="shared" si="85"/>
        <v>0</v>
      </c>
      <c r="KA55" s="5">
        <f t="shared" si="86"/>
        <v>12638521</v>
      </c>
      <c r="KB55" s="26">
        <f t="shared" si="87"/>
        <v>0</v>
      </c>
      <c r="KC55" s="5">
        <f t="shared" si="88"/>
        <v>0</v>
      </c>
      <c r="KD55" s="26">
        <f t="shared" si="89"/>
        <v>0</v>
      </c>
      <c r="KE55" s="5">
        <f t="shared" si="90"/>
        <v>0</v>
      </c>
      <c r="KF55" s="26">
        <f t="shared" si="91"/>
        <v>0</v>
      </c>
      <c r="KG55" s="5">
        <f t="shared" si="92"/>
        <v>0</v>
      </c>
      <c r="KH55" s="26">
        <f t="shared" si="93"/>
        <v>0</v>
      </c>
      <c r="KI55" s="5">
        <f t="shared" si="94"/>
        <v>0</v>
      </c>
      <c r="KJ55" s="26">
        <f t="shared" si="95"/>
        <v>0</v>
      </c>
      <c r="KK55" s="5">
        <f t="shared" si="96"/>
        <v>12541863</v>
      </c>
      <c r="KL55" s="26">
        <f t="shared" si="97"/>
        <v>0</v>
      </c>
      <c r="KM55" s="5">
        <f t="shared" si="98"/>
        <v>5251837</v>
      </c>
      <c r="KN55" s="26">
        <f t="shared" si="99"/>
        <v>0</v>
      </c>
      <c r="KO55" s="5">
        <f t="shared" si="100"/>
        <v>6774181</v>
      </c>
      <c r="KP55" s="26">
        <f t="shared" si="101"/>
        <v>0</v>
      </c>
      <c r="KQ55" s="5">
        <f t="shared" si="102"/>
        <v>10650177</v>
      </c>
      <c r="KR55" s="26">
        <f t="shared" si="103"/>
        <v>0</v>
      </c>
      <c r="KS55" s="5">
        <f t="shared" si="104"/>
        <v>0</v>
      </c>
      <c r="KT55" s="26">
        <f t="shared" si="105"/>
        <v>0</v>
      </c>
      <c r="KU55" s="5">
        <f t="shared" si="106"/>
        <v>0</v>
      </c>
      <c r="KV55" s="26">
        <f t="shared" si="107"/>
        <v>0</v>
      </c>
      <c r="KW55" s="5">
        <f t="shared" si="108"/>
        <v>3806581</v>
      </c>
      <c r="KX55" s="26">
        <f t="shared" si="109"/>
        <v>0</v>
      </c>
      <c r="KY55" s="5">
        <f t="shared" si="110"/>
        <v>83679756</v>
      </c>
      <c r="KZ55" s="26">
        <f t="shared" si="111"/>
        <v>0</v>
      </c>
      <c r="LA55" s="5">
        <f t="shared" si="112"/>
        <v>10359619</v>
      </c>
      <c r="LB55" s="26">
        <f t="shared" si="113"/>
        <v>0</v>
      </c>
      <c r="LC55" s="5">
        <f t="shared" si="114"/>
        <v>2760105</v>
      </c>
      <c r="LD55" s="26">
        <f t="shared" si="115"/>
        <v>0</v>
      </c>
      <c r="LE55" s="5">
        <f t="shared" si="116"/>
        <v>12840290</v>
      </c>
      <c r="LF55" s="26">
        <f t="shared" si="117"/>
        <v>0</v>
      </c>
      <c r="LG55" s="5">
        <f t="shared" si="118"/>
        <v>0</v>
      </c>
      <c r="LH55" s="26">
        <f t="shared" si="119"/>
        <v>0</v>
      </c>
      <c r="LI55" s="5">
        <f t="shared" si="120"/>
        <v>14287403</v>
      </c>
      <c r="LJ55" s="26">
        <f t="shared" si="121"/>
        <v>0</v>
      </c>
      <c r="LK55" s="5">
        <f t="shared" si="122"/>
        <v>0</v>
      </c>
      <c r="LL55" s="26">
        <f t="shared" si="123"/>
        <v>0</v>
      </c>
      <c r="LM55" s="5">
        <f t="shared" si="124"/>
        <v>206396</v>
      </c>
      <c r="LN55" s="26">
        <f t="shared" si="125"/>
        <v>0</v>
      </c>
      <c r="LO55" s="5">
        <f t="shared" si="126"/>
        <v>1234097</v>
      </c>
      <c r="LP55" s="26">
        <f t="shared" si="127"/>
        <v>0</v>
      </c>
      <c r="LQ55" s="5">
        <f t="shared" si="128"/>
        <v>4845751</v>
      </c>
      <c r="LR55" s="26">
        <f t="shared" si="129"/>
        <v>0</v>
      </c>
      <c r="LS55" s="5">
        <f t="shared" si="130"/>
        <v>778225</v>
      </c>
      <c r="LT55" s="26">
        <f t="shared" si="131"/>
        <v>0</v>
      </c>
      <c r="LU55" s="5">
        <f t="shared" si="132"/>
        <v>3397024</v>
      </c>
      <c r="LV55" s="26">
        <f t="shared" si="133"/>
        <v>0</v>
      </c>
      <c r="LW55" s="5">
        <f t="shared" si="134"/>
        <v>187893</v>
      </c>
      <c r="LX55" s="26">
        <f t="shared" si="135"/>
        <v>0</v>
      </c>
      <c r="LY55" s="5">
        <f t="shared" si="136"/>
        <v>0</v>
      </c>
      <c r="LZ55" s="26">
        <f t="shared" si="137"/>
        <v>0</v>
      </c>
      <c r="MA55" s="5">
        <f t="shared" si="138"/>
        <v>12511204</v>
      </c>
      <c r="MB55" s="26">
        <f t="shared" si="139"/>
        <v>0</v>
      </c>
      <c r="MC55" s="5">
        <f t="shared" si="140"/>
        <v>376235</v>
      </c>
      <c r="MD55" s="26">
        <f t="shared" si="141"/>
        <v>0</v>
      </c>
      <c r="ME55" s="5">
        <f t="shared" si="142"/>
        <v>0</v>
      </c>
      <c r="MF55" s="26">
        <f t="shared" si="143"/>
        <v>0</v>
      </c>
      <c r="MG55" s="5">
        <f t="shared" si="144"/>
        <v>923312</v>
      </c>
      <c r="MH55" s="26">
        <f t="shared" si="145"/>
        <v>0</v>
      </c>
      <c r="MI55" s="5">
        <f t="shared" si="146"/>
        <v>51791</v>
      </c>
      <c r="MJ55" s="26">
        <f t="shared" si="147"/>
        <v>0</v>
      </c>
      <c r="MK55" s="5">
        <f t="shared" si="148"/>
        <v>17157139</v>
      </c>
      <c r="ML55" s="26">
        <f t="shared" si="149"/>
        <v>0</v>
      </c>
      <c r="MM55" s="5">
        <f t="shared" si="150"/>
        <v>81916484</v>
      </c>
      <c r="MN55" s="26">
        <f t="shared" si="151"/>
        <v>0</v>
      </c>
      <c r="MO55" s="5">
        <f t="shared" si="152"/>
        <v>532870</v>
      </c>
      <c r="MP55" s="26">
        <f t="shared" si="153"/>
        <v>0</v>
      </c>
      <c r="MQ55" s="5">
        <f t="shared" si="154"/>
        <v>82449354</v>
      </c>
      <c r="MR55" s="26">
        <f t="shared" si="155"/>
        <v>0</v>
      </c>
      <c r="MT55" s="5">
        <f t="shared" si="76"/>
        <v>0</v>
      </c>
      <c r="MV55" s="4">
        <f t="shared" si="77"/>
        <v>0</v>
      </c>
    </row>
    <row r="56" spans="1:367" x14ac:dyDescent="0.15">
      <c r="A56" s="157" t="s">
        <v>324</v>
      </c>
      <c r="B56" s="25" t="s">
        <v>464</v>
      </c>
      <c r="C56" s="109">
        <v>199193</v>
      </c>
      <c r="D56" s="105">
        <v>2011</v>
      </c>
      <c r="E56" s="106">
        <v>1</v>
      </c>
      <c r="F56" s="106">
        <v>10</v>
      </c>
      <c r="G56" s="107">
        <v>6414</v>
      </c>
      <c r="H56" s="107">
        <v>7246</v>
      </c>
      <c r="I56" s="108">
        <v>506791000</v>
      </c>
      <c r="J56" s="108"/>
      <c r="K56" s="108">
        <v>924356</v>
      </c>
      <c r="L56" s="108"/>
      <c r="M56" s="108">
        <v>21278574</v>
      </c>
      <c r="N56" s="108"/>
      <c r="O56" s="108">
        <v>3785020</v>
      </c>
      <c r="P56" s="108"/>
      <c r="Q56" s="108">
        <v>282388917</v>
      </c>
      <c r="R56" s="108"/>
      <c r="S56" s="112">
        <v>474674000</v>
      </c>
      <c r="T56" s="112"/>
      <c r="U56" s="112">
        <v>15034</v>
      </c>
      <c r="V56" s="112"/>
      <c r="W56" s="112">
        <v>28324</v>
      </c>
      <c r="X56" s="112"/>
      <c r="Y56" s="112">
        <v>21000</v>
      </c>
      <c r="Z56" s="112"/>
      <c r="AA56" s="112">
        <v>34290</v>
      </c>
      <c r="AB56" s="108"/>
      <c r="AC56" s="129">
        <v>6</v>
      </c>
      <c r="AD56" s="129">
        <v>11</v>
      </c>
      <c r="AE56" s="129">
        <v>1</v>
      </c>
      <c r="AF56" s="26">
        <v>2785056</v>
      </c>
      <c r="AG56" s="26">
        <v>2207827</v>
      </c>
      <c r="AH56" s="26">
        <v>199185</v>
      </c>
      <c r="AI56" s="26">
        <v>107480</v>
      </c>
      <c r="AJ56" s="26">
        <v>242562.06</v>
      </c>
      <c r="AK56" s="36">
        <v>4.5599999999999996</v>
      </c>
      <c r="AL56" s="26">
        <v>184347.17</v>
      </c>
      <c r="AM56" s="36">
        <v>6</v>
      </c>
      <c r="AN56" s="26">
        <v>97575.13</v>
      </c>
      <c r="AO56" s="36">
        <v>7.56</v>
      </c>
      <c r="AP56" s="26">
        <v>92208.5</v>
      </c>
      <c r="AQ56" s="36">
        <v>8</v>
      </c>
      <c r="AR56" s="26">
        <v>106465.27</v>
      </c>
      <c r="AS56" s="36">
        <v>15</v>
      </c>
      <c r="AT56" s="26">
        <v>99811.19</v>
      </c>
      <c r="AU56" s="36">
        <v>16</v>
      </c>
      <c r="AV56" s="26">
        <v>62518.559999999998</v>
      </c>
      <c r="AW56" s="36">
        <v>12.5</v>
      </c>
      <c r="AX56" s="26">
        <v>55820.14</v>
      </c>
      <c r="AY56" s="36">
        <v>14</v>
      </c>
      <c r="AZ56" s="54">
        <v>2541452</v>
      </c>
      <c r="BA56" s="54">
        <v>1288813</v>
      </c>
      <c r="BB56" s="54">
        <v>52545</v>
      </c>
      <c r="BC56" s="54">
        <v>68361</v>
      </c>
      <c r="BD56" s="54">
        <v>0</v>
      </c>
      <c r="BE56" s="54">
        <v>3951171</v>
      </c>
      <c r="BF56" s="54">
        <v>0</v>
      </c>
      <c r="BG56" s="54">
        <v>0</v>
      </c>
      <c r="BH56" s="54">
        <v>0</v>
      </c>
      <c r="BI56" s="54">
        <v>0</v>
      </c>
      <c r="BJ56" s="54">
        <v>2192166</v>
      </c>
      <c r="BK56" s="54">
        <v>2192166</v>
      </c>
      <c r="BL56" s="54">
        <v>0</v>
      </c>
      <c r="BM56" s="54">
        <v>21230</v>
      </c>
      <c r="BN56" s="54">
        <v>3000</v>
      </c>
      <c r="BO56" s="54">
        <v>0</v>
      </c>
      <c r="BP56" s="54">
        <v>0</v>
      </c>
      <c r="BQ56" s="54">
        <v>24230</v>
      </c>
      <c r="BR56" s="54">
        <v>420917</v>
      </c>
      <c r="BS56" s="54">
        <v>1598080</v>
      </c>
      <c r="BT56" s="54">
        <v>240276</v>
      </c>
      <c r="BU56" s="54">
        <v>308164</v>
      </c>
      <c r="BV56" s="54">
        <v>758528</v>
      </c>
      <c r="BW56" s="54">
        <v>3325965</v>
      </c>
      <c r="BX56" s="54">
        <v>0</v>
      </c>
      <c r="BY56" s="54">
        <v>0</v>
      </c>
      <c r="BZ56" s="54">
        <v>0</v>
      </c>
      <c r="CA56" s="54">
        <v>0</v>
      </c>
      <c r="CB56" s="54">
        <v>0</v>
      </c>
      <c r="CC56" s="54">
        <v>0</v>
      </c>
      <c r="CD56" s="54">
        <v>204238</v>
      </c>
      <c r="CE56" s="54">
        <v>0</v>
      </c>
      <c r="CF56" s="54">
        <v>0</v>
      </c>
      <c r="CG56" s="54">
        <v>544060</v>
      </c>
      <c r="CH56" s="54">
        <v>4556096</v>
      </c>
      <c r="CI56" s="54">
        <v>5304394</v>
      </c>
      <c r="CJ56" s="54">
        <v>0</v>
      </c>
      <c r="CK56" s="54">
        <v>0</v>
      </c>
      <c r="CL56" s="54">
        <v>0</v>
      </c>
      <c r="CM56" s="54">
        <v>0</v>
      </c>
      <c r="CN56" s="54">
        <v>764428</v>
      </c>
      <c r="CO56" s="54">
        <v>764428</v>
      </c>
      <c r="CP56" s="54">
        <v>0</v>
      </c>
      <c r="CQ56" s="54">
        <v>0</v>
      </c>
      <c r="CR56" s="54">
        <v>0</v>
      </c>
      <c r="CS56" s="54">
        <v>0</v>
      </c>
      <c r="CT56" s="54">
        <v>1755341</v>
      </c>
      <c r="CU56" s="54">
        <v>1755341</v>
      </c>
      <c r="CV56" s="54">
        <v>1112892</v>
      </c>
      <c r="CW56" s="54">
        <v>350085</v>
      </c>
      <c r="CX56" s="54">
        <v>0</v>
      </c>
      <c r="CY56" s="62">
        <v>0</v>
      </c>
      <c r="CZ56" s="54">
        <v>1247668</v>
      </c>
      <c r="DA56" s="54">
        <v>2710645</v>
      </c>
      <c r="DB56" s="54">
        <v>172500</v>
      </c>
      <c r="DC56" s="54">
        <v>172500</v>
      </c>
      <c r="DD56" s="54">
        <v>0</v>
      </c>
      <c r="DE56" s="54">
        <v>0</v>
      </c>
      <c r="DF56" s="54">
        <v>0</v>
      </c>
      <c r="DG56" s="54">
        <v>345000</v>
      </c>
      <c r="DH56" s="54">
        <v>320928</v>
      </c>
      <c r="DI56" s="54">
        <v>0</v>
      </c>
      <c r="DJ56" s="54">
        <v>0</v>
      </c>
      <c r="DK56" s="54">
        <v>7813</v>
      </c>
      <c r="DL56" s="54">
        <v>0</v>
      </c>
      <c r="DM56" s="54">
        <v>328741</v>
      </c>
      <c r="DN56" s="54">
        <v>719271</v>
      </c>
      <c r="DO56" s="54">
        <v>0</v>
      </c>
      <c r="DP56" s="54">
        <v>0</v>
      </c>
      <c r="DQ56" s="54">
        <v>0</v>
      </c>
      <c r="DR56" s="54">
        <v>275057</v>
      </c>
      <c r="DS56" s="54">
        <v>994328</v>
      </c>
      <c r="DT56" s="54">
        <v>0</v>
      </c>
      <c r="DU56" s="54">
        <v>0</v>
      </c>
      <c r="DV56" s="54">
        <v>0</v>
      </c>
      <c r="DW56" s="54">
        <v>0</v>
      </c>
      <c r="DX56" s="54">
        <v>0</v>
      </c>
      <c r="DY56" s="54">
        <v>0</v>
      </c>
      <c r="DZ56" s="54"/>
      <c r="EA56" s="54">
        <v>0</v>
      </c>
      <c r="EB56" s="54">
        <v>0</v>
      </c>
      <c r="EC56" s="54">
        <v>0</v>
      </c>
      <c r="ED56" s="54">
        <v>0</v>
      </c>
      <c r="EE56" s="54">
        <v>0</v>
      </c>
      <c r="EF56" s="54">
        <v>348046</v>
      </c>
      <c r="EG56" s="54">
        <v>0</v>
      </c>
      <c r="EH56" s="54">
        <v>0</v>
      </c>
      <c r="EI56" s="54">
        <v>0</v>
      </c>
      <c r="EJ56" s="54">
        <v>608035</v>
      </c>
      <c r="EK56" s="54">
        <v>956081</v>
      </c>
      <c r="EL56" s="54">
        <v>5840244</v>
      </c>
      <c r="EM56" s="54">
        <v>3430708</v>
      </c>
      <c r="EN56" s="54">
        <v>295821</v>
      </c>
      <c r="EO56" s="54">
        <v>928398</v>
      </c>
      <c r="EP56" s="54">
        <v>12157319</v>
      </c>
      <c r="EQ56" s="54">
        <v>22652490</v>
      </c>
      <c r="ER56" s="54">
        <v>1859288</v>
      </c>
      <c r="ES56" s="54">
        <v>338624</v>
      </c>
      <c r="ET56" s="54">
        <v>309244</v>
      </c>
      <c r="EU56" s="54">
        <v>2559178</v>
      </c>
      <c r="EV56" s="54">
        <v>162180</v>
      </c>
      <c r="EW56" s="54">
        <v>5228514</v>
      </c>
      <c r="EX56" s="54">
        <v>500000</v>
      </c>
      <c r="EY56" s="54">
        <v>97000</v>
      </c>
      <c r="EZ56" s="54">
        <v>16139</v>
      </c>
      <c r="FA56" s="54">
        <v>7377</v>
      </c>
      <c r="FB56" s="54">
        <v>0</v>
      </c>
      <c r="FC56" s="54">
        <v>620516</v>
      </c>
      <c r="FD56" s="54">
        <v>1653458</v>
      </c>
      <c r="FE56" s="54">
        <v>679761</v>
      </c>
      <c r="FF56" s="54">
        <v>464264</v>
      </c>
      <c r="FG56" s="54">
        <v>1424729</v>
      </c>
      <c r="FH56" s="54">
        <v>0</v>
      </c>
      <c r="FI56" s="54">
        <v>4222212</v>
      </c>
      <c r="FJ56" s="54">
        <v>0</v>
      </c>
      <c r="FK56" s="54">
        <v>0</v>
      </c>
      <c r="FL56" s="54">
        <v>0</v>
      </c>
      <c r="FM56" s="54">
        <v>0</v>
      </c>
      <c r="FN56" s="54">
        <v>0</v>
      </c>
      <c r="FO56" s="54">
        <v>0</v>
      </c>
      <c r="FP56" s="54">
        <v>0</v>
      </c>
      <c r="FQ56" s="54">
        <v>0</v>
      </c>
      <c r="FR56" s="54">
        <v>0</v>
      </c>
      <c r="FS56" s="54">
        <v>0</v>
      </c>
      <c r="FT56" s="54">
        <v>3076824</v>
      </c>
      <c r="FU56" s="54">
        <v>3076824</v>
      </c>
      <c r="FV56" s="54">
        <v>0</v>
      </c>
      <c r="FW56" s="54">
        <v>0</v>
      </c>
      <c r="FX56" s="54">
        <v>0</v>
      </c>
      <c r="FY56" s="54">
        <v>0</v>
      </c>
      <c r="FZ56" s="54">
        <v>0</v>
      </c>
      <c r="GA56" s="54">
        <v>0</v>
      </c>
      <c r="GB56" s="54">
        <v>0</v>
      </c>
      <c r="GC56" s="54">
        <v>0</v>
      </c>
      <c r="GD56" s="54">
        <v>0</v>
      </c>
      <c r="GE56" s="54">
        <v>0</v>
      </c>
      <c r="GF56" s="54">
        <v>0</v>
      </c>
      <c r="GG56" s="54">
        <v>0</v>
      </c>
      <c r="GH56" s="54">
        <v>80317</v>
      </c>
      <c r="GI56" s="54">
        <v>97471</v>
      </c>
      <c r="GJ56" s="54">
        <v>46395</v>
      </c>
      <c r="GK56" s="54">
        <v>82482</v>
      </c>
      <c r="GL56" s="54">
        <v>0</v>
      </c>
      <c r="GM56" s="54">
        <v>306665</v>
      </c>
      <c r="GN56" s="54">
        <v>761240</v>
      </c>
      <c r="GO56" s="54">
        <v>250651</v>
      </c>
      <c r="GP56" s="54">
        <v>246256</v>
      </c>
      <c r="GQ56" s="54">
        <v>866414</v>
      </c>
      <c r="GR56" s="54">
        <v>19679</v>
      </c>
      <c r="GS56" s="54">
        <v>2144240</v>
      </c>
      <c r="GT56" s="54">
        <v>184227</v>
      </c>
      <c r="GU56" s="54">
        <v>40171</v>
      </c>
      <c r="GV56" s="54">
        <v>35937</v>
      </c>
      <c r="GW56" s="54">
        <v>151624</v>
      </c>
      <c r="GX56" s="54">
        <v>58401</v>
      </c>
      <c r="GY56" s="54">
        <v>470360</v>
      </c>
      <c r="GZ56" s="54">
        <v>540149</v>
      </c>
      <c r="HA56" s="54">
        <v>179715</v>
      </c>
      <c r="HB56" s="54">
        <v>79836</v>
      </c>
      <c r="HC56" s="54">
        <v>124466</v>
      </c>
      <c r="HD56" s="54">
        <v>0</v>
      </c>
      <c r="HE56" s="54">
        <v>924166</v>
      </c>
      <c r="HF56" s="54">
        <v>0</v>
      </c>
      <c r="HG56" s="54">
        <v>0</v>
      </c>
      <c r="HH56" s="54">
        <v>0</v>
      </c>
      <c r="HI56" s="54">
        <v>0</v>
      </c>
      <c r="HJ56" s="54">
        <v>404744</v>
      </c>
      <c r="HK56" s="54">
        <v>404744</v>
      </c>
      <c r="HL56" s="54">
        <v>0</v>
      </c>
      <c r="HM56" s="54">
        <v>0</v>
      </c>
      <c r="HN56" s="54">
        <v>0</v>
      </c>
      <c r="HO56" s="54">
        <v>0</v>
      </c>
      <c r="HP56" s="54">
        <v>0</v>
      </c>
      <c r="HQ56" s="54">
        <v>0</v>
      </c>
      <c r="HR56" s="54">
        <v>720</v>
      </c>
      <c r="HS56" s="54">
        <v>143249</v>
      </c>
      <c r="HT56" s="54">
        <v>91882</v>
      </c>
      <c r="HU56" s="54">
        <v>4420</v>
      </c>
      <c r="HV56" s="54">
        <v>1565541</v>
      </c>
      <c r="HW56" s="54">
        <v>1805812</v>
      </c>
      <c r="HX56" s="54">
        <v>0</v>
      </c>
      <c r="HY56" s="54">
        <v>0</v>
      </c>
      <c r="HZ56" s="54">
        <v>0</v>
      </c>
      <c r="IA56" s="54">
        <v>0</v>
      </c>
      <c r="IB56" s="54">
        <v>102082</v>
      </c>
      <c r="IC56" s="54">
        <v>102082</v>
      </c>
      <c r="ID56" s="54">
        <v>0</v>
      </c>
      <c r="IE56" s="54">
        <v>0</v>
      </c>
      <c r="IF56" s="54">
        <v>0</v>
      </c>
      <c r="IG56" s="54">
        <v>0</v>
      </c>
      <c r="IH56" s="54">
        <v>1755341</v>
      </c>
      <c r="II56" s="54">
        <v>1755341</v>
      </c>
      <c r="IJ56" s="54">
        <v>0</v>
      </c>
      <c r="IK56" s="54">
        <v>0</v>
      </c>
      <c r="IL56" s="54">
        <v>0</v>
      </c>
      <c r="IM56" s="54">
        <v>0</v>
      </c>
      <c r="IN56" s="54">
        <v>350942</v>
      </c>
      <c r="IO56" s="54">
        <v>350942</v>
      </c>
      <c r="IP56" s="54">
        <v>0</v>
      </c>
      <c r="IQ56" s="54">
        <v>545</v>
      </c>
      <c r="IR56" s="54">
        <v>800</v>
      </c>
      <c r="IS56" s="54">
        <v>3295</v>
      </c>
      <c r="IT56" s="54">
        <v>423781</v>
      </c>
      <c r="IU56" s="54">
        <v>428421</v>
      </c>
      <c r="IV56" s="54">
        <v>0</v>
      </c>
      <c r="IW56" s="54">
        <v>0</v>
      </c>
      <c r="IX56" s="54">
        <v>0</v>
      </c>
      <c r="IY56" s="54">
        <v>0</v>
      </c>
      <c r="IZ56" s="54">
        <v>1271266</v>
      </c>
      <c r="JA56" s="54">
        <v>1271266</v>
      </c>
      <c r="JB56" s="54">
        <v>5579399</v>
      </c>
      <c r="JC56" s="54">
        <v>1827187</v>
      </c>
      <c r="JD56" s="54">
        <v>1290753</v>
      </c>
      <c r="JE56" s="54">
        <v>5223985</v>
      </c>
      <c r="JF56" s="54">
        <v>9190781</v>
      </c>
      <c r="JG56" s="54">
        <v>23112105</v>
      </c>
      <c r="JH56" s="54">
        <v>0</v>
      </c>
      <c r="JI56" s="54">
        <v>0</v>
      </c>
      <c r="JJ56" s="54">
        <v>0</v>
      </c>
      <c r="JK56" s="54">
        <v>0</v>
      </c>
      <c r="JL56" s="54">
        <v>0</v>
      </c>
      <c r="JM56" s="54">
        <v>0</v>
      </c>
      <c r="JN56" s="54">
        <v>5579399</v>
      </c>
      <c r="JO56" s="54">
        <v>1827187</v>
      </c>
      <c r="JP56" s="54">
        <v>1290753</v>
      </c>
      <c r="JQ56" s="54">
        <v>5223985</v>
      </c>
      <c r="JR56" s="54">
        <v>9190781</v>
      </c>
      <c r="JS56" s="54">
        <v>23112105</v>
      </c>
      <c r="JU56" s="5">
        <f t="shared" si="80"/>
        <v>3951171</v>
      </c>
      <c r="JV56" s="26">
        <f t="shared" si="81"/>
        <v>0</v>
      </c>
      <c r="JW56" s="5">
        <f t="shared" si="82"/>
        <v>2192166</v>
      </c>
      <c r="JX56" s="26">
        <f t="shared" si="83"/>
        <v>0</v>
      </c>
      <c r="JY56" s="5">
        <f t="shared" si="84"/>
        <v>24230</v>
      </c>
      <c r="JZ56" s="26">
        <f t="shared" si="85"/>
        <v>0</v>
      </c>
      <c r="KA56" s="5">
        <f t="shared" si="86"/>
        <v>3325965</v>
      </c>
      <c r="KB56" s="26">
        <f t="shared" si="87"/>
        <v>0</v>
      </c>
      <c r="KC56" s="5">
        <f t="shared" si="88"/>
        <v>0</v>
      </c>
      <c r="KD56" s="26">
        <f t="shared" si="89"/>
        <v>0</v>
      </c>
      <c r="KE56" s="5">
        <f t="shared" si="90"/>
        <v>5304394</v>
      </c>
      <c r="KF56" s="26">
        <f t="shared" si="91"/>
        <v>0</v>
      </c>
      <c r="KG56" s="5">
        <f t="shared" si="92"/>
        <v>764428</v>
      </c>
      <c r="KH56" s="26">
        <f t="shared" si="93"/>
        <v>0</v>
      </c>
      <c r="KI56" s="5">
        <f t="shared" si="94"/>
        <v>1755341</v>
      </c>
      <c r="KJ56" s="26">
        <f t="shared" si="95"/>
        <v>0</v>
      </c>
      <c r="KK56" s="5">
        <f t="shared" si="96"/>
        <v>2710645</v>
      </c>
      <c r="KL56" s="26">
        <f t="shared" si="97"/>
        <v>0</v>
      </c>
      <c r="KM56" s="5">
        <f t="shared" si="98"/>
        <v>345000</v>
      </c>
      <c r="KN56" s="26">
        <f t="shared" si="99"/>
        <v>0</v>
      </c>
      <c r="KO56" s="5">
        <f t="shared" si="100"/>
        <v>328741</v>
      </c>
      <c r="KP56" s="26">
        <f t="shared" si="101"/>
        <v>0</v>
      </c>
      <c r="KQ56" s="5">
        <f t="shared" si="102"/>
        <v>994328</v>
      </c>
      <c r="KR56" s="26">
        <f t="shared" si="103"/>
        <v>0</v>
      </c>
      <c r="KS56" s="5">
        <f t="shared" si="104"/>
        <v>0</v>
      </c>
      <c r="KT56" s="26">
        <f t="shared" si="105"/>
        <v>0</v>
      </c>
      <c r="KU56" s="5">
        <f t="shared" si="106"/>
        <v>0</v>
      </c>
      <c r="KV56" s="26">
        <f t="shared" si="107"/>
        <v>0</v>
      </c>
      <c r="KW56" s="5">
        <f t="shared" si="108"/>
        <v>956081</v>
      </c>
      <c r="KX56" s="26">
        <f t="shared" si="109"/>
        <v>0</v>
      </c>
      <c r="KY56" s="5">
        <f t="shared" si="110"/>
        <v>22652490</v>
      </c>
      <c r="KZ56" s="26">
        <f t="shared" si="111"/>
        <v>0</v>
      </c>
      <c r="LA56" s="5">
        <f t="shared" si="112"/>
        <v>5228514</v>
      </c>
      <c r="LB56" s="26">
        <f t="shared" si="113"/>
        <v>0</v>
      </c>
      <c r="LC56" s="5">
        <f t="shared" si="114"/>
        <v>620516</v>
      </c>
      <c r="LD56" s="26">
        <f t="shared" si="115"/>
        <v>0</v>
      </c>
      <c r="LE56" s="5">
        <f t="shared" si="116"/>
        <v>4222212</v>
      </c>
      <c r="LF56" s="26">
        <f t="shared" si="117"/>
        <v>0</v>
      </c>
      <c r="LG56" s="5">
        <f t="shared" si="118"/>
        <v>0</v>
      </c>
      <c r="LH56" s="26">
        <f t="shared" si="119"/>
        <v>0</v>
      </c>
      <c r="LI56" s="5">
        <f t="shared" si="120"/>
        <v>3076824</v>
      </c>
      <c r="LJ56" s="26">
        <f t="shared" si="121"/>
        <v>0</v>
      </c>
      <c r="LK56" s="5">
        <f t="shared" si="122"/>
        <v>0</v>
      </c>
      <c r="LL56" s="26">
        <f t="shared" si="123"/>
        <v>0</v>
      </c>
      <c r="LM56" s="5">
        <f t="shared" si="124"/>
        <v>0</v>
      </c>
      <c r="LN56" s="26">
        <f t="shared" si="125"/>
        <v>0</v>
      </c>
      <c r="LO56" s="5">
        <f t="shared" si="126"/>
        <v>306665</v>
      </c>
      <c r="LP56" s="26">
        <f t="shared" si="127"/>
        <v>0</v>
      </c>
      <c r="LQ56" s="5">
        <f t="shared" si="128"/>
        <v>2144240</v>
      </c>
      <c r="LR56" s="26">
        <f t="shared" si="129"/>
        <v>0</v>
      </c>
      <c r="LS56" s="5">
        <f t="shared" si="130"/>
        <v>470360</v>
      </c>
      <c r="LT56" s="26">
        <f t="shared" si="131"/>
        <v>0</v>
      </c>
      <c r="LU56" s="5">
        <f t="shared" si="132"/>
        <v>924166</v>
      </c>
      <c r="LV56" s="26">
        <f t="shared" si="133"/>
        <v>0</v>
      </c>
      <c r="LW56" s="5">
        <f t="shared" si="134"/>
        <v>404744</v>
      </c>
      <c r="LX56" s="26">
        <f t="shared" si="135"/>
        <v>0</v>
      </c>
      <c r="LY56" s="5">
        <f t="shared" si="136"/>
        <v>0</v>
      </c>
      <c r="LZ56" s="26">
        <f t="shared" si="137"/>
        <v>0</v>
      </c>
      <c r="MA56" s="5">
        <f t="shared" si="138"/>
        <v>1805812</v>
      </c>
      <c r="MB56" s="26">
        <f t="shared" si="139"/>
        <v>0</v>
      </c>
      <c r="MC56" s="5">
        <f t="shared" si="140"/>
        <v>102082</v>
      </c>
      <c r="MD56" s="26">
        <f t="shared" si="141"/>
        <v>0</v>
      </c>
      <c r="ME56" s="5">
        <f t="shared" si="142"/>
        <v>1755341</v>
      </c>
      <c r="MF56" s="26">
        <f t="shared" si="143"/>
        <v>0</v>
      </c>
      <c r="MG56" s="5">
        <f t="shared" si="144"/>
        <v>350942</v>
      </c>
      <c r="MH56" s="26">
        <f t="shared" si="145"/>
        <v>0</v>
      </c>
      <c r="MI56" s="5">
        <f t="shared" si="146"/>
        <v>428421</v>
      </c>
      <c r="MJ56" s="26">
        <f t="shared" si="147"/>
        <v>0</v>
      </c>
      <c r="MK56" s="5">
        <f t="shared" si="148"/>
        <v>1271266</v>
      </c>
      <c r="ML56" s="26">
        <f t="shared" si="149"/>
        <v>0</v>
      </c>
      <c r="MM56" s="5">
        <f t="shared" si="150"/>
        <v>23112105</v>
      </c>
      <c r="MN56" s="26">
        <f t="shared" si="151"/>
        <v>0</v>
      </c>
      <c r="MO56" s="5">
        <f t="shared" si="152"/>
        <v>0</v>
      </c>
      <c r="MP56" s="26">
        <f t="shared" si="153"/>
        <v>0</v>
      </c>
      <c r="MQ56" s="5">
        <f t="shared" si="154"/>
        <v>23112105</v>
      </c>
      <c r="MR56" s="26">
        <f t="shared" si="155"/>
        <v>0</v>
      </c>
      <c r="MT56" s="5">
        <f t="shared" si="76"/>
        <v>0</v>
      </c>
      <c r="MV56" s="4">
        <f t="shared" si="77"/>
        <v>0</v>
      </c>
    </row>
    <row r="57" spans="1:367" ht="9" customHeight="1" x14ac:dyDescent="0.15">
      <c r="A57" s="155" t="s">
        <v>325</v>
      </c>
      <c r="B57" s="25" t="s">
        <v>406</v>
      </c>
      <c r="C57" s="105">
        <v>187985</v>
      </c>
      <c r="D57" s="105">
        <v>2011</v>
      </c>
      <c r="E57" s="106">
        <v>1</v>
      </c>
      <c r="F57" s="106">
        <v>10</v>
      </c>
      <c r="G57" s="107">
        <v>9256</v>
      </c>
      <c r="H57" s="107">
        <v>11399</v>
      </c>
      <c r="I57" s="108">
        <v>1690683412</v>
      </c>
      <c r="J57" s="108"/>
      <c r="K57" s="108">
        <v>2936671</v>
      </c>
      <c r="L57" s="108"/>
      <c r="M57" s="108">
        <v>35795793</v>
      </c>
      <c r="N57" s="108"/>
      <c r="O57" s="108">
        <v>87820509</v>
      </c>
      <c r="P57" s="108"/>
      <c r="Q57" s="108">
        <v>446079713</v>
      </c>
      <c r="R57" s="108"/>
      <c r="S57" s="108">
        <v>848921579</v>
      </c>
      <c r="T57" s="108"/>
      <c r="U57" s="108">
        <v>14749</v>
      </c>
      <c r="V57" s="108"/>
      <c r="W57" s="108">
        <v>27934</v>
      </c>
      <c r="X57" s="108"/>
      <c r="Y57" s="108">
        <v>17918</v>
      </c>
      <c r="Z57" s="108"/>
      <c r="AA57" s="108">
        <v>31104</v>
      </c>
      <c r="AB57" s="108"/>
      <c r="AC57" s="130">
        <v>10</v>
      </c>
      <c r="AD57" s="130">
        <v>11</v>
      </c>
      <c r="AE57" s="130">
        <v>0</v>
      </c>
      <c r="AF57" s="26">
        <v>4102821</v>
      </c>
      <c r="AG57" s="26">
        <v>2414293</v>
      </c>
      <c r="AH57" s="26">
        <v>435936</v>
      </c>
      <c r="AI57" s="26">
        <v>146346</v>
      </c>
      <c r="AJ57" s="26">
        <v>403511.86</v>
      </c>
      <c r="AK57" s="36" t="s">
        <v>476</v>
      </c>
      <c r="AL57" s="26">
        <v>353072.88</v>
      </c>
      <c r="AM57" s="36">
        <v>8</v>
      </c>
      <c r="AN57" s="26">
        <v>160437</v>
      </c>
      <c r="AO57" s="36">
        <v>8</v>
      </c>
      <c r="AP57" s="26">
        <v>142610.67000000001</v>
      </c>
      <c r="AQ57" s="36">
        <v>9</v>
      </c>
      <c r="AR57" s="26">
        <v>125215.17</v>
      </c>
      <c r="AS57" s="36">
        <v>18</v>
      </c>
      <c r="AT57" s="26">
        <v>107327.29</v>
      </c>
      <c r="AU57" s="36">
        <v>21</v>
      </c>
      <c r="AV57" s="26">
        <v>69878.53</v>
      </c>
      <c r="AW57" s="36">
        <v>15</v>
      </c>
      <c r="AX57" s="26">
        <v>61657.53</v>
      </c>
      <c r="AY57" s="36">
        <v>17</v>
      </c>
      <c r="AZ57" s="83">
        <v>1367349</v>
      </c>
      <c r="BA57" s="83">
        <v>4010596</v>
      </c>
      <c r="BB57" s="83">
        <v>594962</v>
      </c>
      <c r="BC57" s="83">
        <v>111938</v>
      </c>
      <c r="BD57" s="83">
        <v>0</v>
      </c>
      <c r="BE57" s="83">
        <v>6084845</v>
      </c>
      <c r="BF57" s="83">
        <v>0</v>
      </c>
      <c r="BG57" s="83">
        <v>0</v>
      </c>
      <c r="BH57" s="83">
        <v>0</v>
      </c>
      <c r="BI57" s="83">
        <v>0</v>
      </c>
      <c r="BJ57" s="83">
        <v>1827588</v>
      </c>
      <c r="BK57" s="83">
        <v>1827588</v>
      </c>
      <c r="BL57" s="83">
        <v>400000</v>
      </c>
      <c r="BM57" s="83">
        <v>0</v>
      </c>
      <c r="BN57" s="83">
        <v>8000</v>
      </c>
      <c r="BO57" s="83">
        <v>32009</v>
      </c>
      <c r="BP57" s="83">
        <v>0</v>
      </c>
      <c r="BQ57" s="83">
        <v>440009</v>
      </c>
      <c r="BR57" s="83">
        <v>19445</v>
      </c>
      <c r="BS57" s="83">
        <v>135270</v>
      </c>
      <c r="BT57" s="83">
        <v>25781</v>
      </c>
      <c r="BU57" s="83">
        <v>-40124</v>
      </c>
      <c r="BV57" s="83">
        <v>5289231</v>
      </c>
      <c r="BW57" s="83">
        <v>5429603</v>
      </c>
      <c r="BX57" s="83">
        <v>0</v>
      </c>
      <c r="BY57" s="83">
        <v>0</v>
      </c>
      <c r="BZ57" s="83">
        <v>0</v>
      </c>
      <c r="CA57" s="83">
        <v>0</v>
      </c>
      <c r="CB57" s="83">
        <v>0</v>
      </c>
      <c r="CC57" s="83">
        <v>0</v>
      </c>
      <c r="CD57" s="54">
        <v>0</v>
      </c>
      <c r="CE57" s="54">
        <v>0</v>
      </c>
      <c r="CF57" s="54">
        <v>0</v>
      </c>
      <c r="CG57" s="54">
        <v>0</v>
      </c>
      <c r="CH57" s="54">
        <v>2559500</v>
      </c>
      <c r="CI57" s="54">
        <v>2559500</v>
      </c>
      <c r="CJ57" s="83">
        <v>830693</v>
      </c>
      <c r="CK57" s="83">
        <v>151634</v>
      </c>
      <c r="CL57" s="83">
        <v>197784</v>
      </c>
      <c r="CM57" s="83">
        <v>1450435</v>
      </c>
      <c r="CN57" s="83">
        <v>382615</v>
      </c>
      <c r="CO57" s="83">
        <v>3013161</v>
      </c>
      <c r="CP57" s="83">
        <v>0</v>
      </c>
      <c r="CQ57" s="83">
        <v>0</v>
      </c>
      <c r="CR57" s="83">
        <v>0</v>
      </c>
      <c r="CS57" s="83">
        <v>0</v>
      </c>
      <c r="CT57" s="83">
        <v>9205617</v>
      </c>
      <c r="CU57" s="83">
        <v>9205617</v>
      </c>
      <c r="CV57" s="83">
        <v>211952</v>
      </c>
      <c r="CW57" s="83">
        <v>16201</v>
      </c>
      <c r="CX57" s="83">
        <v>12707</v>
      </c>
      <c r="CY57" s="83">
        <v>107656</v>
      </c>
      <c r="CZ57" s="83">
        <v>4071354</v>
      </c>
      <c r="DA57" s="83">
        <v>4419870</v>
      </c>
      <c r="DB57" s="54">
        <v>0</v>
      </c>
      <c r="DC57" s="54">
        <v>0</v>
      </c>
      <c r="DD57" s="54">
        <v>0</v>
      </c>
      <c r="DE57" s="54">
        <v>0</v>
      </c>
      <c r="DF57" s="54">
        <v>10500</v>
      </c>
      <c r="DG57" s="54">
        <v>10500</v>
      </c>
      <c r="DH57" s="83">
        <v>0</v>
      </c>
      <c r="DI57" s="83">
        <v>0</v>
      </c>
      <c r="DJ57" s="83">
        <v>0</v>
      </c>
      <c r="DK57" s="83">
        <v>0</v>
      </c>
      <c r="DL57" s="83">
        <v>1342240</v>
      </c>
      <c r="DM57" s="83">
        <v>1342240</v>
      </c>
      <c r="DN57" s="83">
        <v>0</v>
      </c>
      <c r="DO57" s="83">
        <v>0</v>
      </c>
      <c r="DP57" s="83">
        <v>0</v>
      </c>
      <c r="DQ57" s="83">
        <v>0</v>
      </c>
      <c r="DR57" s="83">
        <v>5602700</v>
      </c>
      <c r="DS57" s="83">
        <v>5602700</v>
      </c>
      <c r="DT57" s="84">
        <v>0</v>
      </c>
      <c r="DU57" s="84">
        <v>0</v>
      </c>
      <c r="DV57" s="84">
        <v>0</v>
      </c>
      <c r="DW57" s="84">
        <v>0</v>
      </c>
      <c r="DX57" s="84">
        <v>0</v>
      </c>
      <c r="DY57" s="84">
        <v>0</v>
      </c>
      <c r="DZ57" s="84">
        <v>19942</v>
      </c>
      <c r="EA57" s="84">
        <v>900</v>
      </c>
      <c r="EB57" s="84">
        <v>1749</v>
      </c>
      <c r="EC57" s="84">
        <v>42988</v>
      </c>
      <c r="ED57" s="84">
        <v>133360</v>
      </c>
      <c r="EE57" s="84">
        <v>198939</v>
      </c>
      <c r="EF57" s="84">
        <v>0</v>
      </c>
      <c r="EG57" s="84">
        <v>0</v>
      </c>
      <c r="EH57" s="84">
        <v>0</v>
      </c>
      <c r="EI57" s="84">
        <v>0</v>
      </c>
      <c r="EJ57" s="84">
        <v>152538</v>
      </c>
      <c r="EK57" s="84">
        <v>152538</v>
      </c>
      <c r="EL57" s="84">
        <v>2849381</v>
      </c>
      <c r="EM57" s="84">
        <v>4314601</v>
      </c>
      <c r="EN57" s="84">
        <v>840983</v>
      </c>
      <c r="EO57" s="84">
        <v>1704902</v>
      </c>
      <c r="EP57" s="84">
        <v>30577243</v>
      </c>
      <c r="EQ57" s="84">
        <v>40287110</v>
      </c>
      <c r="ER57" s="84">
        <v>2443773</v>
      </c>
      <c r="ES57" s="84">
        <v>404087</v>
      </c>
      <c r="ET57" s="84">
        <v>465652</v>
      </c>
      <c r="EU57" s="84">
        <v>3203602</v>
      </c>
      <c r="EV57" s="84">
        <v>141036</v>
      </c>
      <c r="EW57" s="84">
        <v>6658150</v>
      </c>
      <c r="EX57" s="84">
        <v>350000</v>
      </c>
      <c r="EY57" s="84">
        <v>330000</v>
      </c>
      <c r="EZ57" s="84">
        <v>65000</v>
      </c>
      <c r="FA57" s="84">
        <v>62731</v>
      </c>
      <c r="FB57" s="84">
        <v>0</v>
      </c>
      <c r="FC57" s="84">
        <v>807731</v>
      </c>
      <c r="FD57" s="84">
        <v>1976354</v>
      </c>
      <c r="FE57" s="84">
        <v>1995649</v>
      </c>
      <c r="FF57" s="84">
        <v>907178</v>
      </c>
      <c r="FG57" s="84">
        <v>2530949</v>
      </c>
      <c r="FH57" s="84">
        <v>0</v>
      </c>
      <c r="FI57" s="84">
        <v>7410130</v>
      </c>
      <c r="FJ57" s="84">
        <v>0</v>
      </c>
      <c r="FK57" s="84">
        <v>0</v>
      </c>
      <c r="FL57" s="84">
        <v>0</v>
      </c>
      <c r="FM57" s="84">
        <v>0</v>
      </c>
      <c r="FN57" s="84">
        <v>0</v>
      </c>
      <c r="FO57" s="84">
        <v>0</v>
      </c>
      <c r="FP57" s="84">
        <v>54492</v>
      </c>
      <c r="FQ57" s="84">
        <v>0</v>
      </c>
      <c r="FR57" s="84">
        <v>0</v>
      </c>
      <c r="FS57" s="84">
        <v>26611</v>
      </c>
      <c r="FT57" s="84">
        <v>5188860</v>
      </c>
      <c r="FU57" s="84">
        <v>5269963</v>
      </c>
      <c r="FV57" s="54">
        <v>0</v>
      </c>
      <c r="FW57" s="54">
        <v>0</v>
      </c>
      <c r="FX57" s="54">
        <v>0</v>
      </c>
      <c r="FY57" s="54">
        <v>0</v>
      </c>
      <c r="FZ57" s="54">
        <v>0</v>
      </c>
      <c r="GA57" s="54">
        <v>0</v>
      </c>
      <c r="GB57" s="84">
        <v>0</v>
      </c>
      <c r="GC57" s="84">
        <v>0</v>
      </c>
      <c r="GD57" s="84">
        <v>0</v>
      </c>
      <c r="GE57" s="84">
        <v>0</v>
      </c>
      <c r="GF57" s="84">
        <v>0</v>
      </c>
      <c r="GG57" s="84">
        <v>0</v>
      </c>
      <c r="GH57" s="84">
        <v>250582</v>
      </c>
      <c r="GI57" s="84">
        <v>109023</v>
      </c>
      <c r="GJ57" s="84">
        <v>62121</v>
      </c>
      <c r="GK57" s="84">
        <v>160556</v>
      </c>
      <c r="GL57" s="84">
        <v>0</v>
      </c>
      <c r="GM57" s="84">
        <v>582282</v>
      </c>
      <c r="GN57" s="84">
        <v>545867</v>
      </c>
      <c r="GO57" s="84">
        <v>294359</v>
      </c>
      <c r="GP57" s="84">
        <v>134236</v>
      </c>
      <c r="GQ57" s="84">
        <v>1229514</v>
      </c>
      <c r="GR57" s="84">
        <v>0</v>
      </c>
      <c r="GS57" s="84">
        <v>2203976</v>
      </c>
      <c r="GT57" s="84">
        <v>115645</v>
      </c>
      <c r="GU57" s="84">
        <v>35000</v>
      </c>
      <c r="GV57" s="84">
        <v>5980</v>
      </c>
      <c r="GW57" s="84">
        <v>211879</v>
      </c>
      <c r="GX57" s="84">
        <v>0</v>
      </c>
      <c r="GY57" s="84">
        <v>368504</v>
      </c>
      <c r="GZ57" s="84">
        <v>679996</v>
      </c>
      <c r="HA57" s="84">
        <v>463056</v>
      </c>
      <c r="HB57" s="84">
        <v>315554</v>
      </c>
      <c r="HC57" s="84">
        <v>221386</v>
      </c>
      <c r="HD57" s="84">
        <v>0</v>
      </c>
      <c r="HE57" s="84">
        <v>1679992</v>
      </c>
      <c r="HF57" s="84">
        <v>0</v>
      </c>
      <c r="HG57" s="84">
        <v>0</v>
      </c>
      <c r="HH57" s="84">
        <v>0</v>
      </c>
      <c r="HI57" s="84">
        <v>0</v>
      </c>
      <c r="HJ57" s="84">
        <v>145952</v>
      </c>
      <c r="HK57" s="84">
        <v>145952</v>
      </c>
      <c r="HL57" s="84">
        <v>0</v>
      </c>
      <c r="HM57" s="84">
        <v>0</v>
      </c>
      <c r="HN57" s="84">
        <v>0</v>
      </c>
      <c r="HO57" s="84">
        <v>0</v>
      </c>
      <c r="HP57" s="84">
        <v>0</v>
      </c>
      <c r="HQ57" s="84">
        <v>0</v>
      </c>
      <c r="HR57" s="84">
        <v>0</v>
      </c>
      <c r="HS57" s="84">
        <v>0</v>
      </c>
      <c r="HT57" s="84">
        <v>0</v>
      </c>
      <c r="HU57" s="84">
        <v>0</v>
      </c>
      <c r="HV57" s="84">
        <v>466923</v>
      </c>
      <c r="HW57" s="84">
        <v>466923</v>
      </c>
      <c r="HX57" s="84">
        <v>0</v>
      </c>
      <c r="HY57" s="84">
        <v>0</v>
      </c>
      <c r="HZ57" s="84">
        <v>0</v>
      </c>
      <c r="IA57" s="84">
        <v>0</v>
      </c>
      <c r="IB57" s="84">
        <v>214000</v>
      </c>
      <c r="IC57" s="84">
        <v>214000</v>
      </c>
      <c r="ID57" s="84">
        <v>0</v>
      </c>
      <c r="IE57" s="84">
        <v>0</v>
      </c>
      <c r="IF57" s="84">
        <v>0</v>
      </c>
      <c r="IG57" s="84">
        <v>0</v>
      </c>
      <c r="IH57" s="84">
        <v>9205617</v>
      </c>
      <c r="II57" s="84">
        <v>9205617</v>
      </c>
      <c r="IJ57" s="84">
        <v>0</v>
      </c>
      <c r="IK57" s="84">
        <v>0</v>
      </c>
      <c r="IL57" s="84">
        <v>0</v>
      </c>
      <c r="IM57" s="84">
        <v>0</v>
      </c>
      <c r="IN57" s="84">
        <v>382058</v>
      </c>
      <c r="IO57" s="84">
        <v>382058</v>
      </c>
      <c r="IP57" s="84">
        <v>244</v>
      </c>
      <c r="IQ57" s="84">
        <v>3525</v>
      </c>
      <c r="IR57" s="84">
        <v>885</v>
      </c>
      <c r="IS57" s="84">
        <v>10633</v>
      </c>
      <c r="IT57" s="84">
        <v>397129</v>
      </c>
      <c r="IU57" s="84">
        <v>412416</v>
      </c>
      <c r="IV57" s="84">
        <v>485739</v>
      </c>
      <c r="IW57" s="84">
        <v>276439</v>
      </c>
      <c r="IX57" s="84">
        <v>102103</v>
      </c>
      <c r="IY57" s="84">
        <v>422096</v>
      </c>
      <c r="IZ57" s="84">
        <v>3334045</v>
      </c>
      <c r="JA57" s="84">
        <v>4620422</v>
      </c>
      <c r="JB57" s="84">
        <v>6902692</v>
      </c>
      <c r="JC57" s="84">
        <v>3911138</v>
      </c>
      <c r="JD57" s="84">
        <v>2058709</v>
      </c>
      <c r="JE57" s="84">
        <v>8079957</v>
      </c>
      <c r="JF57" s="84">
        <v>19475620</v>
      </c>
      <c r="JG57" s="84">
        <v>40428116</v>
      </c>
      <c r="JH57" s="54">
        <v>0</v>
      </c>
      <c r="JI57" s="54">
        <v>0</v>
      </c>
      <c r="JJ57" s="54">
        <v>0</v>
      </c>
      <c r="JK57" s="54">
        <v>0</v>
      </c>
      <c r="JL57" s="54">
        <v>0</v>
      </c>
      <c r="JM57" s="54">
        <v>0</v>
      </c>
      <c r="JN57" s="84">
        <v>6902692</v>
      </c>
      <c r="JO57" s="84">
        <v>3911138</v>
      </c>
      <c r="JP57" s="84">
        <v>2058709</v>
      </c>
      <c r="JQ57" s="84">
        <v>8079957</v>
      </c>
      <c r="JR57" s="84">
        <v>19475620</v>
      </c>
      <c r="JS57" s="84">
        <v>40428116</v>
      </c>
      <c r="JU57" s="5">
        <f t="shared" si="80"/>
        <v>6084845</v>
      </c>
      <c r="JV57" s="26">
        <f t="shared" si="81"/>
        <v>0</v>
      </c>
      <c r="JW57" s="5">
        <f t="shared" si="82"/>
        <v>1827588</v>
      </c>
      <c r="JX57" s="26">
        <f t="shared" si="83"/>
        <v>0</v>
      </c>
      <c r="JY57" s="5">
        <f t="shared" si="84"/>
        <v>440009</v>
      </c>
      <c r="JZ57" s="26">
        <f t="shared" si="85"/>
        <v>0</v>
      </c>
      <c r="KA57" s="5">
        <f t="shared" si="86"/>
        <v>5429603</v>
      </c>
      <c r="KB57" s="26">
        <f t="shared" si="87"/>
        <v>0</v>
      </c>
      <c r="KC57" s="5">
        <f t="shared" si="88"/>
        <v>0</v>
      </c>
      <c r="KD57" s="26">
        <f t="shared" si="89"/>
        <v>0</v>
      </c>
      <c r="KE57" s="5">
        <f t="shared" si="90"/>
        <v>2559500</v>
      </c>
      <c r="KF57" s="26">
        <f t="shared" si="91"/>
        <v>0</v>
      </c>
      <c r="KG57" s="5">
        <f t="shared" si="92"/>
        <v>3013161</v>
      </c>
      <c r="KH57" s="26">
        <f t="shared" si="93"/>
        <v>0</v>
      </c>
      <c r="KI57" s="5">
        <f t="shared" si="94"/>
        <v>9205617</v>
      </c>
      <c r="KJ57" s="26">
        <f t="shared" si="95"/>
        <v>0</v>
      </c>
      <c r="KK57" s="5">
        <f t="shared" si="96"/>
        <v>4419870</v>
      </c>
      <c r="KL57" s="26">
        <f t="shared" si="97"/>
        <v>0</v>
      </c>
      <c r="KM57" s="5">
        <f t="shared" si="98"/>
        <v>10500</v>
      </c>
      <c r="KN57" s="26">
        <f t="shared" si="99"/>
        <v>0</v>
      </c>
      <c r="KO57" s="5">
        <f t="shared" si="100"/>
        <v>1342240</v>
      </c>
      <c r="KP57" s="26">
        <f t="shared" si="101"/>
        <v>0</v>
      </c>
      <c r="KQ57" s="5">
        <f t="shared" si="102"/>
        <v>5602700</v>
      </c>
      <c r="KR57" s="26">
        <f t="shared" si="103"/>
        <v>0</v>
      </c>
      <c r="KS57" s="5">
        <f t="shared" si="104"/>
        <v>0</v>
      </c>
      <c r="KT57" s="26">
        <f t="shared" si="105"/>
        <v>0</v>
      </c>
      <c r="KU57" s="5">
        <f t="shared" si="106"/>
        <v>198939</v>
      </c>
      <c r="KV57" s="26">
        <f t="shared" si="107"/>
        <v>0</v>
      </c>
      <c r="KW57" s="5">
        <f t="shared" si="108"/>
        <v>152538</v>
      </c>
      <c r="KX57" s="26">
        <f t="shared" si="109"/>
        <v>0</v>
      </c>
      <c r="KY57" s="5">
        <f t="shared" si="110"/>
        <v>40287110</v>
      </c>
      <c r="KZ57" s="26">
        <f t="shared" si="111"/>
        <v>0</v>
      </c>
      <c r="LA57" s="5">
        <f t="shared" si="112"/>
        <v>6658150</v>
      </c>
      <c r="LB57" s="26">
        <f t="shared" si="113"/>
        <v>0</v>
      </c>
      <c r="LC57" s="5">
        <f t="shared" si="114"/>
        <v>807731</v>
      </c>
      <c r="LD57" s="26">
        <f t="shared" si="115"/>
        <v>0</v>
      </c>
      <c r="LE57" s="5">
        <f t="shared" si="116"/>
        <v>7410130</v>
      </c>
      <c r="LF57" s="26">
        <f t="shared" si="117"/>
        <v>0</v>
      </c>
      <c r="LG57" s="5">
        <f t="shared" si="118"/>
        <v>0</v>
      </c>
      <c r="LH57" s="26">
        <f t="shared" si="119"/>
        <v>0</v>
      </c>
      <c r="LI57" s="5">
        <f t="shared" si="120"/>
        <v>5269963</v>
      </c>
      <c r="LJ57" s="26">
        <f t="shared" si="121"/>
        <v>0</v>
      </c>
      <c r="LK57" s="5">
        <f t="shared" si="122"/>
        <v>0</v>
      </c>
      <c r="LL57" s="26">
        <f t="shared" si="123"/>
        <v>0</v>
      </c>
      <c r="LM57" s="5">
        <f t="shared" si="124"/>
        <v>0</v>
      </c>
      <c r="LN57" s="26">
        <f t="shared" si="125"/>
        <v>0</v>
      </c>
      <c r="LO57" s="5">
        <f t="shared" si="126"/>
        <v>582282</v>
      </c>
      <c r="LP57" s="26">
        <f t="shared" si="127"/>
        <v>0</v>
      </c>
      <c r="LQ57" s="5">
        <f t="shared" si="128"/>
        <v>2203976</v>
      </c>
      <c r="LR57" s="26">
        <f t="shared" si="129"/>
        <v>0</v>
      </c>
      <c r="LS57" s="5">
        <f t="shared" si="130"/>
        <v>368504</v>
      </c>
      <c r="LT57" s="26">
        <f t="shared" si="131"/>
        <v>0</v>
      </c>
      <c r="LU57" s="5">
        <f t="shared" si="132"/>
        <v>1679992</v>
      </c>
      <c r="LV57" s="26">
        <f t="shared" si="133"/>
        <v>0</v>
      </c>
      <c r="LW57" s="5">
        <f t="shared" si="134"/>
        <v>145952</v>
      </c>
      <c r="LX57" s="26">
        <f t="shared" si="135"/>
        <v>0</v>
      </c>
      <c r="LY57" s="5">
        <f t="shared" si="136"/>
        <v>0</v>
      </c>
      <c r="LZ57" s="26">
        <f t="shared" si="137"/>
        <v>0</v>
      </c>
      <c r="MA57" s="5">
        <f t="shared" si="138"/>
        <v>466923</v>
      </c>
      <c r="MB57" s="26">
        <f t="shared" si="139"/>
        <v>0</v>
      </c>
      <c r="MC57" s="5">
        <f t="shared" si="140"/>
        <v>214000</v>
      </c>
      <c r="MD57" s="26">
        <f t="shared" si="141"/>
        <v>0</v>
      </c>
      <c r="ME57" s="5">
        <f t="shared" si="142"/>
        <v>9205617</v>
      </c>
      <c r="MF57" s="26">
        <f t="shared" si="143"/>
        <v>0</v>
      </c>
      <c r="MG57" s="5">
        <f t="shared" si="144"/>
        <v>382058</v>
      </c>
      <c r="MH57" s="26">
        <f t="shared" si="145"/>
        <v>0</v>
      </c>
      <c r="MI57" s="5">
        <f t="shared" si="146"/>
        <v>412416</v>
      </c>
      <c r="MJ57" s="26">
        <f t="shared" si="147"/>
        <v>0</v>
      </c>
      <c r="MK57" s="5">
        <f t="shared" si="148"/>
        <v>4620422</v>
      </c>
      <c r="ML57" s="26">
        <f t="shared" si="149"/>
        <v>0</v>
      </c>
      <c r="MM57" s="5">
        <f t="shared" si="150"/>
        <v>40428116</v>
      </c>
      <c r="MN57" s="26">
        <f t="shared" si="151"/>
        <v>0</v>
      </c>
      <c r="MO57" s="5">
        <f t="shared" si="152"/>
        <v>0</v>
      </c>
      <c r="MP57" s="26">
        <f t="shared" si="153"/>
        <v>0</v>
      </c>
      <c r="MQ57" s="5">
        <f t="shared" si="154"/>
        <v>40428116</v>
      </c>
      <c r="MR57" s="26">
        <f t="shared" si="155"/>
        <v>0</v>
      </c>
      <c r="MT57" s="5">
        <f t="shared" si="76"/>
        <v>0</v>
      </c>
      <c r="MV57" s="4">
        <f t="shared" si="77"/>
        <v>0</v>
      </c>
    </row>
    <row r="58" spans="1:367" x14ac:dyDescent="0.15">
      <c r="A58" s="157" t="s">
        <v>326</v>
      </c>
      <c r="B58" s="25" t="s">
        <v>475</v>
      </c>
      <c r="C58" s="109">
        <v>178396</v>
      </c>
      <c r="D58" s="105">
        <v>2011</v>
      </c>
      <c r="E58" s="106">
        <v>1</v>
      </c>
      <c r="F58" s="106">
        <v>12</v>
      </c>
      <c r="G58" s="107">
        <v>5851</v>
      </c>
      <c r="H58" s="107">
        <v>6768</v>
      </c>
      <c r="I58" s="108">
        <v>561724545</v>
      </c>
      <c r="J58" s="108"/>
      <c r="K58" s="108">
        <v>1323000</v>
      </c>
      <c r="L58" s="108"/>
      <c r="M58" s="108">
        <v>14203000</v>
      </c>
      <c r="N58" s="108"/>
      <c r="O58" s="108">
        <v>12395000</v>
      </c>
      <c r="P58" s="108"/>
      <c r="Q58" s="108">
        <v>144421000</v>
      </c>
      <c r="R58" s="108"/>
      <c r="S58" s="112">
        <v>439757671</v>
      </c>
      <c r="T58" s="108"/>
      <c r="U58" s="112">
        <v>12572</v>
      </c>
      <c r="V58" s="108"/>
      <c r="W58" s="112">
        <v>23852</v>
      </c>
      <c r="X58" s="108"/>
      <c r="Y58" s="112">
        <v>18464</v>
      </c>
      <c r="Z58" s="108"/>
      <c r="AA58" s="112">
        <v>29744</v>
      </c>
      <c r="AB58" s="108"/>
      <c r="AC58" s="129">
        <v>6</v>
      </c>
      <c r="AD58" s="129">
        <v>11</v>
      </c>
      <c r="AE58" s="129">
        <v>0</v>
      </c>
      <c r="AF58" s="26">
        <v>3367130</v>
      </c>
      <c r="AG58" s="26">
        <v>2608172</v>
      </c>
      <c r="AH58" s="26">
        <v>293298</v>
      </c>
      <c r="AI58" s="26">
        <v>118608</v>
      </c>
      <c r="AJ58" s="26">
        <v>248781.65</v>
      </c>
      <c r="AK58" s="36">
        <v>4.96</v>
      </c>
      <c r="AL58" s="26">
        <v>205659.5</v>
      </c>
      <c r="AM58" s="36">
        <v>6</v>
      </c>
      <c r="AN58" s="26">
        <v>89750.42</v>
      </c>
      <c r="AO58" s="36">
        <v>8.43</v>
      </c>
      <c r="AP58" s="26">
        <v>84066.22</v>
      </c>
      <c r="AQ58" s="36">
        <v>9</v>
      </c>
      <c r="AR58" s="26">
        <v>76727.360000000001</v>
      </c>
      <c r="AS58" s="36">
        <v>15.13</v>
      </c>
      <c r="AT58" s="26">
        <v>68287.350000000006</v>
      </c>
      <c r="AU58" s="36">
        <v>17</v>
      </c>
      <c r="AV58" s="26">
        <v>45751.98</v>
      </c>
      <c r="AW58" s="36">
        <v>15.37</v>
      </c>
      <c r="AX58" s="26">
        <v>43950.5</v>
      </c>
      <c r="AY58" s="36">
        <v>16</v>
      </c>
      <c r="AZ58" s="54">
        <v>736237</v>
      </c>
      <c r="BA58" s="54">
        <v>920000</v>
      </c>
      <c r="BB58" s="54">
        <v>25329</v>
      </c>
      <c r="BC58" s="54">
        <v>89768</v>
      </c>
      <c r="BD58" s="54">
        <v>0</v>
      </c>
      <c r="BE58" s="54">
        <v>1771334</v>
      </c>
      <c r="BF58" s="54">
        <v>0</v>
      </c>
      <c r="BG58" s="54">
        <v>0</v>
      </c>
      <c r="BH58" s="54">
        <v>0</v>
      </c>
      <c r="BI58" s="54">
        <v>0</v>
      </c>
      <c r="BJ58" s="54">
        <v>2952320</v>
      </c>
      <c r="BK58" s="54">
        <v>2952320</v>
      </c>
      <c r="BL58" s="54">
        <v>750000</v>
      </c>
      <c r="BM58" s="54">
        <v>0</v>
      </c>
      <c r="BN58" s="54">
        <v>0</v>
      </c>
      <c r="BO58" s="54">
        <v>4000</v>
      </c>
      <c r="BP58" s="54">
        <v>0</v>
      </c>
      <c r="BQ58" s="54">
        <v>754000</v>
      </c>
      <c r="BR58" s="54">
        <v>135957</v>
      </c>
      <c r="BS58" s="54">
        <v>140881</v>
      </c>
      <c r="BT58" s="54">
        <v>12093</v>
      </c>
      <c r="BU58" s="54">
        <v>162736</v>
      </c>
      <c r="BV58" s="54">
        <v>431572</v>
      </c>
      <c r="BW58" s="54">
        <v>883239</v>
      </c>
      <c r="BX58" s="54">
        <v>0</v>
      </c>
      <c r="BY58" s="54">
        <v>0</v>
      </c>
      <c r="BZ58" s="54">
        <v>0</v>
      </c>
      <c r="CA58" s="54">
        <v>0</v>
      </c>
      <c r="CB58" s="54">
        <v>0</v>
      </c>
      <c r="CC58" s="54">
        <v>0</v>
      </c>
      <c r="CD58" s="54">
        <v>0</v>
      </c>
      <c r="CE58" s="54">
        <v>0</v>
      </c>
      <c r="CF58" s="54">
        <v>0</v>
      </c>
      <c r="CG58" s="54">
        <v>0</v>
      </c>
      <c r="CH58" s="54">
        <v>3262300</v>
      </c>
      <c r="CI58" s="54">
        <v>3262300</v>
      </c>
      <c r="CJ58" s="54">
        <v>1471119</v>
      </c>
      <c r="CK58" s="54">
        <v>271901</v>
      </c>
      <c r="CL58" s="54">
        <v>222882</v>
      </c>
      <c r="CM58" s="54">
        <v>1926827</v>
      </c>
      <c r="CN58" s="54">
        <v>5185846</v>
      </c>
      <c r="CO58" s="54">
        <v>9078575</v>
      </c>
      <c r="CP58" s="54">
        <v>0</v>
      </c>
      <c r="CQ58" s="54">
        <v>0</v>
      </c>
      <c r="CR58" s="54">
        <v>0</v>
      </c>
      <c r="CS58" s="54">
        <v>0</v>
      </c>
      <c r="CT58" s="54">
        <v>3518280</v>
      </c>
      <c r="CU58" s="54">
        <v>3518280</v>
      </c>
      <c r="CV58" s="54">
        <v>0</v>
      </c>
      <c r="CW58" s="54">
        <v>0</v>
      </c>
      <c r="CX58" s="54">
        <v>0</v>
      </c>
      <c r="CY58" s="54">
        <v>0</v>
      </c>
      <c r="CZ58" s="54">
        <v>2118375</v>
      </c>
      <c r="DA58" s="54">
        <v>2118375</v>
      </c>
      <c r="DB58" s="54">
        <v>0</v>
      </c>
      <c r="DC58" s="54">
        <v>0</v>
      </c>
      <c r="DD58" s="54">
        <v>0</v>
      </c>
      <c r="DE58" s="54">
        <v>0</v>
      </c>
      <c r="DF58" s="54">
        <v>0</v>
      </c>
      <c r="DG58" s="54">
        <v>0</v>
      </c>
      <c r="DH58" s="54">
        <v>0</v>
      </c>
      <c r="DI58" s="54">
        <v>0</v>
      </c>
      <c r="DJ58" s="54">
        <v>0</v>
      </c>
      <c r="DK58" s="54">
        <v>0</v>
      </c>
      <c r="DL58" s="54">
        <v>68833</v>
      </c>
      <c r="DM58" s="54">
        <v>68833</v>
      </c>
      <c r="DN58" s="54">
        <v>15104</v>
      </c>
      <c r="DO58" s="54">
        <v>9595</v>
      </c>
      <c r="DP58" s="54">
        <v>23545</v>
      </c>
      <c r="DQ58" s="54">
        <v>105184</v>
      </c>
      <c r="DR58" s="54">
        <v>2260648</v>
      </c>
      <c r="DS58" s="54">
        <v>2414076</v>
      </c>
      <c r="DT58" s="54">
        <v>0</v>
      </c>
      <c r="DU58" s="54">
        <v>0</v>
      </c>
      <c r="DV58" s="54">
        <v>0</v>
      </c>
      <c r="DW58" s="54">
        <v>0</v>
      </c>
      <c r="DX58" s="54">
        <v>0</v>
      </c>
      <c r="DY58" s="54">
        <v>0</v>
      </c>
      <c r="DZ58" s="54">
        <v>1538</v>
      </c>
      <c r="EA58" s="54">
        <v>19196</v>
      </c>
      <c r="EB58" s="54">
        <v>473</v>
      </c>
      <c r="EC58" s="54">
        <v>11632</v>
      </c>
      <c r="ED58" s="54">
        <v>15026</v>
      </c>
      <c r="EE58" s="54">
        <v>47865</v>
      </c>
      <c r="EF58" s="54">
        <v>0</v>
      </c>
      <c r="EG58" s="54">
        <v>0</v>
      </c>
      <c r="EH58" s="54">
        <v>0</v>
      </c>
      <c r="EI58" s="54">
        <v>0</v>
      </c>
      <c r="EJ58" s="54">
        <v>128400</v>
      </c>
      <c r="EK58" s="54">
        <v>128400</v>
      </c>
      <c r="EL58" s="54">
        <v>3109955</v>
      </c>
      <c r="EM58" s="54">
        <v>1361573</v>
      </c>
      <c r="EN58" s="54">
        <v>284322</v>
      </c>
      <c r="EO58" s="54">
        <v>2300147</v>
      </c>
      <c r="EP58" s="54">
        <v>19941600</v>
      </c>
      <c r="EQ58" s="54">
        <v>26997597</v>
      </c>
      <c r="ER58" s="54">
        <v>2322863</v>
      </c>
      <c r="ES58" s="54">
        <v>401908</v>
      </c>
      <c r="ET58" s="54">
        <v>360235</v>
      </c>
      <c r="EU58" s="54">
        <v>2890296</v>
      </c>
      <c r="EV58" s="54">
        <v>34748</v>
      </c>
      <c r="EW58" s="54">
        <v>6010050</v>
      </c>
      <c r="EX58" s="54">
        <v>200000</v>
      </c>
      <c r="EY58" s="54">
        <v>98385</v>
      </c>
      <c r="EZ58" s="54">
        <v>57449</v>
      </c>
      <c r="FA58" s="54">
        <v>149691</v>
      </c>
      <c r="FB58" s="54">
        <v>0</v>
      </c>
      <c r="FC58" s="54">
        <v>505525</v>
      </c>
      <c r="FD58" s="54">
        <v>1331621</v>
      </c>
      <c r="FE58" s="54">
        <v>729153</v>
      </c>
      <c r="FF58" s="54">
        <v>333199</v>
      </c>
      <c r="FG58" s="54">
        <v>1460673</v>
      </c>
      <c r="FH58" s="54">
        <v>0</v>
      </c>
      <c r="FI58" s="54">
        <v>3854646</v>
      </c>
      <c r="FJ58" s="54">
        <v>0</v>
      </c>
      <c r="FK58" s="54">
        <v>0</v>
      </c>
      <c r="FL58" s="54">
        <v>0</v>
      </c>
      <c r="FM58" s="54">
        <v>0</v>
      </c>
      <c r="FN58" s="54">
        <v>0</v>
      </c>
      <c r="FO58" s="54">
        <v>0</v>
      </c>
      <c r="FP58" s="54">
        <v>108367</v>
      </c>
      <c r="FQ58" s="54">
        <v>200195</v>
      </c>
      <c r="FR58" s="54">
        <v>54661</v>
      </c>
      <c r="FS58" s="54">
        <v>104698</v>
      </c>
      <c r="FT58" s="54">
        <v>2550685</v>
      </c>
      <c r="FU58" s="54">
        <v>3018606</v>
      </c>
      <c r="FV58" s="54">
        <v>0</v>
      </c>
      <c r="FW58" s="54">
        <v>0</v>
      </c>
      <c r="FX58" s="54">
        <v>0</v>
      </c>
      <c r="FY58" s="54">
        <v>0</v>
      </c>
      <c r="FZ58" s="54">
        <v>0</v>
      </c>
      <c r="GA58" s="54">
        <v>0</v>
      </c>
      <c r="GB58" s="54">
        <v>0</v>
      </c>
      <c r="GC58" s="54">
        <v>0</v>
      </c>
      <c r="GD58" s="54">
        <v>0</v>
      </c>
      <c r="GE58" s="54">
        <v>0</v>
      </c>
      <c r="GF58" s="54">
        <v>0</v>
      </c>
      <c r="GG58" s="54">
        <v>0</v>
      </c>
      <c r="GH58" s="54">
        <v>175544</v>
      </c>
      <c r="GI58" s="54">
        <v>92626</v>
      </c>
      <c r="GJ58" s="54">
        <v>41786</v>
      </c>
      <c r="GK58" s="54">
        <v>101950</v>
      </c>
      <c r="GL58" s="54">
        <v>0</v>
      </c>
      <c r="GM58" s="54">
        <v>411906</v>
      </c>
      <c r="GN58" s="54">
        <v>644964</v>
      </c>
      <c r="GO58" s="54">
        <v>257927</v>
      </c>
      <c r="GP58" s="54">
        <v>127973</v>
      </c>
      <c r="GQ58" s="54">
        <v>1075772</v>
      </c>
      <c r="GR58" s="54">
        <v>11935</v>
      </c>
      <c r="GS58" s="54">
        <v>2118571</v>
      </c>
      <c r="GT58" s="54">
        <v>199474</v>
      </c>
      <c r="GU58" s="54">
        <v>26994</v>
      </c>
      <c r="GV58" s="54">
        <v>21938</v>
      </c>
      <c r="GW58" s="54">
        <v>275913</v>
      </c>
      <c r="GX58" s="54">
        <v>115420</v>
      </c>
      <c r="GY58" s="54">
        <v>639739</v>
      </c>
      <c r="GZ58" s="54">
        <v>280082</v>
      </c>
      <c r="HA58" s="54">
        <v>201171</v>
      </c>
      <c r="HB58" s="54">
        <v>108630</v>
      </c>
      <c r="HC58" s="54">
        <v>191342</v>
      </c>
      <c r="HD58" s="54">
        <v>0</v>
      </c>
      <c r="HE58" s="54">
        <v>781225</v>
      </c>
      <c r="HF58" s="54">
        <v>1515</v>
      </c>
      <c r="HG58" s="54">
        <v>1757</v>
      </c>
      <c r="HH58" s="54">
        <v>1251</v>
      </c>
      <c r="HI58" s="54">
        <v>11609</v>
      </c>
      <c r="HJ58" s="54">
        <v>1844766</v>
      </c>
      <c r="HK58" s="54">
        <v>1860898</v>
      </c>
      <c r="HL58" s="54">
        <v>0</v>
      </c>
      <c r="HM58" s="54">
        <v>0</v>
      </c>
      <c r="HN58" s="54">
        <v>0</v>
      </c>
      <c r="HO58" s="54">
        <v>0</v>
      </c>
      <c r="HP58" s="54">
        <v>0</v>
      </c>
      <c r="HQ58" s="54">
        <v>0</v>
      </c>
      <c r="HR58" s="54">
        <v>105775</v>
      </c>
      <c r="HS58" s="54">
        <v>152148</v>
      </c>
      <c r="HT58" s="54">
        <v>151683</v>
      </c>
      <c r="HU58" s="54">
        <v>150319</v>
      </c>
      <c r="HV58" s="54">
        <v>278369</v>
      </c>
      <c r="HW58" s="54">
        <v>838294</v>
      </c>
      <c r="HX58" s="54">
        <v>0</v>
      </c>
      <c r="HY58" s="54">
        <v>0</v>
      </c>
      <c r="HZ58" s="54">
        <v>0</v>
      </c>
      <c r="IA58" s="54">
        <v>0</v>
      </c>
      <c r="IB58" s="54">
        <v>102247</v>
      </c>
      <c r="IC58" s="54">
        <v>102247</v>
      </c>
      <c r="ID58" s="54">
        <v>0</v>
      </c>
      <c r="IE58" s="54">
        <v>0</v>
      </c>
      <c r="IF58" s="54">
        <v>0</v>
      </c>
      <c r="IG58" s="54">
        <v>0</v>
      </c>
      <c r="IH58" s="54">
        <v>3518280</v>
      </c>
      <c r="II58" s="54">
        <v>3518280</v>
      </c>
      <c r="IJ58" s="54">
        <v>7384</v>
      </c>
      <c r="IK58" s="54">
        <v>414</v>
      </c>
      <c r="IL58" s="54">
        <v>0</v>
      </c>
      <c r="IM58" s="54">
        <v>24998</v>
      </c>
      <c r="IN58" s="54">
        <v>452428</v>
      </c>
      <c r="IO58" s="54">
        <v>485224</v>
      </c>
      <c r="IP58" s="54">
        <v>1144</v>
      </c>
      <c r="IQ58" s="54">
        <v>734</v>
      </c>
      <c r="IR58" s="54">
        <v>210</v>
      </c>
      <c r="IS58" s="54">
        <v>9122</v>
      </c>
      <c r="IT58" s="54">
        <v>416333</v>
      </c>
      <c r="IU58" s="54">
        <v>427543</v>
      </c>
      <c r="IV58" s="54">
        <v>194243</v>
      </c>
      <c r="IW58" s="54">
        <v>392022</v>
      </c>
      <c r="IX58" s="54">
        <v>40994</v>
      </c>
      <c r="IY58" s="54">
        <v>215200</v>
      </c>
      <c r="IZ58" s="54">
        <v>367094</v>
      </c>
      <c r="JA58" s="54">
        <v>1209553</v>
      </c>
      <c r="JB58" s="54">
        <v>5572976</v>
      </c>
      <c r="JC58" s="54">
        <v>2555434</v>
      </c>
      <c r="JD58" s="54">
        <v>1300009</v>
      </c>
      <c r="JE58" s="54">
        <v>6661583</v>
      </c>
      <c r="JF58" s="54">
        <v>9692305</v>
      </c>
      <c r="JG58" s="54">
        <v>25782307</v>
      </c>
      <c r="JH58" s="54">
        <v>0</v>
      </c>
      <c r="JI58" s="54">
        <v>0</v>
      </c>
      <c r="JJ58" s="54">
        <v>0</v>
      </c>
      <c r="JK58" s="54">
        <v>0</v>
      </c>
      <c r="JL58" s="54">
        <v>0</v>
      </c>
      <c r="JM58" s="54">
        <v>0</v>
      </c>
      <c r="JN58" s="54">
        <v>5572976</v>
      </c>
      <c r="JO58" s="54">
        <v>2555434</v>
      </c>
      <c r="JP58" s="54">
        <v>1300009</v>
      </c>
      <c r="JQ58" s="54">
        <v>6661583</v>
      </c>
      <c r="JR58" s="54">
        <v>9692305</v>
      </c>
      <c r="JS58" s="54">
        <v>25782307</v>
      </c>
      <c r="JU58" s="5">
        <f t="shared" si="80"/>
        <v>1771334</v>
      </c>
      <c r="JV58" s="26">
        <f t="shared" si="81"/>
        <v>0</v>
      </c>
      <c r="JW58" s="5">
        <f t="shared" si="82"/>
        <v>2952320</v>
      </c>
      <c r="JX58" s="26">
        <f t="shared" si="83"/>
        <v>0</v>
      </c>
      <c r="JY58" s="5">
        <f t="shared" si="84"/>
        <v>754000</v>
      </c>
      <c r="JZ58" s="26">
        <f t="shared" si="85"/>
        <v>0</v>
      </c>
      <c r="KA58" s="5">
        <f t="shared" si="86"/>
        <v>883239</v>
      </c>
      <c r="KB58" s="26">
        <f t="shared" si="87"/>
        <v>0</v>
      </c>
      <c r="KC58" s="5">
        <f t="shared" si="88"/>
        <v>0</v>
      </c>
      <c r="KD58" s="26">
        <f t="shared" si="89"/>
        <v>0</v>
      </c>
      <c r="KE58" s="5">
        <f t="shared" si="90"/>
        <v>3262300</v>
      </c>
      <c r="KF58" s="26">
        <f t="shared" si="91"/>
        <v>0</v>
      </c>
      <c r="KG58" s="5">
        <f t="shared" si="92"/>
        <v>9078575</v>
      </c>
      <c r="KH58" s="26">
        <f t="shared" si="93"/>
        <v>0</v>
      </c>
      <c r="KI58" s="5">
        <f t="shared" si="94"/>
        <v>3518280</v>
      </c>
      <c r="KJ58" s="26">
        <f t="shared" si="95"/>
        <v>0</v>
      </c>
      <c r="KK58" s="5">
        <f t="shared" si="96"/>
        <v>2118375</v>
      </c>
      <c r="KL58" s="26">
        <f t="shared" si="97"/>
        <v>0</v>
      </c>
      <c r="KM58" s="5">
        <f t="shared" si="98"/>
        <v>0</v>
      </c>
      <c r="KN58" s="26">
        <f t="shared" si="99"/>
        <v>0</v>
      </c>
      <c r="KO58" s="5">
        <f t="shared" si="100"/>
        <v>68833</v>
      </c>
      <c r="KP58" s="26">
        <f t="shared" si="101"/>
        <v>0</v>
      </c>
      <c r="KQ58" s="5">
        <f t="shared" si="102"/>
        <v>2414076</v>
      </c>
      <c r="KR58" s="26">
        <f t="shared" si="103"/>
        <v>0</v>
      </c>
      <c r="KS58" s="5">
        <f t="shared" si="104"/>
        <v>0</v>
      </c>
      <c r="KT58" s="26">
        <f t="shared" si="105"/>
        <v>0</v>
      </c>
      <c r="KU58" s="5">
        <f t="shared" si="106"/>
        <v>47865</v>
      </c>
      <c r="KV58" s="26">
        <f t="shared" si="107"/>
        <v>0</v>
      </c>
      <c r="KW58" s="5">
        <f t="shared" si="108"/>
        <v>128400</v>
      </c>
      <c r="KX58" s="26">
        <f t="shared" si="109"/>
        <v>0</v>
      </c>
      <c r="KY58" s="5">
        <f t="shared" si="110"/>
        <v>26997597</v>
      </c>
      <c r="KZ58" s="26">
        <f t="shared" si="111"/>
        <v>0</v>
      </c>
      <c r="LA58" s="5">
        <f t="shared" si="112"/>
        <v>6010050</v>
      </c>
      <c r="LB58" s="26">
        <f t="shared" si="113"/>
        <v>0</v>
      </c>
      <c r="LC58" s="5">
        <f t="shared" si="114"/>
        <v>505525</v>
      </c>
      <c r="LD58" s="26">
        <f t="shared" si="115"/>
        <v>0</v>
      </c>
      <c r="LE58" s="5">
        <f t="shared" si="116"/>
        <v>3854646</v>
      </c>
      <c r="LF58" s="26">
        <f t="shared" si="117"/>
        <v>0</v>
      </c>
      <c r="LG58" s="5">
        <f t="shared" si="118"/>
        <v>0</v>
      </c>
      <c r="LH58" s="26">
        <f t="shared" si="119"/>
        <v>0</v>
      </c>
      <c r="LI58" s="5">
        <f t="shared" si="120"/>
        <v>3018606</v>
      </c>
      <c r="LJ58" s="26">
        <f t="shared" si="121"/>
        <v>0</v>
      </c>
      <c r="LK58" s="5">
        <f t="shared" si="122"/>
        <v>0</v>
      </c>
      <c r="LL58" s="26">
        <f t="shared" si="123"/>
        <v>0</v>
      </c>
      <c r="LM58" s="5">
        <f t="shared" si="124"/>
        <v>0</v>
      </c>
      <c r="LN58" s="26">
        <f t="shared" si="125"/>
        <v>0</v>
      </c>
      <c r="LO58" s="5">
        <f t="shared" si="126"/>
        <v>411906</v>
      </c>
      <c r="LP58" s="26">
        <f t="shared" si="127"/>
        <v>0</v>
      </c>
      <c r="LQ58" s="5">
        <f t="shared" si="128"/>
        <v>2118571</v>
      </c>
      <c r="LR58" s="26">
        <f t="shared" si="129"/>
        <v>0</v>
      </c>
      <c r="LS58" s="5">
        <f t="shared" si="130"/>
        <v>639739</v>
      </c>
      <c r="LT58" s="26">
        <f t="shared" si="131"/>
        <v>0</v>
      </c>
      <c r="LU58" s="5">
        <f t="shared" si="132"/>
        <v>781225</v>
      </c>
      <c r="LV58" s="26">
        <f t="shared" si="133"/>
        <v>0</v>
      </c>
      <c r="LW58" s="5">
        <f t="shared" si="134"/>
        <v>1860898</v>
      </c>
      <c r="LX58" s="26">
        <f t="shared" si="135"/>
        <v>0</v>
      </c>
      <c r="LY58" s="5">
        <f t="shared" si="136"/>
        <v>0</v>
      </c>
      <c r="LZ58" s="26">
        <f t="shared" si="137"/>
        <v>0</v>
      </c>
      <c r="MA58" s="5">
        <f t="shared" si="138"/>
        <v>838294</v>
      </c>
      <c r="MB58" s="26">
        <f t="shared" si="139"/>
        <v>0</v>
      </c>
      <c r="MC58" s="5">
        <f t="shared" si="140"/>
        <v>102247</v>
      </c>
      <c r="MD58" s="26">
        <f t="shared" si="141"/>
        <v>0</v>
      </c>
      <c r="ME58" s="5">
        <f t="shared" si="142"/>
        <v>3518280</v>
      </c>
      <c r="MF58" s="26">
        <f t="shared" si="143"/>
        <v>0</v>
      </c>
      <c r="MG58" s="5">
        <f t="shared" si="144"/>
        <v>485224</v>
      </c>
      <c r="MH58" s="26">
        <f t="shared" si="145"/>
        <v>0</v>
      </c>
      <c r="MI58" s="5">
        <f t="shared" si="146"/>
        <v>427543</v>
      </c>
      <c r="MJ58" s="26">
        <f t="shared" si="147"/>
        <v>0</v>
      </c>
      <c r="MK58" s="5">
        <f t="shared" si="148"/>
        <v>1209553</v>
      </c>
      <c r="ML58" s="26">
        <f t="shared" si="149"/>
        <v>0</v>
      </c>
      <c r="MM58" s="5">
        <f t="shared" si="150"/>
        <v>25782307</v>
      </c>
      <c r="MN58" s="26">
        <f t="shared" si="151"/>
        <v>0</v>
      </c>
      <c r="MO58" s="5">
        <f t="shared" si="152"/>
        <v>0</v>
      </c>
      <c r="MP58" s="26">
        <f t="shared" si="153"/>
        <v>0</v>
      </c>
      <c r="MQ58" s="5">
        <f t="shared" si="154"/>
        <v>25782307</v>
      </c>
      <c r="MR58" s="26">
        <f t="shared" si="155"/>
        <v>0</v>
      </c>
      <c r="MT58" s="5">
        <f t="shared" si="76"/>
        <v>0</v>
      </c>
      <c r="MV58" s="4">
        <f t="shared" si="77"/>
        <v>0</v>
      </c>
    </row>
    <row r="59" spans="1:367" x14ac:dyDescent="0.15">
      <c r="A59" s="155" t="s">
        <v>327</v>
      </c>
      <c r="B59" s="25" t="s">
        <v>458</v>
      </c>
      <c r="C59" s="109">
        <v>199120</v>
      </c>
      <c r="D59" s="105">
        <v>2011</v>
      </c>
      <c r="E59" s="106">
        <v>1</v>
      </c>
      <c r="F59" s="106">
        <v>1</v>
      </c>
      <c r="G59" s="107">
        <v>7162</v>
      </c>
      <c r="H59" s="107">
        <v>10382</v>
      </c>
      <c r="I59" s="108">
        <v>2432439775</v>
      </c>
      <c r="J59" s="108"/>
      <c r="K59" s="108">
        <v>4209567</v>
      </c>
      <c r="L59" s="108"/>
      <c r="M59" s="108">
        <v>85852307</v>
      </c>
      <c r="N59" s="108"/>
      <c r="O59" s="108">
        <v>64359305</v>
      </c>
      <c r="P59" s="108"/>
      <c r="Q59" s="108">
        <v>1344233292</v>
      </c>
      <c r="R59" s="108"/>
      <c r="S59" s="108">
        <v>1766904567</v>
      </c>
      <c r="T59" s="108"/>
      <c r="U59" s="108">
        <v>16371</v>
      </c>
      <c r="V59" s="108"/>
      <c r="W59" s="108">
        <v>34986</v>
      </c>
      <c r="X59" s="108"/>
      <c r="Y59" s="108">
        <v>19757</v>
      </c>
      <c r="Z59" s="108"/>
      <c r="AA59" s="108">
        <v>38370</v>
      </c>
      <c r="AB59" s="108"/>
      <c r="AC59" s="129">
        <v>13</v>
      </c>
      <c r="AD59" s="129">
        <v>15</v>
      </c>
      <c r="AE59" s="129">
        <v>0</v>
      </c>
      <c r="AF59" s="26">
        <v>1191616</v>
      </c>
      <c r="AG59" s="26">
        <v>387942</v>
      </c>
      <c r="AH59" s="26">
        <v>486863.47</v>
      </c>
      <c r="AI59" s="26">
        <v>9.5</v>
      </c>
      <c r="AJ59" s="26">
        <v>486863.47</v>
      </c>
      <c r="AK59" s="36">
        <v>9.5</v>
      </c>
      <c r="AL59" s="26">
        <v>420473</v>
      </c>
      <c r="AM59" s="36">
        <v>11</v>
      </c>
      <c r="AN59" s="26">
        <v>486863.47</v>
      </c>
      <c r="AO59" s="36">
        <v>9.5</v>
      </c>
      <c r="AP59" s="26">
        <v>420473</v>
      </c>
      <c r="AQ59" s="36">
        <v>11</v>
      </c>
      <c r="AR59" s="26">
        <v>158144.76</v>
      </c>
      <c r="AS59" s="36">
        <v>27.5</v>
      </c>
      <c r="AT59" s="26">
        <v>124256.6</v>
      </c>
      <c r="AU59" s="36">
        <v>35</v>
      </c>
      <c r="AV59" s="26">
        <v>158144.76</v>
      </c>
      <c r="AW59" s="36">
        <v>27.5</v>
      </c>
      <c r="AX59" s="26">
        <v>124256.6</v>
      </c>
      <c r="AY59" s="36">
        <v>35</v>
      </c>
      <c r="AZ59" s="54">
        <v>10349441</v>
      </c>
      <c r="BA59" s="54">
        <v>9671840</v>
      </c>
      <c r="BB59" s="54">
        <v>159503</v>
      </c>
      <c r="BC59" s="54">
        <v>482908</v>
      </c>
      <c r="BD59" s="54">
        <v>654821</v>
      </c>
      <c r="BE59" s="54">
        <v>21318513</v>
      </c>
      <c r="BF59" s="54">
        <v>0</v>
      </c>
      <c r="BG59" s="54">
        <v>0</v>
      </c>
      <c r="BH59" s="54">
        <v>0</v>
      </c>
      <c r="BI59" s="54">
        <v>0</v>
      </c>
      <c r="BJ59" s="54">
        <v>7006090</v>
      </c>
      <c r="BK59" s="54">
        <v>7006090</v>
      </c>
      <c r="BL59" s="54">
        <v>1919903</v>
      </c>
      <c r="BM59" s="54">
        <v>799612</v>
      </c>
      <c r="BN59" s="54">
        <v>0</v>
      </c>
      <c r="BO59" s="54">
        <v>30207</v>
      </c>
      <c r="BP59" s="54">
        <v>0</v>
      </c>
      <c r="BQ59" s="54">
        <v>2749722</v>
      </c>
      <c r="BR59" s="54">
        <v>5435721</v>
      </c>
      <c r="BS59" s="54">
        <v>1034534</v>
      </c>
      <c r="BT59" s="54">
        <v>479296</v>
      </c>
      <c r="BU59" s="54">
        <v>7747915</v>
      </c>
      <c r="BV59" s="54">
        <v>3014923</v>
      </c>
      <c r="BW59" s="54">
        <v>17712389</v>
      </c>
      <c r="BX59" s="54">
        <v>0</v>
      </c>
      <c r="BY59" s="54">
        <v>0</v>
      </c>
      <c r="BZ59" s="54">
        <v>0</v>
      </c>
      <c r="CA59" s="54">
        <v>0</v>
      </c>
      <c r="CB59" s="54">
        <v>0</v>
      </c>
      <c r="CC59" s="54">
        <v>0</v>
      </c>
      <c r="CD59" s="54">
        <v>0</v>
      </c>
      <c r="CE59" s="54">
        <v>0</v>
      </c>
      <c r="CF59" s="54">
        <v>0</v>
      </c>
      <c r="CG59" s="54">
        <v>0</v>
      </c>
      <c r="CH59" s="54">
        <v>0</v>
      </c>
      <c r="CI59" s="54">
        <v>0</v>
      </c>
      <c r="CJ59" s="54">
        <v>0</v>
      </c>
      <c r="CK59" s="54">
        <v>0</v>
      </c>
      <c r="CL59" s="54">
        <v>0</v>
      </c>
      <c r="CM59" s="54">
        <v>0</v>
      </c>
      <c r="CN59" s="54">
        <v>0</v>
      </c>
      <c r="CO59" s="54">
        <v>0</v>
      </c>
      <c r="CP59" s="54">
        <v>0</v>
      </c>
      <c r="CQ59" s="54">
        <v>0</v>
      </c>
      <c r="CR59" s="54">
        <v>0</v>
      </c>
      <c r="CS59" s="54">
        <v>0</v>
      </c>
      <c r="CT59" s="54">
        <v>0</v>
      </c>
      <c r="CU59" s="54">
        <v>0</v>
      </c>
      <c r="CV59" s="54">
        <v>2997627</v>
      </c>
      <c r="CW59" s="54">
        <v>2868082</v>
      </c>
      <c r="CX59" s="54">
        <v>50000</v>
      </c>
      <c r="CY59" s="54">
        <v>61632</v>
      </c>
      <c r="CZ59" s="54">
        <v>260210</v>
      </c>
      <c r="DA59" s="54">
        <v>6237551</v>
      </c>
      <c r="DB59" s="54">
        <v>5888990</v>
      </c>
      <c r="DC59" s="54">
        <v>5361499</v>
      </c>
      <c r="DD59" s="54">
        <v>0</v>
      </c>
      <c r="DE59" s="54">
        <v>0</v>
      </c>
      <c r="DF59" s="54">
        <v>0</v>
      </c>
      <c r="DG59" s="54">
        <v>11250489</v>
      </c>
      <c r="DH59" s="54">
        <v>761729</v>
      </c>
      <c r="DI59" s="54">
        <v>585260</v>
      </c>
      <c r="DJ59" s="54">
        <v>33641</v>
      </c>
      <c r="DK59" s="54">
        <v>179675</v>
      </c>
      <c r="DL59" s="54">
        <v>40558</v>
      </c>
      <c r="DM59" s="54">
        <v>1600863</v>
      </c>
      <c r="DN59" s="54">
        <v>0</v>
      </c>
      <c r="DO59" s="54">
        <v>0</v>
      </c>
      <c r="DP59" s="54">
        <v>0</v>
      </c>
      <c r="DQ59" s="54">
        <v>32475</v>
      </c>
      <c r="DR59" s="54">
        <v>3695474</v>
      </c>
      <c r="DS59" s="54">
        <v>3727949</v>
      </c>
      <c r="DT59" s="54">
        <v>4288</v>
      </c>
      <c r="DU59" s="54">
        <v>7081</v>
      </c>
      <c r="DV59" s="54">
        <v>7729</v>
      </c>
      <c r="DW59" s="54">
        <v>34291</v>
      </c>
      <c r="DX59" s="54">
        <v>0</v>
      </c>
      <c r="DY59" s="54">
        <v>53389</v>
      </c>
      <c r="DZ59" s="54">
        <v>0</v>
      </c>
      <c r="EA59" s="54">
        <v>0</v>
      </c>
      <c r="EB59" s="54">
        <v>0</v>
      </c>
      <c r="EC59" s="54">
        <v>0</v>
      </c>
      <c r="ED59" s="54">
        <v>57062</v>
      </c>
      <c r="EE59" s="54">
        <v>57062</v>
      </c>
      <c r="EF59" s="54">
        <v>0</v>
      </c>
      <c r="EG59" s="54">
        <v>0</v>
      </c>
      <c r="EH59" s="54">
        <v>0</v>
      </c>
      <c r="EI59" s="54">
        <v>7394</v>
      </c>
      <c r="EJ59" s="54">
        <v>2061621</v>
      </c>
      <c r="EK59" s="54">
        <v>2069015</v>
      </c>
      <c r="EL59" s="54">
        <v>27357699</v>
      </c>
      <c r="EM59" s="54">
        <v>20327908</v>
      </c>
      <c r="EN59" s="54">
        <v>730169</v>
      </c>
      <c r="EO59" s="54">
        <v>8576497</v>
      </c>
      <c r="EP59" s="54">
        <v>18614038</v>
      </c>
      <c r="EQ59" s="54">
        <v>75606311</v>
      </c>
      <c r="ER59" s="54">
        <v>2698440</v>
      </c>
      <c r="ES59" s="54">
        <v>377622</v>
      </c>
      <c r="ET59" s="54">
        <v>441596</v>
      </c>
      <c r="EU59" s="54">
        <v>6826208</v>
      </c>
      <c r="EV59" s="54">
        <v>0</v>
      </c>
      <c r="EW59" s="54">
        <v>10343866</v>
      </c>
      <c r="EX59" s="54">
        <v>600000</v>
      </c>
      <c r="EY59" s="54">
        <v>500000</v>
      </c>
      <c r="EZ59" s="54">
        <v>155208</v>
      </c>
      <c r="FA59" s="54">
        <v>22777</v>
      </c>
      <c r="FB59" s="54">
        <v>0</v>
      </c>
      <c r="FC59" s="54">
        <v>1277985</v>
      </c>
      <c r="FD59" s="54">
        <v>4503401</v>
      </c>
      <c r="FE59" s="54">
        <v>2558714</v>
      </c>
      <c r="FF59" s="54">
        <v>1054554</v>
      </c>
      <c r="FG59" s="54">
        <v>4168502</v>
      </c>
      <c r="FH59" s="54">
        <v>0</v>
      </c>
      <c r="FI59" s="54">
        <v>12285171</v>
      </c>
      <c r="FJ59" s="54">
        <v>0</v>
      </c>
      <c r="FK59" s="54">
        <v>0</v>
      </c>
      <c r="FL59" s="54">
        <v>0</v>
      </c>
      <c r="FM59" s="54">
        <v>0</v>
      </c>
      <c r="FN59" s="54">
        <v>0</v>
      </c>
      <c r="FO59" s="54">
        <v>0</v>
      </c>
      <c r="FP59" s="54">
        <v>1883372</v>
      </c>
      <c r="FQ59" s="54">
        <v>911800</v>
      </c>
      <c r="FR59" s="54">
        <v>329191</v>
      </c>
      <c r="FS59" s="54">
        <v>307337</v>
      </c>
      <c r="FT59" s="54">
        <v>12872464</v>
      </c>
      <c r="FU59" s="54">
        <v>16304164</v>
      </c>
      <c r="FV59" s="54">
        <v>0</v>
      </c>
      <c r="FW59" s="54">
        <v>0</v>
      </c>
      <c r="FX59" s="54">
        <v>0</v>
      </c>
      <c r="FY59" s="54">
        <v>0</v>
      </c>
      <c r="FZ59" s="54">
        <v>0</v>
      </c>
      <c r="GA59" s="54">
        <v>0</v>
      </c>
      <c r="GB59" s="54">
        <v>0</v>
      </c>
      <c r="GC59" s="54">
        <v>0</v>
      </c>
      <c r="GD59" s="54">
        <v>0</v>
      </c>
      <c r="GE59" s="54">
        <v>0</v>
      </c>
      <c r="GF59" s="54">
        <v>0</v>
      </c>
      <c r="GG59" s="54">
        <v>0</v>
      </c>
      <c r="GH59" s="54">
        <v>580200</v>
      </c>
      <c r="GI59" s="54">
        <v>399756</v>
      </c>
      <c r="GJ59" s="54">
        <v>172886</v>
      </c>
      <c r="GK59" s="54">
        <v>426716</v>
      </c>
      <c r="GL59" s="54">
        <v>194557</v>
      </c>
      <c r="GM59" s="54">
        <v>1774115</v>
      </c>
      <c r="GN59" s="54">
        <v>1464410</v>
      </c>
      <c r="GO59" s="54">
        <v>850045</v>
      </c>
      <c r="GP59" s="54">
        <v>367589</v>
      </c>
      <c r="GQ59" s="54">
        <v>1385235</v>
      </c>
      <c r="GR59" s="54">
        <v>217604</v>
      </c>
      <c r="GS59" s="54">
        <v>4284883</v>
      </c>
      <c r="GT59" s="54">
        <v>903526</v>
      </c>
      <c r="GU59" s="54">
        <v>100197</v>
      </c>
      <c r="GV59" s="54">
        <v>88220</v>
      </c>
      <c r="GW59" s="54">
        <v>314048</v>
      </c>
      <c r="GX59" s="54">
        <v>1500000</v>
      </c>
      <c r="GY59" s="54">
        <v>2905991</v>
      </c>
      <c r="GZ59" s="54">
        <v>1078772</v>
      </c>
      <c r="HA59" s="54">
        <v>944176</v>
      </c>
      <c r="HB59" s="54">
        <v>125157</v>
      </c>
      <c r="HC59" s="54">
        <v>549399</v>
      </c>
      <c r="HD59" s="54">
        <v>763812</v>
      </c>
      <c r="HE59" s="54">
        <v>3461316</v>
      </c>
      <c r="HF59" s="54">
        <v>0</v>
      </c>
      <c r="HG59" s="54">
        <v>0</v>
      </c>
      <c r="HH59" s="54">
        <v>0</v>
      </c>
      <c r="HI59" s="54">
        <v>0</v>
      </c>
      <c r="HJ59" s="54">
        <v>609747</v>
      </c>
      <c r="HK59" s="54">
        <v>609747</v>
      </c>
      <c r="HL59" s="54">
        <v>0</v>
      </c>
      <c r="HM59" s="54">
        <v>0</v>
      </c>
      <c r="HN59" s="54">
        <v>0</v>
      </c>
      <c r="HO59" s="54">
        <v>0</v>
      </c>
      <c r="HP59" s="54">
        <v>0</v>
      </c>
      <c r="HQ59" s="54">
        <v>0</v>
      </c>
      <c r="HR59" s="54">
        <v>3649863</v>
      </c>
      <c r="HS59" s="54">
        <v>7885</v>
      </c>
      <c r="HT59" s="54">
        <v>12692</v>
      </c>
      <c r="HU59" s="54">
        <v>1119037</v>
      </c>
      <c r="HV59" s="54">
        <v>6550401</v>
      </c>
      <c r="HW59" s="54">
        <v>11339878</v>
      </c>
      <c r="HX59" s="54">
        <v>0</v>
      </c>
      <c r="HY59" s="54">
        <v>0</v>
      </c>
      <c r="HZ59" s="54">
        <v>0</v>
      </c>
      <c r="IA59" s="54">
        <v>0</v>
      </c>
      <c r="IB59" s="54">
        <v>410857</v>
      </c>
      <c r="IC59" s="54">
        <v>410857</v>
      </c>
      <c r="ID59" s="54">
        <v>0</v>
      </c>
      <c r="IE59" s="54">
        <v>0</v>
      </c>
      <c r="IF59" s="54">
        <v>0</v>
      </c>
      <c r="IG59" s="54">
        <v>0</v>
      </c>
      <c r="IH59" s="54">
        <v>1823279</v>
      </c>
      <c r="II59" s="54">
        <v>1823279</v>
      </c>
      <c r="IJ59" s="54">
        <v>0</v>
      </c>
      <c r="IK59" s="54">
        <v>0</v>
      </c>
      <c r="IL59" s="54">
        <v>0</v>
      </c>
      <c r="IM59" s="54">
        <v>0</v>
      </c>
      <c r="IN59" s="54">
        <v>2039946</v>
      </c>
      <c r="IO59" s="54">
        <v>2039946</v>
      </c>
      <c r="IP59" s="54">
        <v>3794</v>
      </c>
      <c r="IQ59" s="54">
        <v>805</v>
      </c>
      <c r="IR59" s="54">
        <v>1305</v>
      </c>
      <c r="IS59" s="54">
        <v>7715</v>
      </c>
      <c r="IT59" s="54">
        <v>1413942</v>
      </c>
      <c r="IU59" s="54">
        <v>1427561</v>
      </c>
      <c r="IV59" s="54">
        <v>582804</v>
      </c>
      <c r="IW59" s="54">
        <v>151530</v>
      </c>
      <c r="IX59" s="54">
        <v>145449</v>
      </c>
      <c r="IY59" s="54">
        <v>491531</v>
      </c>
      <c r="IZ59" s="54">
        <v>2652529</v>
      </c>
      <c r="JA59" s="54">
        <v>4023843</v>
      </c>
      <c r="JB59" s="54">
        <v>17948582</v>
      </c>
      <c r="JC59" s="54">
        <v>6802530</v>
      </c>
      <c r="JD59" s="54">
        <v>2893847</v>
      </c>
      <c r="JE59" s="54">
        <v>15618505</v>
      </c>
      <c r="JF59" s="54">
        <v>31049138</v>
      </c>
      <c r="JG59" s="54">
        <v>74312602</v>
      </c>
      <c r="JH59" s="54">
        <v>0</v>
      </c>
      <c r="JI59" s="54">
        <v>0</v>
      </c>
      <c r="JJ59" s="54">
        <v>0</v>
      </c>
      <c r="JK59" s="54">
        <v>0</v>
      </c>
      <c r="JL59" s="54">
        <v>866436</v>
      </c>
      <c r="JM59" s="54">
        <v>866436</v>
      </c>
      <c r="JN59" s="54">
        <v>17948582</v>
      </c>
      <c r="JO59" s="54">
        <v>6802530</v>
      </c>
      <c r="JP59" s="54">
        <v>2893847</v>
      </c>
      <c r="JQ59" s="54">
        <v>15618505</v>
      </c>
      <c r="JR59" s="54">
        <v>31915574</v>
      </c>
      <c r="JS59" s="54">
        <v>75179038</v>
      </c>
      <c r="JU59" s="5">
        <f t="shared" si="80"/>
        <v>21318513</v>
      </c>
      <c r="JV59" s="26">
        <f t="shared" si="81"/>
        <v>0</v>
      </c>
      <c r="JW59" s="5">
        <f t="shared" si="82"/>
        <v>7006090</v>
      </c>
      <c r="JX59" s="26">
        <f t="shared" si="83"/>
        <v>0</v>
      </c>
      <c r="JY59" s="5">
        <f t="shared" si="84"/>
        <v>2749722</v>
      </c>
      <c r="JZ59" s="26">
        <f t="shared" si="85"/>
        <v>0</v>
      </c>
      <c r="KA59" s="5">
        <f t="shared" si="86"/>
        <v>17712389</v>
      </c>
      <c r="KB59" s="26">
        <f t="shared" si="87"/>
        <v>0</v>
      </c>
      <c r="KC59" s="5">
        <f t="shared" si="88"/>
        <v>0</v>
      </c>
      <c r="KD59" s="26">
        <f t="shared" si="89"/>
        <v>0</v>
      </c>
      <c r="KE59" s="5">
        <f t="shared" si="90"/>
        <v>0</v>
      </c>
      <c r="KF59" s="26">
        <f t="shared" si="91"/>
        <v>0</v>
      </c>
      <c r="KG59" s="5">
        <f t="shared" si="92"/>
        <v>0</v>
      </c>
      <c r="KH59" s="26">
        <f t="shared" si="93"/>
        <v>0</v>
      </c>
      <c r="KI59" s="5">
        <f t="shared" si="94"/>
        <v>0</v>
      </c>
      <c r="KJ59" s="26">
        <f t="shared" si="95"/>
        <v>0</v>
      </c>
      <c r="KK59" s="5">
        <f t="shared" si="96"/>
        <v>6237551</v>
      </c>
      <c r="KL59" s="26">
        <f t="shared" si="97"/>
        <v>0</v>
      </c>
      <c r="KM59" s="5">
        <f t="shared" si="98"/>
        <v>11250489</v>
      </c>
      <c r="KN59" s="26">
        <f t="shared" si="99"/>
        <v>0</v>
      </c>
      <c r="KO59" s="5">
        <f t="shared" si="100"/>
        <v>1600863</v>
      </c>
      <c r="KP59" s="26">
        <f t="shared" si="101"/>
        <v>0</v>
      </c>
      <c r="KQ59" s="5">
        <f t="shared" si="102"/>
        <v>3727949</v>
      </c>
      <c r="KR59" s="26">
        <f t="shared" si="103"/>
        <v>0</v>
      </c>
      <c r="KS59" s="5">
        <f t="shared" si="104"/>
        <v>53389</v>
      </c>
      <c r="KT59" s="26">
        <f t="shared" si="105"/>
        <v>0</v>
      </c>
      <c r="KU59" s="5">
        <f t="shared" si="106"/>
        <v>57062</v>
      </c>
      <c r="KV59" s="26">
        <f t="shared" si="107"/>
        <v>0</v>
      </c>
      <c r="KW59" s="5">
        <f t="shared" si="108"/>
        <v>2069015</v>
      </c>
      <c r="KX59" s="26">
        <f t="shared" si="109"/>
        <v>0</v>
      </c>
      <c r="KY59" s="5">
        <f t="shared" si="110"/>
        <v>75606311</v>
      </c>
      <c r="KZ59" s="26">
        <f t="shared" si="111"/>
        <v>0</v>
      </c>
      <c r="LA59" s="5">
        <f t="shared" si="112"/>
        <v>10343866</v>
      </c>
      <c r="LB59" s="26">
        <f t="shared" si="113"/>
        <v>0</v>
      </c>
      <c r="LC59" s="5">
        <f t="shared" si="114"/>
        <v>1277985</v>
      </c>
      <c r="LD59" s="26">
        <f t="shared" si="115"/>
        <v>0</v>
      </c>
      <c r="LE59" s="5">
        <f t="shared" si="116"/>
        <v>12285171</v>
      </c>
      <c r="LF59" s="26">
        <f t="shared" si="117"/>
        <v>0</v>
      </c>
      <c r="LG59" s="5">
        <f t="shared" si="118"/>
        <v>0</v>
      </c>
      <c r="LH59" s="26">
        <f t="shared" si="119"/>
        <v>0</v>
      </c>
      <c r="LI59" s="5">
        <f t="shared" si="120"/>
        <v>16304164</v>
      </c>
      <c r="LJ59" s="26">
        <f t="shared" si="121"/>
        <v>0</v>
      </c>
      <c r="LK59" s="5">
        <f t="shared" si="122"/>
        <v>0</v>
      </c>
      <c r="LL59" s="26">
        <f t="shared" si="123"/>
        <v>0</v>
      </c>
      <c r="LM59" s="5">
        <f t="shared" si="124"/>
        <v>0</v>
      </c>
      <c r="LN59" s="26">
        <f t="shared" si="125"/>
        <v>0</v>
      </c>
      <c r="LO59" s="5">
        <f t="shared" si="126"/>
        <v>1774115</v>
      </c>
      <c r="LP59" s="26">
        <f t="shared" si="127"/>
        <v>0</v>
      </c>
      <c r="LQ59" s="5">
        <f t="shared" si="128"/>
        <v>4284883</v>
      </c>
      <c r="LR59" s="26">
        <f t="shared" si="129"/>
        <v>0</v>
      </c>
      <c r="LS59" s="5">
        <f t="shared" si="130"/>
        <v>2905991</v>
      </c>
      <c r="LT59" s="26">
        <f t="shared" si="131"/>
        <v>0</v>
      </c>
      <c r="LU59" s="5">
        <f t="shared" si="132"/>
        <v>3461316</v>
      </c>
      <c r="LV59" s="26">
        <f t="shared" si="133"/>
        <v>0</v>
      </c>
      <c r="LW59" s="5">
        <f t="shared" si="134"/>
        <v>609747</v>
      </c>
      <c r="LX59" s="26">
        <f t="shared" si="135"/>
        <v>0</v>
      </c>
      <c r="LY59" s="5">
        <f t="shared" si="136"/>
        <v>0</v>
      </c>
      <c r="LZ59" s="26">
        <f t="shared" si="137"/>
        <v>0</v>
      </c>
      <c r="MA59" s="5">
        <f t="shared" si="138"/>
        <v>11339878</v>
      </c>
      <c r="MB59" s="26">
        <f t="shared" si="139"/>
        <v>0</v>
      </c>
      <c r="MC59" s="5">
        <f t="shared" si="140"/>
        <v>410857</v>
      </c>
      <c r="MD59" s="26">
        <f t="shared" si="141"/>
        <v>0</v>
      </c>
      <c r="ME59" s="5">
        <f t="shared" si="142"/>
        <v>1823279</v>
      </c>
      <c r="MF59" s="26">
        <f t="shared" si="143"/>
        <v>0</v>
      </c>
      <c r="MG59" s="5">
        <f t="shared" si="144"/>
        <v>2039946</v>
      </c>
      <c r="MH59" s="26">
        <f t="shared" si="145"/>
        <v>0</v>
      </c>
      <c r="MI59" s="5">
        <f t="shared" si="146"/>
        <v>1427561</v>
      </c>
      <c r="MJ59" s="26">
        <f t="shared" si="147"/>
        <v>0</v>
      </c>
      <c r="MK59" s="5">
        <f t="shared" si="148"/>
        <v>4023843</v>
      </c>
      <c r="ML59" s="26">
        <f t="shared" si="149"/>
        <v>0</v>
      </c>
      <c r="MM59" s="5">
        <f t="shared" si="150"/>
        <v>74312602</v>
      </c>
      <c r="MN59" s="26">
        <f t="shared" si="151"/>
        <v>0</v>
      </c>
      <c r="MO59" s="5">
        <f t="shared" si="152"/>
        <v>866436</v>
      </c>
      <c r="MP59" s="26">
        <f t="shared" si="153"/>
        <v>0</v>
      </c>
      <c r="MQ59" s="5">
        <f t="shared" si="154"/>
        <v>75179038</v>
      </c>
      <c r="MR59" s="26">
        <f t="shared" si="155"/>
        <v>0</v>
      </c>
      <c r="MT59" s="5">
        <f t="shared" si="76"/>
        <v>0</v>
      </c>
      <c r="MV59" s="4">
        <f t="shared" si="77"/>
        <v>0</v>
      </c>
    </row>
    <row r="60" spans="1:367" x14ac:dyDescent="0.15">
      <c r="A60" s="155" t="s">
        <v>328</v>
      </c>
      <c r="B60" s="25" t="s">
        <v>481</v>
      </c>
      <c r="C60" s="109">
        <v>199193</v>
      </c>
      <c r="D60" s="105">
        <v>2011</v>
      </c>
      <c r="E60" s="106">
        <v>1</v>
      </c>
      <c r="F60" s="107">
        <v>1</v>
      </c>
      <c r="G60" s="107">
        <v>12097</v>
      </c>
      <c r="H60" s="107">
        <v>9561</v>
      </c>
      <c r="I60" s="108">
        <v>1189113648</v>
      </c>
      <c r="J60" s="108"/>
      <c r="K60" s="108">
        <v>3604060</v>
      </c>
      <c r="L60" s="108"/>
      <c r="M60" s="116">
        <v>22476876</v>
      </c>
      <c r="N60" s="108"/>
      <c r="O60" s="116">
        <v>36044920</v>
      </c>
      <c r="P60" s="108"/>
      <c r="Q60" s="116">
        <v>393796251</v>
      </c>
      <c r="R60" s="108"/>
      <c r="S60" s="108">
        <v>1065774462</v>
      </c>
      <c r="T60" s="108"/>
      <c r="U60" s="108">
        <v>15083</v>
      </c>
      <c r="V60" s="108"/>
      <c r="W60" s="108">
        <v>27618</v>
      </c>
      <c r="X60" s="108"/>
      <c r="Y60" s="108">
        <v>18427</v>
      </c>
      <c r="Z60" s="108"/>
      <c r="AA60" s="108">
        <v>31362</v>
      </c>
      <c r="AB60" s="108"/>
      <c r="AC60" s="130">
        <v>12</v>
      </c>
      <c r="AD60" s="130">
        <v>12</v>
      </c>
      <c r="AE60" s="130">
        <v>1</v>
      </c>
      <c r="AF60" s="26">
        <v>4342778</v>
      </c>
      <c r="AG60" s="26">
        <v>3095699</v>
      </c>
      <c r="AH60" s="26">
        <v>611242</v>
      </c>
      <c r="AI60" s="26">
        <v>318201</v>
      </c>
      <c r="AJ60" s="26">
        <v>401365.11111111112</v>
      </c>
      <c r="AK60" s="36">
        <v>9</v>
      </c>
      <c r="AL60" s="26">
        <v>328389.63636363635</v>
      </c>
      <c r="AM60" s="36">
        <v>11</v>
      </c>
      <c r="AN60" s="26">
        <v>134863.33333333334</v>
      </c>
      <c r="AO60" s="36">
        <v>9</v>
      </c>
      <c r="AP60" s="26">
        <v>110342.72727272728</v>
      </c>
      <c r="AQ60" s="36">
        <v>11</v>
      </c>
      <c r="AR60" s="26">
        <v>161980.41666666666</v>
      </c>
      <c r="AS60" s="36">
        <v>24</v>
      </c>
      <c r="AT60" s="26">
        <v>138840.35714285713</v>
      </c>
      <c r="AU60" s="36">
        <v>28</v>
      </c>
      <c r="AV60" s="26">
        <v>72378.647058823524</v>
      </c>
      <c r="AW60" s="36">
        <v>17</v>
      </c>
      <c r="AX60" s="26">
        <v>58592.238095238092</v>
      </c>
      <c r="AY60" s="36">
        <v>21</v>
      </c>
      <c r="AZ60" s="54">
        <v>14388239</v>
      </c>
      <c r="BA60" s="54">
        <v>6195941</v>
      </c>
      <c r="BB60" s="54">
        <v>81474</v>
      </c>
      <c r="BC60" s="54">
        <v>145104</v>
      </c>
      <c r="BD60" s="54">
        <v>0</v>
      </c>
      <c r="BE60" s="54">
        <v>20810758</v>
      </c>
      <c r="BF60" s="54">
        <v>0</v>
      </c>
      <c r="BG60" s="54">
        <v>0</v>
      </c>
      <c r="BH60" s="54">
        <v>28984</v>
      </c>
      <c r="BI60" s="54">
        <v>1012383</v>
      </c>
      <c r="BJ60" s="54">
        <v>0</v>
      </c>
      <c r="BK60" s="54">
        <v>1041367</v>
      </c>
      <c r="BL60" s="54">
        <v>500000</v>
      </c>
      <c r="BM60" s="54">
        <v>10000</v>
      </c>
      <c r="BN60" s="54">
        <v>10000</v>
      </c>
      <c r="BO60" s="54">
        <v>0</v>
      </c>
      <c r="BP60" s="54">
        <v>0</v>
      </c>
      <c r="BQ60" s="54">
        <v>520000</v>
      </c>
      <c r="BR60" s="54">
        <v>3177907</v>
      </c>
      <c r="BS60" s="54">
        <v>340378</v>
      </c>
      <c r="BT60" s="54">
        <v>396384</v>
      </c>
      <c r="BU60" s="54">
        <v>5120070</v>
      </c>
      <c r="BV60" s="54">
        <v>1067735</v>
      </c>
      <c r="BW60" s="54">
        <v>10102474</v>
      </c>
      <c r="BX60" s="54">
        <v>0</v>
      </c>
      <c r="BY60" s="54">
        <v>0</v>
      </c>
      <c r="BZ60" s="54">
        <v>0</v>
      </c>
      <c r="CA60" s="54">
        <v>0</v>
      </c>
      <c r="CB60" s="54">
        <v>0</v>
      </c>
      <c r="CC60" s="54">
        <v>0</v>
      </c>
      <c r="CD60" s="54">
        <v>0</v>
      </c>
      <c r="CE60" s="54">
        <v>0</v>
      </c>
      <c r="CF60" s="54">
        <v>0</v>
      </c>
      <c r="CG60" s="54">
        <v>0</v>
      </c>
      <c r="CH60" s="54">
        <v>0</v>
      </c>
      <c r="CI60" s="54">
        <v>0</v>
      </c>
      <c r="CJ60" s="54">
        <v>0</v>
      </c>
      <c r="CK60" s="54">
        <v>0</v>
      </c>
      <c r="CL60" s="54">
        <v>0</v>
      </c>
      <c r="CM60" s="54">
        <v>0</v>
      </c>
      <c r="CN60" s="54">
        <v>47528</v>
      </c>
      <c r="CO60" s="54">
        <v>47528</v>
      </c>
      <c r="CP60" s="54">
        <v>0</v>
      </c>
      <c r="CQ60" s="54">
        <v>0</v>
      </c>
      <c r="CR60" s="54">
        <v>0</v>
      </c>
      <c r="CS60" s="54">
        <v>0</v>
      </c>
      <c r="CT60" s="54">
        <v>0</v>
      </c>
      <c r="CU60" s="54">
        <v>0</v>
      </c>
      <c r="CV60" s="54">
        <v>5555621</v>
      </c>
      <c r="CW60" s="54">
        <v>4942373</v>
      </c>
      <c r="CX60" s="54">
        <v>0</v>
      </c>
      <c r="CY60" s="54">
        <v>0</v>
      </c>
      <c r="CZ60" s="54">
        <v>968419</v>
      </c>
      <c r="DA60" s="54">
        <v>11466413</v>
      </c>
      <c r="DB60" s="54">
        <v>945000</v>
      </c>
      <c r="DC60" s="54">
        <v>300000</v>
      </c>
      <c r="DD60" s="54">
        <v>100000</v>
      </c>
      <c r="DE60" s="54">
        <v>30000</v>
      </c>
      <c r="DF60" s="54">
        <v>1136477</v>
      </c>
      <c r="DG60" s="54">
        <v>2511477</v>
      </c>
      <c r="DH60" s="54">
        <v>1786481</v>
      </c>
      <c r="DI60" s="54">
        <v>516388</v>
      </c>
      <c r="DJ60" s="54">
        <v>17619</v>
      </c>
      <c r="DK60" s="54">
        <v>54848</v>
      </c>
      <c r="DL60" s="54">
        <v>24966</v>
      </c>
      <c r="DM60" s="54">
        <v>2400302</v>
      </c>
      <c r="DN60" s="54">
        <v>0</v>
      </c>
      <c r="DO60" s="54">
        <v>0</v>
      </c>
      <c r="DP60" s="54">
        <v>0</v>
      </c>
      <c r="DQ60" s="54">
        <v>0</v>
      </c>
      <c r="DR60" s="54">
        <v>216713</v>
      </c>
      <c r="DS60" s="54">
        <v>216713</v>
      </c>
      <c r="DT60" s="54">
        <v>0</v>
      </c>
      <c r="DU60" s="54">
        <v>39296</v>
      </c>
      <c r="DV60" s="54">
        <v>0</v>
      </c>
      <c r="DW60" s="54">
        <v>13761</v>
      </c>
      <c r="DX60" s="54">
        <v>396</v>
      </c>
      <c r="DY60" s="54">
        <v>53453</v>
      </c>
      <c r="DZ60" s="54">
        <v>0</v>
      </c>
      <c r="EA60" s="54">
        <v>0</v>
      </c>
      <c r="EB60" s="54">
        <v>0</v>
      </c>
      <c r="EC60" s="54">
        <v>0</v>
      </c>
      <c r="ED60" s="54">
        <v>0</v>
      </c>
      <c r="EE60" s="54">
        <v>0</v>
      </c>
      <c r="EF60" s="54">
        <v>0</v>
      </c>
      <c r="EG60" s="54">
        <v>0</v>
      </c>
      <c r="EH60" s="54">
        <v>0</v>
      </c>
      <c r="EI60" s="54">
        <v>0</v>
      </c>
      <c r="EJ60" s="54">
        <v>1905860</v>
      </c>
      <c r="EK60" s="54">
        <v>1905860</v>
      </c>
      <c r="EL60" s="54">
        <v>26353248</v>
      </c>
      <c r="EM60" s="54">
        <v>12344376</v>
      </c>
      <c r="EN60" s="54">
        <v>634461</v>
      </c>
      <c r="EO60" s="54">
        <v>6376166</v>
      </c>
      <c r="EP60" s="54">
        <v>5368094</v>
      </c>
      <c r="EQ60" s="54">
        <v>51076345</v>
      </c>
      <c r="ER60" s="54">
        <v>2354000</v>
      </c>
      <c r="ES60" s="54">
        <v>333283</v>
      </c>
      <c r="ET60" s="54">
        <v>388624</v>
      </c>
      <c r="EU60" s="54">
        <v>4413570</v>
      </c>
      <c r="EV60" s="54">
        <v>584858</v>
      </c>
      <c r="EW60" s="54">
        <v>8074335</v>
      </c>
      <c r="EX60" s="54">
        <v>450000</v>
      </c>
      <c r="EY60" s="54">
        <v>567000</v>
      </c>
      <c r="EZ60" s="54">
        <v>78631</v>
      </c>
      <c r="FA60" s="54">
        <v>31363</v>
      </c>
      <c r="FB60" s="54">
        <v>0</v>
      </c>
      <c r="FC60" s="54">
        <v>1126994</v>
      </c>
      <c r="FD60" s="54">
        <v>3944265</v>
      </c>
      <c r="FE60" s="54">
        <v>1839004</v>
      </c>
      <c r="FF60" s="54">
        <v>803007</v>
      </c>
      <c r="FG60" s="54">
        <v>3357747</v>
      </c>
      <c r="FH60" s="54">
        <v>0</v>
      </c>
      <c r="FI60" s="54">
        <v>9944023</v>
      </c>
      <c r="FJ60" s="54">
        <v>0</v>
      </c>
      <c r="FK60" s="54">
        <v>0</v>
      </c>
      <c r="FL60" s="54">
        <v>0</v>
      </c>
      <c r="FM60" s="54">
        <v>0</v>
      </c>
      <c r="FN60" s="54">
        <v>0</v>
      </c>
      <c r="FO60" s="54">
        <v>0</v>
      </c>
      <c r="FP60" s="54">
        <v>1235886</v>
      </c>
      <c r="FQ60" s="54">
        <v>216307</v>
      </c>
      <c r="FR60" s="54">
        <v>181106</v>
      </c>
      <c r="FS60" s="54">
        <v>170547</v>
      </c>
      <c r="FT60" s="54">
        <v>7379911</v>
      </c>
      <c r="FU60" s="54">
        <v>9183757</v>
      </c>
      <c r="FV60" s="54">
        <v>0</v>
      </c>
      <c r="FW60" s="54">
        <v>0</v>
      </c>
      <c r="FX60" s="54">
        <v>0</v>
      </c>
      <c r="FY60" s="54">
        <v>0</v>
      </c>
      <c r="FZ60" s="54">
        <v>0</v>
      </c>
      <c r="GA60" s="54">
        <v>0</v>
      </c>
      <c r="GB60" s="54">
        <v>0</v>
      </c>
      <c r="GC60" s="54">
        <v>16582</v>
      </c>
      <c r="GD60" s="54">
        <v>0</v>
      </c>
      <c r="GE60" s="54">
        <v>0</v>
      </c>
      <c r="GF60" s="54">
        <v>280000</v>
      </c>
      <c r="GG60" s="54">
        <v>296582</v>
      </c>
      <c r="GH60" s="54">
        <v>291456</v>
      </c>
      <c r="GI60" s="54">
        <v>155685</v>
      </c>
      <c r="GJ60" s="54">
        <v>119790</v>
      </c>
      <c r="GK60" s="54">
        <v>362512</v>
      </c>
      <c r="GL60" s="54">
        <v>0</v>
      </c>
      <c r="GM60" s="54">
        <v>929443</v>
      </c>
      <c r="GN60" s="54">
        <v>1130662</v>
      </c>
      <c r="GO60" s="54">
        <v>500273</v>
      </c>
      <c r="GP60" s="54">
        <v>306730</v>
      </c>
      <c r="GQ60" s="54">
        <v>1314300</v>
      </c>
      <c r="GR60" s="54">
        <v>11005</v>
      </c>
      <c r="GS60" s="54">
        <v>3262970</v>
      </c>
      <c r="GT60" s="54">
        <v>475064</v>
      </c>
      <c r="GU60" s="54">
        <v>72634</v>
      </c>
      <c r="GV60" s="54">
        <v>82392</v>
      </c>
      <c r="GW60" s="54">
        <v>674202</v>
      </c>
      <c r="GX60" s="54">
        <v>0</v>
      </c>
      <c r="GY60" s="54">
        <v>1304292</v>
      </c>
      <c r="GZ60" s="54">
        <v>1724373</v>
      </c>
      <c r="HA60" s="54">
        <v>146406</v>
      </c>
      <c r="HB60" s="54">
        <v>153077</v>
      </c>
      <c r="HC60" s="54">
        <v>237716</v>
      </c>
      <c r="HD60" s="54">
        <v>835418</v>
      </c>
      <c r="HE60" s="54">
        <v>3096990</v>
      </c>
      <c r="HF60" s="54">
        <v>0</v>
      </c>
      <c r="HG60" s="54">
        <v>0</v>
      </c>
      <c r="HH60" s="54">
        <v>0</v>
      </c>
      <c r="HI60" s="54">
        <v>0</v>
      </c>
      <c r="HJ60" s="54">
        <v>485151</v>
      </c>
      <c r="HK60" s="54">
        <v>485151</v>
      </c>
      <c r="HL60" s="54">
        <v>0</v>
      </c>
      <c r="HM60" s="54">
        <v>25241</v>
      </c>
      <c r="HN60" s="54">
        <v>1760</v>
      </c>
      <c r="HO60" s="54">
        <v>180</v>
      </c>
      <c r="HP60" s="54">
        <v>0</v>
      </c>
      <c r="HQ60" s="54">
        <v>27181</v>
      </c>
      <c r="HR60" s="54">
        <v>3423104</v>
      </c>
      <c r="HS60" s="54">
        <v>1152754</v>
      </c>
      <c r="HT60" s="54">
        <v>141524</v>
      </c>
      <c r="HU60" s="54">
        <v>1961330</v>
      </c>
      <c r="HV60" s="54">
        <v>1962079</v>
      </c>
      <c r="HW60" s="54">
        <v>8640791</v>
      </c>
      <c r="HX60" s="54">
        <v>0</v>
      </c>
      <c r="HY60" s="54">
        <v>0</v>
      </c>
      <c r="HZ60" s="54">
        <v>0</v>
      </c>
      <c r="IA60" s="54">
        <v>0</v>
      </c>
      <c r="IB60" s="54">
        <v>371421</v>
      </c>
      <c r="IC60" s="54">
        <v>371421</v>
      </c>
      <c r="ID60" s="54">
        <v>0</v>
      </c>
      <c r="IE60" s="54">
        <v>0</v>
      </c>
      <c r="IF60" s="54">
        <v>0</v>
      </c>
      <c r="IG60" s="54">
        <v>0</v>
      </c>
      <c r="IH60" s="54">
        <v>0</v>
      </c>
      <c r="II60" s="54">
        <v>0</v>
      </c>
      <c r="IJ60" s="54">
        <v>0</v>
      </c>
      <c r="IK60" s="54">
        <v>0</v>
      </c>
      <c r="IL60" s="54">
        <v>0</v>
      </c>
      <c r="IM60" s="54">
        <v>0</v>
      </c>
      <c r="IN60" s="54">
        <v>541600</v>
      </c>
      <c r="IO60" s="54">
        <v>541600</v>
      </c>
      <c r="IP60" s="54">
        <v>1551</v>
      </c>
      <c r="IQ60" s="54">
        <v>5589</v>
      </c>
      <c r="IR60" s="54">
        <v>11825</v>
      </c>
      <c r="IS60" s="54">
        <v>9203</v>
      </c>
      <c r="IT60" s="54">
        <v>1405225</v>
      </c>
      <c r="IU60" s="54">
        <v>1433393</v>
      </c>
      <c r="IV60" s="54">
        <v>0</v>
      </c>
      <c r="IW60" s="54">
        <v>0</v>
      </c>
      <c r="IX60" s="54">
        <v>0</v>
      </c>
      <c r="IY60" s="54">
        <v>0</v>
      </c>
      <c r="IZ60" s="54">
        <v>1741641</v>
      </c>
      <c r="JA60" s="54">
        <v>1741641</v>
      </c>
      <c r="JB60" s="54">
        <v>15031661</v>
      </c>
      <c r="JC60" s="54">
        <v>5030758</v>
      </c>
      <c r="JD60" s="54">
        <v>2268466</v>
      </c>
      <c r="JE60" s="54">
        <v>12531370</v>
      </c>
      <c r="JF60" s="54">
        <v>15698309</v>
      </c>
      <c r="JG60" s="54">
        <v>50560564</v>
      </c>
      <c r="JH60" s="54">
        <v>0</v>
      </c>
      <c r="JI60" s="54">
        <v>0</v>
      </c>
      <c r="JJ60" s="54">
        <v>0</v>
      </c>
      <c r="JK60" s="54">
        <v>0</v>
      </c>
      <c r="JL60" s="54">
        <v>0</v>
      </c>
      <c r="JM60" s="54">
        <v>0</v>
      </c>
      <c r="JN60" s="54">
        <v>15031661</v>
      </c>
      <c r="JO60" s="66">
        <v>5030758</v>
      </c>
      <c r="JP60" s="66">
        <v>2268466</v>
      </c>
      <c r="JQ60" s="66">
        <v>12531370</v>
      </c>
      <c r="JR60" s="66">
        <v>15698309</v>
      </c>
      <c r="JS60" s="66">
        <v>50560564</v>
      </c>
      <c r="JU60" s="5">
        <f t="shared" si="80"/>
        <v>20810758</v>
      </c>
      <c r="JV60" s="26">
        <f t="shared" si="81"/>
        <v>0</v>
      </c>
      <c r="JW60" s="5">
        <f t="shared" si="82"/>
        <v>1041367</v>
      </c>
      <c r="JX60" s="26">
        <f t="shared" si="83"/>
        <v>0</v>
      </c>
      <c r="JY60" s="5">
        <f t="shared" si="84"/>
        <v>520000</v>
      </c>
      <c r="JZ60" s="26">
        <f t="shared" si="85"/>
        <v>0</v>
      </c>
      <c r="KA60" s="5">
        <f t="shared" si="86"/>
        <v>10102474</v>
      </c>
      <c r="KB60" s="26">
        <f t="shared" si="87"/>
        <v>0</v>
      </c>
      <c r="KC60" s="5">
        <f t="shared" si="88"/>
        <v>0</v>
      </c>
      <c r="KD60" s="26">
        <f t="shared" si="89"/>
        <v>0</v>
      </c>
      <c r="KE60" s="5">
        <f t="shared" si="90"/>
        <v>0</v>
      </c>
      <c r="KF60" s="26">
        <f t="shared" si="91"/>
        <v>0</v>
      </c>
      <c r="KG60" s="5">
        <f t="shared" si="92"/>
        <v>47528</v>
      </c>
      <c r="KH60" s="26">
        <f t="shared" si="93"/>
        <v>0</v>
      </c>
      <c r="KI60" s="5">
        <f t="shared" si="94"/>
        <v>0</v>
      </c>
      <c r="KJ60" s="26">
        <f t="shared" si="95"/>
        <v>0</v>
      </c>
      <c r="KK60" s="5">
        <f t="shared" si="96"/>
        <v>11466413</v>
      </c>
      <c r="KL60" s="26">
        <f t="shared" si="97"/>
        <v>0</v>
      </c>
      <c r="KM60" s="5">
        <f t="shared" si="98"/>
        <v>2511477</v>
      </c>
      <c r="KN60" s="26">
        <f t="shared" si="99"/>
        <v>0</v>
      </c>
      <c r="KO60" s="5">
        <f t="shared" si="100"/>
        <v>2400302</v>
      </c>
      <c r="KP60" s="26">
        <f t="shared" si="101"/>
        <v>0</v>
      </c>
      <c r="KQ60" s="5">
        <f t="shared" si="102"/>
        <v>216713</v>
      </c>
      <c r="KR60" s="26">
        <f t="shared" si="103"/>
        <v>0</v>
      </c>
      <c r="KS60" s="5">
        <f t="shared" si="104"/>
        <v>53453</v>
      </c>
      <c r="KT60" s="26">
        <f t="shared" si="105"/>
        <v>0</v>
      </c>
      <c r="KU60" s="5">
        <f t="shared" si="106"/>
        <v>0</v>
      </c>
      <c r="KV60" s="26">
        <f t="shared" si="107"/>
        <v>0</v>
      </c>
      <c r="KW60" s="5">
        <f t="shared" si="108"/>
        <v>1905860</v>
      </c>
      <c r="KX60" s="26">
        <f t="shared" si="109"/>
        <v>0</v>
      </c>
      <c r="KY60" s="5">
        <f t="shared" si="110"/>
        <v>51076345</v>
      </c>
      <c r="KZ60" s="26">
        <f t="shared" si="111"/>
        <v>0</v>
      </c>
      <c r="LA60" s="5">
        <f t="shared" si="112"/>
        <v>8074335</v>
      </c>
      <c r="LB60" s="26">
        <f t="shared" si="113"/>
        <v>0</v>
      </c>
      <c r="LC60" s="5">
        <f t="shared" si="114"/>
        <v>1126994</v>
      </c>
      <c r="LD60" s="26">
        <f t="shared" si="115"/>
        <v>0</v>
      </c>
      <c r="LE60" s="5">
        <f t="shared" si="116"/>
        <v>9944023</v>
      </c>
      <c r="LF60" s="26">
        <f t="shared" si="117"/>
        <v>0</v>
      </c>
      <c r="LG60" s="5">
        <f t="shared" si="118"/>
        <v>0</v>
      </c>
      <c r="LH60" s="26">
        <f t="shared" si="119"/>
        <v>0</v>
      </c>
      <c r="LI60" s="5">
        <f t="shared" si="120"/>
        <v>9183757</v>
      </c>
      <c r="LJ60" s="26">
        <f t="shared" si="121"/>
        <v>0</v>
      </c>
      <c r="LK60" s="5">
        <f t="shared" si="122"/>
        <v>0</v>
      </c>
      <c r="LL60" s="26">
        <f t="shared" si="123"/>
        <v>0</v>
      </c>
      <c r="LM60" s="5">
        <f t="shared" si="124"/>
        <v>296582</v>
      </c>
      <c r="LN60" s="26">
        <f t="shared" si="125"/>
        <v>0</v>
      </c>
      <c r="LO60" s="5">
        <f t="shared" si="126"/>
        <v>929443</v>
      </c>
      <c r="LP60" s="26">
        <f t="shared" si="127"/>
        <v>0</v>
      </c>
      <c r="LQ60" s="5">
        <f t="shared" si="128"/>
        <v>3262970</v>
      </c>
      <c r="LR60" s="26">
        <f t="shared" si="129"/>
        <v>0</v>
      </c>
      <c r="LS60" s="5">
        <f t="shared" si="130"/>
        <v>1304292</v>
      </c>
      <c r="LT60" s="26">
        <f t="shared" si="131"/>
        <v>0</v>
      </c>
      <c r="LU60" s="5">
        <f t="shared" si="132"/>
        <v>3096990</v>
      </c>
      <c r="LV60" s="26">
        <f t="shared" si="133"/>
        <v>0</v>
      </c>
      <c r="LW60" s="5">
        <f t="shared" si="134"/>
        <v>485151</v>
      </c>
      <c r="LX60" s="26">
        <f t="shared" si="135"/>
        <v>0</v>
      </c>
      <c r="LY60" s="5">
        <f t="shared" si="136"/>
        <v>27181</v>
      </c>
      <c r="LZ60" s="26">
        <f t="shared" si="137"/>
        <v>0</v>
      </c>
      <c r="MA60" s="5">
        <f t="shared" si="138"/>
        <v>8640791</v>
      </c>
      <c r="MB60" s="26">
        <f t="shared" si="139"/>
        <v>0</v>
      </c>
      <c r="MC60" s="5">
        <f t="shared" si="140"/>
        <v>371421</v>
      </c>
      <c r="MD60" s="26">
        <f t="shared" si="141"/>
        <v>0</v>
      </c>
      <c r="ME60" s="5">
        <f t="shared" si="142"/>
        <v>0</v>
      </c>
      <c r="MF60" s="26">
        <f t="shared" si="143"/>
        <v>0</v>
      </c>
      <c r="MG60" s="5">
        <f t="shared" si="144"/>
        <v>541600</v>
      </c>
      <c r="MH60" s="26">
        <f t="shared" si="145"/>
        <v>0</v>
      </c>
      <c r="MI60" s="5">
        <f t="shared" si="146"/>
        <v>1433393</v>
      </c>
      <c r="MJ60" s="26">
        <f t="shared" si="147"/>
        <v>0</v>
      </c>
      <c r="MK60" s="5">
        <f t="shared" si="148"/>
        <v>1741641</v>
      </c>
      <c r="ML60" s="26">
        <f t="shared" si="149"/>
        <v>0</v>
      </c>
      <c r="MM60" s="5">
        <f t="shared" si="150"/>
        <v>50560564</v>
      </c>
      <c r="MN60" s="26">
        <f t="shared" si="151"/>
        <v>0</v>
      </c>
      <c r="MO60" s="5">
        <f t="shared" si="152"/>
        <v>0</v>
      </c>
      <c r="MP60" s="26">
        <f t="shared" si="153"/>
        <v>0</v>
      </c>
      <c r="MQ60" s="5">
        <f t="shared" si="154"/>
        <v>50560564</v>
      </c>
      <c r="MR60" s="26">
        <f t="shared" si="155"/>
        <v>0</v>
      </c>
      <c r="MT60" s="5">
        <f t="shared" si="76"/>
        <v>0</v>
      </c>
      <c r="MV60" s="4">
        <f t="shared" si="77"/>
        <v>0</v>
      </c>
    </row>
    <row r="61" spans="1:367" x14ac:dyDescent="0.15">
      <c r="A61" s="157" t="s">
        <v>339</v>
      </c>
      <c r="B61" s="25" t="s">
        <v>461</v>
      </c>
      <c r="C61" s="105">
        <v>227216</v>
      </c>
      <c r="D61" s="105">
        <v>2011</v>
      </c>
      <c r="E61" s="106">
        <v>1</v>
      </c>
      <c r="F61" s="106">
        <v>8</v>
      </c>
      <c r="G61" s="107">
        <v>15449</v>
      </c>
      <c r="H61" s="107">
        <v>16866</v>
      </c>
      <c r="I61" s="108">
        <v>545658781</v>
      </c>
      <c r="J61" s="108"/>
      <c r="K61" s="108">
        <v>129000</v>
      </c>
      <c r="L61" s="108"/>
      <c r="M61" s="108">
        <v>12286132</v>
      </c>
      <c r="N61" s="108"/>
      <c r="O61" s="108">
        <v>129000</v>
      </c>
      <c r="P61" s="108"/>
      <c r="Q61" s="108">
        <v>351262289</v>
      </c>
      <c r="R61" s="108"/>
      <c r="S61" s="108">
        <v>47640551</v>
      </c>
      <c r="T61" s="108"/>
      <c r="U61" s="108">
        <v>14758</v>
      </c>
      <c r="V61" s="108"/>
      <c r="W61" s="108">
        <v>23944</v>
      </c>
      <c r="X61" s="108"/>
      <c r="Y61" s="108">
        <v>16346</v>
      </c>
      <c r="Z61" s="108"/>
      <c r="AA61" s="108">
        <v>21926</v>
      </c>
      <c r="AB61" s="108"/>
      <c r="AC61" s="130">
        <v>6</v>
      </c>
      <c r="AD61" s="130">
        <v>10</v>
      </c>
      <c r="AE61" s="130">
        <v>0</v>
      </c>
      <c r="AF61" s="26">
        <v>1526956</v>
      </c>
      <c r="AG61" s="26">
        <v>1490944</v>
      </c>
      <c r="AH61" s="26">
        <v>182504</v>
      </c>
      <c r="AI61" s="26">
        <v>92960</v>
      </c>
      <c r="AJ61" s="26">
        <v>275362.5</v>
      </c>
      <c r="AK61" s="36">
        <v>4</v>
      </c>
      <c r="AL61" s="26">
        <v>275362.5</v>
      </c>
      <c r="AM61" s="36">
        <v>4</v>
      </c>
      <c r="AN61" s="26">
        <v>100012.38</v>
      </c>
      <c r="AO61" s="36">
        <v>8</v>
      </c>
      <c r="AP61" s="26">
        <v>100012</v>
      </c>
      <c r="AQ61" s="36">
        <v>8</v>
      </c>
      <c r="AR61" s="26">
        <v>121194.87</v>
      </c>
      <c r="AS61" s="36">
        <v>15</v>
      </c>
      <c r="AT61" s="26">
        <v>121194.87</v>
      </c>
      <c r="AU61" s="36">
        <v>15</v>
      </c>
      <c r="AV61" s="26">
        <v>44463.83</v>
      </c>
      <c r="AW61" s="36">
        <v>12</v>
      </c>
      <c r="AX61" s="26">
        <v>44463.83</v>
      </c>
      <c r="AY61" s="36">
        <v>12</v>
      </c>
      <c r="AZ61" s="54">
        <v>571125</v>
      </c>
      <c r="BA61" s="54">
        <v>175997</v>
      </c>
      <c r="BB61" s="54">
        <v>12119</v>
      </c>
      <c r="BC61" s="54">
        <v>24032</v>
      </c>
      <c r="BD61" s="54">
        <v>4617</v>
      </c>
      <c r="BE61" s="54">
        <v>787890</v>
      </c>
      <c r="BF61" s="54">
        <v>0</v>
      </c>
      <c r="BG61" s="54">
        <v>0</v>
      </c>
      <c r="BH61" s="54">
        <v>0</v>
      </c>
      <c r="BI61" s="54">
        <v>0</v>
      </c>
      <c r="BJ61" s="54">
        <v>4934227</v>
      </c>
      <c r="BK61" s="54">
        <v>4934227</v>
      </c>
      <c r="BL61" s="54">
        <v>1000000</v>
      </c>
      <c r="BM61" s="54">
        <v>145000</v>
      </c>
      <c r="BN61" s="54">
        <v>42500</v>
      </c>
      <c r="BO61" s="54">
        <v>0</v>
      </c>
      <c r="BP61" s="54">
        <v>0</v>
      </c>
      <c r="BQ61" s="54">
        <v>1187500</v>
      </c>
      <c r="BR61" s="54">
        <v>217035</v>
      </c>
      <c r="BS61" s="54">
        <v>46260</v>
      </c>
      <c r="BT61" s="54">
        <v>58636</v>
      </c>
      <c r="BU61" s="54">
        <v>31545</v>
      </c>
      <c r="BV61" s="54">
        <v>850553</v>
      </c>
      <c r="BW61" s="54">
        <v>1204029</v>
      </c>
      <c r="BX61" s="54">
        <v>0</v>
      </c>
      <c r="BY61" s="54">
        <v>0</v>
      </c>
      <c r="BZ61" s="54">
        <v>0</v>
      </c>
      <c r="CA61" s="54">
        <v>0</v>
      </c>
      <c r="CB61" s="54">
        <v>0</v>
      </c>
      <c r="CC61" s="54">
        <v>0</v>
      </c>
      <c r="CD61" s="54">
        <v>0</v>
      </c>
      <c r="CE61" s="54">
        <v>0</v>
      </c>
      <c r="CF61" s="54">
        <v>0</v>
      </c>
      <c r="CG61" s="54">
        <v>0</v>
      </c>
      <c r="CH61" s="54">
        <v>0</v>
      </c>
      <c r="CI61" s="54">
        <v>0</v>
      </c>
      <c r="CJ61" s="54">
        <v>0</v>
      </c>
      <c r="CK61" s="54">
        <v>0</v>
      </c>
      <c r="CL61" s="54">
        <v>0</v>
      </c>
      <c r="CM61" s="54">
        <v>0</v>
      </c>
      <c r="CN61" s="54">
        <v>81602</v>
      </c>
      <c r="CO61" s="54">
        <v>81602</v>
      </c>
      <c r="CP61" s="54">
        <v>0</v>
      </c>
      <c r="CQ61" s="54">
        <v>0</v>
      </c>
      <c r="CR61" s="54">
        <v>0</v>
      </c>
      <c r="CS61" s="54">
        <v>0</v>
      </c>
      <c r="CT61" s="54">
        <v>35291</v>
      </c>
      <c r="CU61" s="54">
        <v>35291</v>
      </c>
      <c r="CV61" s="54">
        <v>0</v>
      </c>
      <c r="CW61" s="54">
        <v>0</v>
      </c>
      <c r="CX61" s="54">
        <v>0</v>
      </c>
      <c r="CY61" s="54">
        <v>0</v>
      </c>
      <c r="CZ61" s="54">
        <v>915938</v>
      </c>
      <c r="DA61" s="54">
        <v>915938</v>
      </c>
      <c r="DB61" s="54">
        <v>0</v>
      </c>
      <c r="DC61" s="54">
        <v>0</v>
      </c>
      <c r="DD61" s="54">
        <v>0</v>
      </c>
      <c r="DE61" s="54">
        <v>0</v>
      </c>
      <c r="DF61" s="54">
        <v>0</v>
      </c>
      <c r="DG61" s="54">
        <v>0</v>
      </c>
      <c r="DH61" s="54">
        <v>111163</v>
      </c>
      <c r="DI61" s="54">
        <v>62947</v>
      </c>
      <c r="DJ61" s="54">
        <v>4352</v>
      </c>
      <c r="DK61" s="54">
        <v>20494</v>
      </c>
      <c r="DL61" s="54">
        <v>320511</v>
      </c>
      <c r="DM61" s="54">
        <v>519467</v>
      </c>
      <c r="DN61" s="54">
        <v>0</v>
      </c>
      <c r="DO61" s="54">
        <v>0</v>
      </c>
      <c r="DP61" s="54">
        <v>0</v>
      </c>
      <c r="DQ61" s="54">
        <v>0</v>
      </c>
      <c r="DR61" s="54">
        <v>1060676</v>
      </c>
      <c r="DS61" s="54">
        <v>1060676</v>
      </c>
      <c r="DT61" s="54">
        <v>33508</v>
      </c>
      <c r="DU61" s="54">
        <v>31478</v>
      </c>
      <c r="DV61" s="54">
        <v>8855</v>
      </c>
      <c r="DW61" s="54">
        <v>303718</v>
      </c>
      <c r="DX61" s="54">
        <v>0</v>
      </c>
      <c r="DY61" s="54">
        <v>377559</v>
      </c>
      <c r="DZ61" s="54">
        <v>1260</v>
      </c>
      <c r="EA61" s="54">
        <v>0</v>
      </c>
      <c r="EB61" s="54">
        <v>0</v>
      </c>
      <c r="EC61" s="54">
        <v>3630</v>
      </c>
      <c r="ED61" s="54">
        <v>34</v>
      </c>
      <c r="EE61" s="54">
        <v>4924</v>
      </c>
      <c r="EF61" s="54">
        <v>0</v>
      </c>
      <c r="EG61" s="54">
        <v>0</v>
      </c>
      <c r="EH61" s="54">
        <v>800</v>
      </c>
      <c r="EI61" s="54">
        <v>24088</v>
      </c>
      <c r="EJ61" s="54">
        <v>125231</v>
      </c>
      <c r="EK61" s="54">
        <v>150119</v>
      </c>
      <c r="EL61" s="54">
        <v>1934091</v>
      </c>
      <c r="EM61" s="54">
        <v>461682</v>
      </c>
      <c r="EN61" s="54">
        <v>127262</v>
      </c>
      <c r="EO61" s="54">
        <v>407507</v>
      </c>
      <c r="EP61" s="54">
        <v>8328680</v>
      </c>
      <c r="EQ61" s="54">
        <v>11259222</v>
      </c>
      <c r="ER61" s="54">
        <v>1149121</v>
      </c>
      <c r="ES61" s="54">
        <v>162056</v>
      </c>
      <c r="ET61" s="54">
        <v>227696</v>
      </c>
      <c r="EU61" s="54">
        <v>1479027</v>
      </c>
      <c r="EV61" s="54">
        <v>292458</v>
      </c>
      <c r="EW61" s="54">
        <v>3310358</v>
      </c>
      <c r="EX61" s="54">
        <v>500000</v>
      </c>
      <c r="EY61" s="54">
        <v>123491</v>
      </c>
      <c r="EZ61" s="54">
        <v>0</v>
      </c>
      <c r="FA61" s="54">
        <v>0</v>
      </c>
      <c r="FB61" s="54">
        <v>0</v>
      </c>
      <c r="FC61" s="54">
        <v>623491</v>
      </c>
      <c r="FD61" s="54">
        <v>1900211</v>
      </c>
      <c r="FE61" s="54">
        <v>714337</v>
      </c>
      <c r="FF61" s="54">
        <v>369876</v>
      </c>
      <c r="FG61" s="54">
        <v>982142</v>
      </c>
      <c r="FH61" s="54">
        <v>287272</v>
      </c>
      <c r="FI61" s="54">
        <v>4253838</v>
      </c>
      <c r="FJ61" s="54">
        <v>0</v>
      </c>
      <c r="FK61" s="54">
        <v>0</v>
      </c>
      <c r="FL61" s="54">
        <v>0</v>
      </c>
      <c r="FM61" s="54">
        <v>0</v>
      </c>
      <c r="FN61" s="54">
        <v>0</v>
      </c>
      <c r="FO61" s="54">
        <v>0</v>
      </c>
      <c r="FP61" s="54">
        <v>177827</v>
      </c>
      <c r="FQ61" s="54">
        <v>53106</v>
      </c>
      <c r="FR61" s="54">
        <v>41523</v>
      </c>
      <c r="FS61" s="54">
        <v>156820</v>
      </c>
      <c r="FT61" s="54">
        <v>3118504</v>
      </c>
      <c r="FU61" s="54">
        <v>3547780</v>
      </c>
      <c r="FV61" s="54">
        <v>0</v>
      </c>
      <c r="FW61" s="54">
        <v>0</v>
      </c>
      <c r="FX61" s="54">
        <v>0</v>
      </c>
      <c r="FY61" s="54">
        <v>0</v>
      </c>
      <c r="FZ61" s="54">
        <v>0</v>
      </c>
      <c r="GA61" s="54">
        <v>0</v>
      </c>
      <c r="GB61" s="54">
        <v>65342</v>
      </c>
      <c r="GC61" s="54">
        <v>0</v>
      </c>
      <c r="GD61" s="54">
        <v>54389</v>
      </c>
      <c r="GE61" s="54">
        <v>0</v>
      </c>
      <c r="GF61" s="54">
        <v>0</v>
      </c>
      <c r="GG61" s="54">
        <v>119731</v>
      </c>
      <c r="GH61" s="54">
        <v>126064</v>
      </c>
      <c r="GI61" s="54">
        <v>39769</v>
      </c>
      <c r="GJ61" s="54">
        <v>35336</v>
      </c>
      <c r="GK61" s="54">
        <v>74295</v>
      </c>
      <c r="GL61" s="54">
        <v>135</v>
      </c>
      <c r="GM61" s="54">
        <v>275599</v>
      </c>
      <c r="GN61" s="54">
        <v>624980</v>
      </c>
      <c r="GO61" s="54">
        <v>174142</v>
      </c>
      <c r="GP61" s="54">
        <v>208302</v>
      </c>
      <c r="GQ61" s="54">
        <v>657663</v>
      </c>
      <c r="GR61" s="54">
        <v>49900</v>
      </c>
      <c r="GS61" s="54">
        <v>1714987</v>
      </c>
      <c r="GT61" s="54">
        <v>197962</v>
      </c>
      <c r="GU61" s="54">
        <v>23217</v>
      </c>
      <c r="GV61" s="54">
        <v>25731</v>
      </c>
      <c r="GW61" s="54">
        <v>167775</v>
      </c>
      <c r="GX61" s="54">
        <v>0</v>
      </c>
      <c r="GY61" s="54">
        <v>414685</v>
      </c>
      <c r="GZ61" s="54">
        <v>267177</v>
      </c>
      <c r="HA61" s="54">
        <v>149573</v>
      </c>
      <c r="HB61" s="54">
        <v>50400</v>
      </c>
      <c r="HC61" s="54">
        <v>83122</v>
      </c>
      <c r="HD61" s="54">
        <v>41303</v>
      </c>
      <c r="HE61" s="54">
        <v>591575</v>
      </c>
      <c r="HF61" s="54">
        <v>15636</v>
      </c>
      <c r="HG61" s="54">
        <v>11344</v>
      </c>
      <c r="HH61" s="54">
        <v>2442</v>
      </c>
      <c r="HI61" s="54">
        <v>3223</v>
      </c>
      <c r="HJ61" s="54">
        <v>509682</v>
      </c>
      <c r="HK61" s="54">
        <v>542327</v>
      </c>
      <c r="HL61" s="54">
        <v>10181</v>
      </c>
      <c r="HM61" s="54">
        <v>14295</v>
      </c>
      <c r="HN61" s="54">
        <v>9128</v>
      </c>
      <c r="HO61" s="54">
        <v>154377</v>
      </c>
      <c r="HP61" s="54">
        <v>0</v>
      </c>
      <c r="HQ61" s="54">
        <v>187981</v>
      </c>
      <c r="HR61" s="54">
        <v>176770</v>
      </c>
      <c r="HS61" s="54">
        <v>38642</v>
      </c>
      <c r="HT61" s="54">
        <v>58526</v>
      </c>
      <c r="HU61" s="54">
        <v>32610</v>
      </c>
      <c r="HV61" s="54">
        <v>1016702</v>
      </c>
      <c r="HW61" s="54">
        <v>1323250</v>
      </c>
      <c r="HX61" s="54">
        <v>0</v>
      </c>
      <c r="HY61" s="54">
        <v>9145</v>
      </c>
      <c r="HZ61" s="54">
        <v>9145</v>
      </c>
      <c r="IA61" s="54">
        <v>0</v>
      </c>
      <c r="IB61" s="54">
        <v>55911</v>
      </c>
      <c r="IC61" s="54">
        <v>74201</v>
      </c>
      <c r="ID61" s="54">
        <v>0</v>
      </c>
      <c r="IE61" s="54">
        <v>0</v>
      </c>
      <c r="IF61" s="54">
        <v>0</v>
      </c>
      <c r="IG61" s="54">
        <v>0</v>
      </c>
      <c r="IH61" s="54">
        <v>35291</v>
      </c>
      <c r="II61" s="54">
        <v>35291</v>
      </c>
      <c r="IJ61" s="54">
        <v>32503</v>
      </c>
      <c r="IK61" s="54">
        <v>4222</v>
      </c>
      <c r="IL61" s="54">
        <v>4925</v>
      </c>
      <c r="IM61" s="54">
        <v>33070</v>
      </c>
      <c r="IN61" s="54">
        <v>307271</v>
      </c>
      <c r="IO61" s="54">
        <v>381991</v>
      </c>
      <c r="IP61" s="54">
        <v>4402</v>
      </c>
      <c r="IQ61" s="54">
        <v>5592</v>
      </c>
      <c r="IR61" s="54">
        <v>1350</v>
      </c>
      <c r="IS61" s="54">
        <v>4851</v>
      </c>
      <c r="IT61" s="54">
        <v>101712</v>
      </c>
      <c r="IU61" s="54">
        <v>117907</v>
      </c>
      <c r="IV61" s="54">
        <v>235570</v>
      </c>
      <c r="IW61" s="54">
        <v>201330</v>
      </c>
      <c r="IX61" s="54">
        <v>31271</v>
      </c>
      <c r="IY61" s="54">
        <v>71536</v>
      </c>
      <c r="IZ61" s="54">
        <v>880723</v>
      </c>
      <c r="JA61" s="54">
        <v>1420430</v>
      </c>
      <c r="JB61" s="54">
        <v>5483746</v>
      </c>
      <c r="JC61" s="54">
        <v>1724261</v>
      </c>
      <c r="JD61" s="54">
        <v>1130040</v>
      </c>
      <c r="JE61" s="54">
        <v>3900511</v>
      </c>
      <c r="JF61" s="54">
        <v>6696864</v>
      </c>
      <c r="JG61" s="54">
        <v>18935422</v>
      </c>
      <c r="JH61" s="54">
        <v>0</v>
      </c>
      <c r="JI61" s="54">
        <v>0</v>
      </c>
      <c r="JJ61" s="54">
        <v>0</v>
      </c>
      <c r="JK61" s="54">
        <v>0</v>
      </c>
      <c r="JL61" s="54">
        <v>0</v>
      </c>
      <c r="JM61" s="54">
        <v>0</v>
      </c>
      <c r="JN61" s="54">
        <v>5483746</v>
      </c>
      <c r="JO61" s="54">
        <v>1724261</v>
      </c>
      <c r="JP61" s="54">
        <v>1130040</v>
      </c>
      <c r="JQ61" s="54">
        <v>3900511</v>
      </c>
      <c r="JR61" s="54">
        <v>6696864</v>
      </c>
      <c r="JS61" s="54">
        <v>18935422</v>
      </c>
      <c r="JU61" s="5">
        <f t="shared" si="80"/>
        <v>787890</v>
      </c>
      <c r="JV61" s="26">
        <f t="shared" si="81"/>
        <v>0</v>
      </c>
      <c r="JW61" s="5">
        <f t="shared" si="82"/>
        <v>4934227</v>
      </c>
      <c r="JX61" s="26">
        <f t="shared" si="83"/>
        <v>0</v>
      </c>
      <c r="JY61" s="5">
        <f t="shared" si="84"/>
        <v>1187500</v>
      </c>
      <c r="JZ61" s="26">
        <f t="shared" si="85"/>
        <v>0</v>
      </c>
      <c r="KA61" s="5">
        <f t="shared" si="86"/>
        <v>1204029</v>
      </c>
      <c r="KB61" s="26">
        <f t="shared" si="87"/>
        <v>0</v>
      </c>
      <c r="KC61" s="5">
        <f t="shared" si="88"/>
        <v>0</v>
      </c>
      <c r="KD61" s="26">
        <f t="shared" si="89"/>
        <v>0</v>
      </c>
      <c r="KE61" s="5">
        <f t="shared" si="90"/>
        <v>0</v>
      </c>
      <c r="KF61" s="26">
        <f t="shared" si="91"/>
        <v>0</v>
      </c>
      <c r="KG61" s="5">
        <f t="shared" si="92"/>
        <v>81602</v>
      </c>
      <c r="KH61" s="26">
        <f t="shared" si="93"/>
        <v>0</v>
      </c>
      <c r="KI61" s="5">
        <f t="shared" si="94"/>
        <v>35291</v>
      </c>
      <c r="KJ61" s="26">
        <f t="shared" si="95"/>
        <v>0</v>
      </c>
      <c r="KK61" s="5">
        <f t="shared" si="96"/>
        <v>915938</v>
      </c>
      <c r="KL61" s="26">
        <f t="shared" si="97"/>
        <v>0</v>
      </c>
      <c r="KM61" s="5">
        <f t="shared" si="98"/>
        <v>0</v>
      </c>
      <c r="KN61" s="26">
        <f t="shared" si="99"/>
        <v>0</v>
      </c>
      <c r="KO61" s="5">
        <f t="shared" si="100"/>
        <v>519467</v>
      </c>
      <c r="KP61" s="26">
        <f t="shared" si="101"/>
        <v>0</v>
      </c>
      <c r="KQ61" s="5">
        <f t="shared" si="102"/>
        <v>1060676</v>
      </c>
      <c r="KR61" s="26">
        <f t="shared" si="103"/>
        <v>0</v>
      </c>
      <c r="KS61" s="5">
        <f t="shared" si="104"/>
        <v>377559</v>
      </c>
      <c r="KT61" s="26">
        <f t="shared" si="105"/>
        <v>0</v>
      </c>
      <c r="KU61" s="5">
        <f t="shared" si="106"/>
        <v>4924</v>
      </c>
      <c r="KV61" s="26">
        <f t="shared" si="107"/>
        <v>0</v>
      </c>
      <c r="KW61" s="5">
        <f t="shared" si="108"/>
        <v>150119</v>
      </c>
      <c r="KX61" s="26">
        <f t="shared" si="109"/>
        <v>0</v>
      </c>
      <c r="KY61" s="5">
        <f t="shared" si="110"/>
        <v>11259222</v>
      </c>
      <c r="KZ61" s="26">
        <f t="shared" si="111"/>
        <v>0</v>
      </c>
      <c r="LA61" s="5">
        <f t="shared" si="112"/>
        <v>3310358</v>
      </c>
      <c r="LB61" s="26">
        <f t="shared" si="113"/>
        <v>0</v>
      </c>
      <c r="LC61" s="5">
        <f t="shared" si="114"/>
        <v>623491</v>
      </c>
      <c r="LD61" s="26">
        <f t="shared" si="115"/>
        <v>0</v>
      </c>
      <c r="LE61" s="5">
        <f t="shared" si="116"/>
        <v>4253838</v>
      </c>
      <c r="LF61" s="26">
        <f t="shared" si="117"/>
        <v>0</v>
      </c>
      <c r="LG61" s="5">
        <f t="shared" si="118"/>
        <v>0</v>
      </c>
      <c r="LH61" s="26">
        <f t="shared" si="119"/>
        <v>0</v>
      </c>
      <c r="LI61" s="5">
        <f t="shared" si="120"/>
        <v>3547780</v>
      </c>
      <c r="LJ61" s="26">
        <f t="shared" si="121"/>
        <v>0</v>
      </c>
      <c r="LK61" s="5">
        <f t="shared" si="122"/>
        <v>0</v>
      </c>
      <c r="LL61" s="26">
        <f t="shared" si="123"/>
        <v>0</v>
      </c>
      <c r="LM61" s="5">
        <f t="shared" si="124"/>
        <v>119731</v>
      </c>
      <c r="LN61" s="26">
        <f t="shared" si="125"/>
        <v>0</v>
      </c>
      <c r="LO61" s="5">
        <f t="shared" si="126"/>
        <v>275599</v>
      </c>
      <c r="LP61" s="26">
        <f t="shared" si="127"/>
        <v>0</v>
      </c>
      <c r="LQ61" s="5">
        <f t="shared" si="128"/>
        <v>1714987</v>
      </c>
      <c r="LR61" s="26">
        <f t="shared" si="129"/>
        <v>0</v>
      </c>
      <c r="LS61" s="5">
        <f t="shared" si="130"/>
        <v>414685</v>
      </c>
      <c r="LT61" s="26">
        <f t="shared" si="131"/>
        <v>0</v>
      </c>
      <c r="LU61" s="5">
        <f t="shared" si="132"/>
        <v>591575</v>
      </c>
      <c r="LV61" s="26">
        <f t="shared" si="133"/>
        <v>0</v>
      </c>
      <c r="LW61" s="5">
        <f t="shared" si="134"/>
        <v>542327</v>
      </c>
      <c r="LX61" s="26">
        <f t="shared" si="135"/>
        <v>0</v>
      </c>
      <c r="LY61" s="5">
        <f t="shared" si="136"/>
        <v>187981</v>
      </c>
      <c r="LZ61" s="26">
        <f t="shared" si="137"/>
        <v>0</v>
      </c>
      <c r="MA61" s="5">
        <f t="shared" si="138"/>
        <v>1323250</v>
      </c>
      <c r="MB61" s="26">
        <f t="shared" si="139"/>
        <v>0</v>
      </c>
      <c r="MC61" s="5">
        <f t="shared" si="140"/>
        <v>74201</v>
      </c>
      <c r="MD61" s="26">
        <f t="shared" si="141"/>
        <v>0</v>
      </c>
      <c r="ME61" s="5">
        <f t="shared" si="142"/>
        <v>35291</v>
      </c>
      <c r="MF61" s="26">
        <f t="shared" si="143"/>
        <v>0</v>
      </c>
      <c r="MG61" s="5">
        <f t="shared" si="144"/>
        <v>381991</v>
      </c>
      <c r="MH61" s="26">
        <f t="shared" si="145"/>
        <v>0</v>
      </c>
      <c r="MI61" s="5">
        <f t="shared" si="146"/>
        <v>117907</v>
      </c>
      <c r="MJ61" s="26">
        <f t="shared" si="147"/>
        <v>0</v>
      </c>
      <c r="MK61" s="5">
        <f t="shared" si="148"/>
        <v>1420430</v>
      </c>
      <c r="ML61" s="26">
        <f t="shared" si="149"/>
        <v>0</v>
      </c>
      <c r="MM61" s="5">
        <f t="shared" si="150"/>
        <v>18935422</v>
      </c>
      <c r="MN61" s="26">
        <f t="shared" si="151"/>
        <v>0</v>
      </c>
      <c r="MO61" s="5">
        <f t="shared" si="152"/>
        <v>0</v>
      </c>
      <c r="MP61" s="26">
        <f t="shared" si="153"/>
        <v>0</v>
      </c>
      <c r="MQ61" s="5">
        <f>SUM(JN61:JR61)</f>
        <v>18935422</v>
      </c>
      <c r="MR61" s="26">
        <f>JS61-MQ61</f>
        <v>0</v>
      </c>
      <c r="MT61" s="5">
        <f t="shared" si="76"/>
        <v>0</v>
      </c>
      <c r="MV61" s="4">
        <f t="shared" si="77"/>
        <v>0</v>
      </c>
      <c r="MW61" s="19"/>
      <c r="MX61" s="19"/>
      <c r="MY61" s="19"/>
      <c r="MZ61" s="19"/>
      <c r="NA61" s="19"/>
      <c r="NB61" s="19"/>
      <c r="NC61" s="19"/>
    </row>
    <row r="62" spans="1:367" x14ac:dyDescent="0.15">
      <c r="A62" s="155" t="s">
        <v>329</v>
      </c>
      <c r="B62" s="25" t="s">
        <v>458</v>
      </c>
      <c r="C62" s="105">
        <v>147703</v>
      </c>
      <c r="D62" s="105">
        <v>2011</v>
      </c>
      <c r="E62" s="106">
        <v>1</v>
      </c>
      <c r="F62" s="106">
        <v>9</v>
      </c>
      <c r="G62" s="107">
        <v>7637</v>
      </c>
      <c r="H62" s="107">
        <v>7585</v>
      </c>
      <c r="I62" s="108">
        <v>502113951</v>
      </c>
      <c r="J62" s="108"/>
      <c r="K62" s="108">
        <v>3055158</v>
      </c>
      <c r="L62" s="108"/>
      <c r="M62" s="108">
        <v>11000131</v>
      </c>
      <c r="N62" s="108"/>
      <c r="O62" s="108">
        <v>30172613</v>
      </c>
      <c r="P62" s="108"/>
      <c r="Q62" s="108">
        <v>282594195</v>
      </c>
      <c r="R62" s="108"/>
      <c r="S62" s="108">
        <v>474450725</v>
      </c>
      <c r="T62" s="108"/>
      <c r="U62" s="108">
        <v>20448</v>
      </c>
      <c r="V62" s="108"/>
      <c r="W62" s="108">
        <v>29633</v>
      </c>
      <c r="X62" s="108"/>
      <c r="Y62" s="108">
        <v>24930</v>
      </c>
      <c r="Z62" s="108"/>
      <c r="AA62" s="108">
        <v>33410</v>
      </c>
      <c r="AB62" s="108"/>
      <c r="AC62" s="133">
        <v>7</v>
      </c>
      <c r="AD62" s="133">
        <v>8</v>
      </c>
      <c r="AE62" s="133">
        <v>0</v>
      </c>
      <c r="AF62" s="26">
        <v>4069059.03</v>
      </c>
      <c r="AG62" s="26">
        <v>2670559.5</v>
      </c>
      <c r="AH62" s="26">
        <v>182790.55</v>
      </c>
      <c r="AI62" s="26">
        <v>88582.24</v>
      </c>
      <c r="AJ62" s="26">
        <v>156411.69</v>
      </c>
      <c r="AK62" s="36">
        <v>7</v>
      </c>
      <c r="AL62" s="26">
        <v>156411.69</v>
      </c>
      <c r="AM62" s="36">
        <v>7</v>
      </c>
      <c r="AN62" s="26">
        <v>76375.520000000004</v>
      </c>
      <c r="AO62" s="36">
        <v>8</v>
      </c>
      <c r="AP62" s="26">
        <v>76375.520000000004</v>
      </c>
      <c r="AQ62" s="36">
        <v>8</v>
      </c>
      <c r="AR62" s="26">
        <v>68629.08</v>
      </c>
      <c r="AS62" s="36">
        <v>20</v>
      </c>
      <c r="AT62" s="26">
        <v>62390.07</v>
      </c>
      <c r="AU62" s="36">
        <v>22</v>
      </c>
      <c r="AV62" s="26">
        <v>40126.19</v>
      </c>
      <c r="AW62" s="36">
        <v>12.83</v>
      </c>
      <c r="AX62" s="26">
        <v>34321.269999999997</v>
      </c>
      <c r="AY62" s="36">
        <v>15</v>
      </c>
      <c r="AZ62" s="54">
        <v>735134</v>
      </c>
      <c r="BA62" s="54">
        <v>88187</v>
      </c>
      <c r="BB62" s="54">
        <v>18985</v>
      </c>
      <c r="BC62" s="54">
        <f>829190+34995-AZ62-BA62-BB62</f>
        <v>21879</v>
      </c>
      <c r="BD62" s="54">
        <v>0</v>
      </c>
      <c r="BE62" s="54">
        <v>864185</v>
      </c>
      <c r="BF62" s="54">
        <v>0</v>
      </c>
      <c r="BG62" s="54">
        <v>0</v>
      </c>
      <c r="BH62" s="54">
        <v>0</v>
      </c>
      <c r="BI62" s="54">
        <v>0</v>
      </c>
      <c r="BJ62" s="54">
        <v>8769232.3900000006</v>
      </c>
      <c r="BK62" s="54">
        <v>8769232.3900000006</v>
      </c>
      <c r="BL62" s="54">
        <v>1425000</v>
      </c>
      <c r="BM62" s="54">
        <v>155000</v>
      </c>
      <c r="BN62" s="54">
        <v>22000</v>
      </c>
      <c r="BO62" s="54">
        <f>1598750+30400-BL62-BM62-BN62</f>
        <v>27150</v>
      </c>
      <c r="BP62" s="54">
        <v>0</v>
      </c>
      <c r="BQ62" s="54">
        <v>1629150</v>
      </c>
      <c r="BR62" s="54">
        <v>251031.11</v>
      </c>
      <c r="BS62" s="54">
        <v>14440</v>
      </c>
      <c r="BT62" s="54">
        <v>6295.78</v>
      </c>
      <c r="BU62" s="54">
        <f>373378.96+96397.2-BR62-BS62-BT62</f>
        <v>198009.27000000005</v>
      </c>
      <c r="BV62" s="54">
        <v>859769.67999999993</v>
      </c>
      <c r="BW62" s="54">
        <v>1329545.8399999999</v>
      </c>
      <c r="BX62" s="54">
        <v>0</v>
      </c>
      <c r="BY62" s="54">
        <v>0</v>
      </c>
      <c r="BZ62" s="54">
        <v>0</v>
      </c>
      <c r="CA62" s="54">
        <v>0</v>
      </c>
      <c r="CB62" s="54">
        <v>0</v>
      </c>
      <c r="CC62" s="54">
        <v>0</v>
      </c>
      <c r="CD62" s="54">
        <v>0</v>
      </c>
      <c r="CE62" s="54">
        <v>0</v>
      </c>
      <c r="CF62" s="54">
        <v>0</v>
      </c>
      <c r="CG62" s="54">
        <v>0</v>
      </c>
      <c r="CH62" s="54">
        <v>0</v>
      </c>
      <c r="CI62" s="54">
        <v>0</v>
      </c>
      <c r="CJ62" s="54">
        <v>1069874.01</v>
      </c>
      <c r="CK62" s="54">
        <v>180647.85</v>
      </c>
      <c r="CL62" s="54">
        <v>132326.9</v>
      </c>
      <c r="CM62" s="54">
        <f>1928036.8+1249939.83-CJ62-CK62-CL62</f>
        <v>1795127.87</v>
      </c>
      <c r="CN62" s="54">
        <v>1235261.22</v>
      </c>
      <c r="CO62" s="54">
        <v>4413237.8499999996</v>
      </c>
      <c r="CP62" s="54">
        <v>0</v>
      </c>
      <c r="CQ62" s="54">
        <v>0</v>
      </c>
      <c r="CR62" s="54">
        <v>0</v>
      </c>
      <c r="CS62" s="54">
        <v>0</v>
      </c>
      <c r="CT62" s="54">
        <v>3547147.09</v>
      </c>
      <c r="CU62" s="54">
        <v>3547147.09</v>
      </c>
      <c r="CV62" s="54">
        <v>475000</v>
      </c>
      <c r="CW62" s="54">
        <v>927</v>
      </c>
      <c r="CX62" s="54">
        <v>0</v>
      </c>
      <c r="CY62" s="54">
        <f>490203+0-CV62-CW62-CX62</f>
        <v>14276</v>
      </c>
      <c r="CZ62" s="54">
        <v>1321647.0900000001</v>
      </c>
      <c r="DA62" s="54">
        <v>1811850.09</v>
      </c>
      <c r="DB62" s="54">
        <v>0</v>
      </c>
      <c r="DC62" s="54">
        <v>0</v>
      </c>
      <c r="DD62" s="54">
        <v>0</v>
      </c>
      <c r="DE62" s="54">
        <v>0</v>
      </c>
      <c r="DF62" s="54">
        <v>0</v>
      </c>
      <c r="DG62" s="54">
        <v>0</v>
      </c>
      <c r="DH62" s="54">
        <v>73346.73000000001</v>
      </c>
      <c r="DI62" s="54">
        <v>2953.27</v>
      </c>
      <c r="DJ62" s="54">
        <v>497.35</v>
      </c>
      <c r="DK62" s="54">
        <v>0</v>
      </c>
      <c r="DL62" s="54">
        <v>0</v>
      </c>
      <c r="DM62" s="54">
        <v>76797.35000000002</v>
      </c>
      <c r="DN62" s="54">
        <v>0</v>
      </c>
      <c r="DO62" s="54">
        <v>0</v>
      </c>
      <c r="DP62" s="54">
        <v>0</v>
      </c>
      <c r="DQ62" s="54">
        <v>0</v>
      </c>
      <c r="DR62" s="54">
        <v>370107.41000000003</v>
      </c>
      <c r="DS62" s="54">
        <v>370107.41000000003</v>
      </c>
      <c r="DT62" s="54">
        <v>32245</v>
      </c>
      <c r="DU62" s="54">
        <v>3200</v>
      </c>
      <c r="DV62" s="54">
        <v>0</v>
      </c>
      <c r="DW62" s="54">
        <f>173747.06+158140.19-DT62-DU62-DV62</f>
        <v>296442.25</v>
      </c>
      <c r="DX62" s="54">
        <v>4830</v>
      </c>
      <c r="DY62" s="54">
        <v>336717.25</v>
      </c>
      <c r="DZ62" s="54">
        <v>28477.58</v>
      </c>
      <c r="EA62" s="54">
        <v>16296.14</v>
      </c>
      <c r="EB62" s="54">
        <v>11974.61</v>
      </c>
      <c r="EC62" s="54">
        <f>55713.04+14638.94-DZ62-EA62-EB62</f>
        <v>13603.649999999994</v>
      </c>
      <c r="ED62" s="54">
        <v>86543.39</v>
      </c>
      <c r="EE62" s="54">
        <v>156895.37</v>
      </c>
      <c r="EF62" s="54">
        <v>49824.5</v>
      </c>
      <c r="EG62" s="54">
        <v>0</v>
      </c>
      <c r="EH62" s="54">
        <v>11815</v>
      </c>
      <c r="EI62" s="54">
        <f>121355.47+65225.39-EF62-EG62-EH62</f>
        <v>124941.35999999999</v>
      </c>
      <c r="EJ62" s="54">
        <v>657157.13</v>
      </c>
      <c r="EK62" s="54">
        <v>843737.99</v>
      </c>
      <c r="EL62" s="54">
        <f t="shared" ref="EL62:EQ62" si="156">AZ62+BF62+BL62+BR62+BX62+CD62+CJ62+CP62+CV62+DB62+DH62+DN62+DT62+DZ62+EF62</f>
        <v>4139932.93</v>
      </c>
      <c r="EM62" s="54">
        <f t="shared" si="156"/>
        <v>461651.26</v>
      </c>
      <c r="EN62" s="54">
        <f t="shared" si="156"/>
        <v>203894.64</v>
      </c>
      <c r="EO62" s="54">
        <f t="shared" si="156"/>
        <v>2491429.4</v>
      </c>
      <c r="EP62" s="54">
        <f t="shared" si="156"/>
        <v>16851695.400000002</v>
      </c>
      <c r="EQ62" s="54">
        <f t="shared" si="156"/>
        <v>24148603.629999999</v>
      </c>
      <c r="ER62" s="54">
        <v>2589552.0699999998</v>
      </c>
      <c r="ES62" s="54">
        <v>441595.92</v>
      </c>
      <c r="ET62" s="54">
        <v>382645.9</v>
      </c>
      <c r="EU62" s="54">
        <f>4069059.03+2670559.5-ER62-ES62-ET62</f>
        <v>3325824.6399999997</v>
      </c>
      <c r="EV62" s="54">
        <v>70816.539999999994</v>
      </c>
      <c r="EW62" s="54">
        <v>6810435.0699999994</v>
      </c>
      <c r="EX62" s="54">
        <v>250000</v>
      </c>
      <c r="EY62" s="54">
        <v>7500</v>
      </c>
      <c r="EZ62" s="54">
        <v>0</v>
      </c>
      <c r="FA62" s="54">
        <f>257500+0-EX62-EY62-EZ62</f>
        <v>0</v>
      </c>
      <c r="FB62" s="54">
        <v>0</v>
      </c>
      <c r="FC62" s="54">
        <v>257500</v>
      </c>
      <c r="FD62" s="54">
        <f>371048.05+913782.44</f>
        <v>1284830.49</v>
      </c>
      <c r="FE62" s="54">
        <f>392006+263259.82</f>
        <v>655265.82000000007</v>
      </c>
      <c r="FF62" s="54">
        <v>135308</v>
      </c>
      <c r="FG62" s="54">
        <f>1094881.86+1372581.6+611004.19+514819.04-FD62-FE62-FF62</f>
        <v>1517882.3800000001</v>
      </c>
      <c r="FH62" s="54">
        <v>0</v>
      </c>
      <c r="FI62" s="54">
        <v>3593286.69</v>
      </c>
      <c r="FJ62" s="54">
        <v>0</v>
      </c>
      <c r="FK62" s="54">
        <v>0</v>
      </c>
      <c r="FL62" s="54">
        <v>0</v>
      </c>
      <c r="FM62" s="54">
        <v>0</v>
      </c>
      <c r="FN62" s="54">
        <v>0</v>
      </c>
      <c r="FO62" s="54">
        <v>0</v>
      </c>
      <c r="FP62" s="54">
        <v>104568.46</v>
      </c>
      <c r="FQ62" s="54">
        <v>47605.5</v>
      </c>
      <c r="FR62" s="54">
        <v>31910.25</v>
      </c>
      <c r="FS62" s="54">
        <f>152173.96+31910.25-FP62-FQ62-FR62</f>
        <v>0</v>
      </c>
      <c r="FT62" s="54">
        <v>2087921.79</v>
      </c>
      <c r="FU62" s="54">
        <v>2272006</v>
      </c>
      <c r="FV62" s="54">
        <v>0</v>
      </c>
      <c r="FW62" s="54">
        <v>0</v>
      </c>
      <c r="FX62" s="54">
        <v>0</v>
      </c>
      <c r="FY62" s="54">
        <v>0</v>
      </c>
      <c r="FZ62" s="54">
        <v>0</v>
      </c>
      <c r="GA62" s="54">
        <v>0</v>
      </c>
      <c r="GB62" s="54">
        <v>0</v>
      </c>
      <c r="GC62" s="54">
        <v>0</v>
      </c>
      <c r="GD62" s="54">
        <v>0</v>
      </c>
      <c r="GE62" s="54">
        <v>0</v>
      </c>
      <c r="GF62" s="54">
        <v>0</v>
      </c>
      <c r="GG62" s="54">
        <v>0</v>
      </c>
      <c r="GH62" s="54">
        <v>121815.23</v>
      </c>
      <c r="GI62" s="54">
        <v>31496.27</v>
      </c>
      <c r="GJ62" s="54">
        <v>42575.51</v>
      </c>
      <c r="GK62" s="54">
        <f>182790.55+88582.24-GH62-GI62-GJ62</f>
        <v>75485.78</v>
      </c>
      <c r="GL62" s="54">
        <v>10000</v>
      </c>
      <c r="GM62" s="54">
        <v>281372.79000000004</v>
      </c>
      <c r="GN62" s="54">
        <v>642789.4</v>
      </c>
      <c r="GO62" s="54">
        <v>118937.48</v>
      </c>
      <c r="GP62" s="54">
        <v>107111.42</v>
      </c>
      <c r="GQ62" s="54">
        <f>1070068.78+480319.9-GN62-GO62-GP62</f>
        <v>681550.38000000012</v>
      </c>
      <c r="GR62" s="54">
        <v>0</v>
      </c>
      <c r="GS62" s="54">
        <v>1550388.6800000002</v>
      </c>
      <c r="GT62" s="54">
        <v>226030.39</v>
      </c>
      <c r="GU62" s="54">
        <v>40898.129999999997</v>
      </c>
      <c r="GV62" s="54">
        <v>41048.49</v>
      </c>
      <c r="GW62" s="54">
        <f>352007.51+167862.98-GT62-GU62-GV62</f>
        <v>211893.47999999998</v>
      </c>
      <c r="GX62" s="54">
        <v>48901.19</v>
      </c>
      <c r="GY62" s="54">
        <v>568771.67999999993</v>
      </c>
      <c r="GZ62" s="54">
        <v>214175.1</v>
      </c>
      <c r="HA62" s="54">
        <v>68046.67</v>
      </c>
      <c r="HB62" s="54">
        <v>39672.49</v>
      </c>
      <c r="HC62" s="54">
        <f>330617.75+163927.35-GZ62-HA62-HB62</f>
        <v>172650.84000000003</v>
      </c>
      <c r="HD62" s="54">
        <v>23688.22</v>
      </c>
      <c r="HE62" s="54">
        <v>518233.31999999995</v>
      </c>
      <c r="HF62" s="54">
        <v>209619.1</v>
      </c>
      <c r="HG62" s="54">
        <v>28353.460000000003</v>
      </c>
      <c r="HH62" s="54">
        <v>20300.330000000002</v>
      </c>
      <c r="HI62" s="54">
        <f>269210.53+43785.37-HF62-HG62-HH62</f>
        <v>54723.010000000009</v>
      </c>
      <c r="HJ62" s="54">
        <v>179128.16</v>
      </c>
      <c r="HK62" s="54">
        <v>492124.06000000006</v>
      </c>
      <c r="HL62" s="54">
        <v>16825.48</v>
      </c>
      <c r="HM62" s="54">
        <v>4104</v>
      </c>
      <c r="HN62" s="54">
        <v>4</v>
      </c>
      <c r="HO62" s="54">
        <f>114824.37+93389.76-HL62-HM62-HN62</f>
        <v>187280.65</v>
      </c>
      <c r="HP62" s="54">
        <v>10409.85</v>
      </c>
      <c r="HQ62" s="54">
        <v>218623.98</v>
      </c>
      <c r="HR62" s="54">
        <v>89132.94</v>
      </c>
      <c r="HS62" s="54">
        <v>6418.03</v>
      </c>
      <c r="HT62" s="54">
        <v>4924.01</v>
      </c>
      <c r="HU62" s="54">
        <f>226541.73+115187.81-HR62-HS62-HT62</f>
        <v>241254.56000000003</v>
      </c>
      <c r="HV62" s="54">
        <v>249121.95</v>
      </c>
      <c r="HW62" s="54">
        <v>590851.49</v>
      </c>
      <c r="HX62" s="54">
        <v>82327.61</v>
      </c>
      <c r="HY62" s="54">
        <v>0</v>
      </c>
      <c r="HZ62" s="54">
        <v>0</v>
      </c>
      <c r="IA62" s="54">
        <f>82327.61+0-HX62-HY62-HZ62</f>
        <v>0</v>
      </c>
      <c r="IB62" s="54">
        <v>40782.720000000001</v>
      </c>
      <c r="IC62" s="54">
        <v>123110.33</v>
      </c>
      <c r="ID62" s="54">
        <v>900649.97</v>
      </c>
      <c r="IE62" s="54">
        <v>107310</v>
      </c>
      <c r="IF62" s="54">
        <v>73753.75</v>
      </c>
      <c r="IG62" s="54">
        <f>1065573.72+173643.91-ID62-IE62-IF62</f>
        <v>157503.90999999992</v>
      </c>
      <c r="IH62" s="54">
        <v>2307929.39</v>
      </c>
      <c r="II62" s="54">
        <v>3547147.02</v>
      </c>
      <c r="IJ62" s="54">
        <v>67850.39</v>
      </c>
      <c r="IK62" s="54">
        <v>9260.1299999999992</v>
      </c>
      <c r="IL62" s="54">
        <v>10130.69</v>
      </c>
      <c r="IM62" s="54">
        <f>143162.26+45787.97-IJ62-IK62-IL62</f>
        <v>101709.02</v>
      </c>
      <c r="IN62" s="54">
        <v>133828.79</v>
      </c>
      <c r="IO62" s="54">
        <v>322779.02</v>
      </c>
      <c r="IP62" s="54">
        <v>7731.51</v>
      </c>
      <c r="IQ62" s="54">
        <v>5961.39</v>
      </c>
      <c r="IR62" s="54">
        <v>949.23</v>
      </c>
      <c r="IS62" s="54">
        <f>15741.6+6735.23-IP62-IQ62-IR62</f>
        <v>7834.7000000000007</v>
      </c>
      <c r="IT62" s="54">
        <v>21216.34</v>
      </c>
      <c r="IU62" s="54">
        <v>43693.17</v>
      </c>
      <c r="IV62" s="54">
        <v>411349.64</v>
      </c>
      <c r="IW62" s="54">
        <v>72731.09</v>
      </c>
      <c r="IX62" s="54">
        <v>51713</v>
      </c>
      <c r="IY62" s="54">
        <f>601987.59+197665.63-IV62-IW62-IX62</f>
        <v>263859.49</v>
      </c>
      <c r="IZ62" s="54">
        <v>803645.51</v>
      </c>
      <c r="JA62" s="54">
        <v>1603298.73</v>
      </c>
      <c r="JB62" s="54">
        <f t="shared" ref="JB62:JG62" si="157">ER62+EX62+FD62+FJ62+FP62+FV62+GB62+GH62+GN62+GT62+GZ62+HF62+HL62+HR62+HX62+ID62+IJ62+IP62+IV62</f>
        <v>7219247.7799999993</v>
      </c>
      <c r="JC62" s="54">
        <f t="shared" si="157"/>
        <v>1645483.8899999997</v>
      </c>
      <c r="JD62" s="54">
        <f t="shared" si="157"/>
        <v>942047.07</v>
      </c>
      <c r="JE62" s="54">
        <f t="shared" si="157"/>
        <v>6999452.8399999999</v>
      </c>
      <c r="JF62" s="54">
        <f t="shared" si="157"/>
        <v>5987390.4500000002</v>
      </c>
      <c r="JG62" s="54">
        <f t="shared" si="157"/>
        <v>22793622.030000001</v>
      </c>
      <c r="JH62" s="54">
        <v>0</v>
      </c>
      <c r="JI62" s="54">
        <v>0</v>
      </c>
      <c r="JJ62" s="54">
        <v>0</v>
      </c>
      <c r="JK62" s="54">
        <v>0</v>
      </c>
      <c r="JL62" s="54">
        <v>0</v>
      </c>
      <c r="JM62" s="54">
        <v>0</v>
      </c>
      <c r="JN62" s="54">
        <v>7219247.7799999993</v>
      </c>
      <c r="JO62" s="54">
        <v>1645483.8899999997</v>
      </c>
      <c r="JP62" s="54">
        <v>942047.07</v>
      </c>
      <c r="JQ62" s="54">
        <v>6999452.8399999999</v>
      </c>
      <c r="JR62" s="54">
        <v>5987390.4500000002</v>
      </c>
      <c r="JS62" s="54">
        <v>22793622.030000001</v>
      </c>
      <c r="JU62" s="5">
        <f t="shared" si="80"/>
        <v>864185</v>
      </c>
      <c r="JV62" s="26">
        <f t="shared" si="81"/>
        <v>0</v>
      </c>
      <c r="JW62" s="5">
        <f t="shared" si="82"/>
        <v>8769232.3900000006</v>
      </c>
      <c r="JX62" s="26">
        <f t="shared" si="83"/>
        <v>0</v>
      </c>
      <c r="JY62" s="5">
        <f t="shared" si="84"/>
        <v>1629150</v>
      </c>
      <c r="JZ62" s="26">
        <f t="shared" si="85"/>
        <v>0</v>
      </c>
      <c r="KA62" s="5">
        <f t="shared" si="86"/>
        <v>1329545.8399999999</v>
      </c>
      <c r="KB62" s="26">
        <f t="shared" si="87"/>
        <v>0</v>
      </c>
      <c r="KC62" s="5">
        <f t="shared" si="88"/>
        <v>0</v>
      </c>
      <c r="KD62" s="26">
        <f t="shared" si="89"/>
        <v>0</v>
      </c>
      <c r="KE62" s="5">
        <f t="shared" si="90"/>
        <v>0</v>
      </c>
      <c r="KF62" s="26">
        <f t="shared" si="91"/>
        <v>0</v>
      </c>
      <c r="KG62" s="5">
        <f t="shared" si="92"/>
        <v>4413237.8499999996</v>
      </c>
      <c r="KH62" s="26">
        <f t="shared" si="93"/>
        <v>0</v>
      </c>
      <c r="KI62" s="5">
        <f t="shared" si="94"/>
        <v>3547147.09</v>
      </c>
      <c r="KJ62" s="26">
        <f t="shared" si="95"/>
        <v>0</v>
      </c>
      <c r="KK62" s="5">
        <f t="shared" si="96"/>
        <v>1811850.09</v>
      </c>
      <c r="KL62" s="26">
        <f t="shared" si="97"/>
        <v>0</v>
      </c>
      <c r="KM62" s="5">
        <f t="shared" si="98"/>
        <v>0</v>
      </c>
      <c r="KN62" s="26">
        <f t="shared" si="99"/>
        <v>0</v>
      </c>
      <c r="KO62" s="5">
        <f t="shared" si="100"/>
        <v>76797.35000000002</v>
      </c>
      <c r="KP62" s="26">
        <f t="shared" si="101"/>
        <v>0</v>
      </c>
      <c r="KQ62" s="5">
        <f t="shared" si="102"/>
        <v>370107.41000000003</v>
      </c>
      <c r="KR62" s="26">
        <f t="shared" si="103"/>
        <v>0</v>
      </c>
      <c r="KS62" s="5">
        <f t="shared" si="104"/>
        <v>336717.25</v>
      </c>
      <c r="KT62" s="26">
        <f t="shared" si="105"/>
        <v>0</v>
      </c>
      <c r="KU62" s="5">
        <f t="shared" si="106"/>
        <v>156895.37</v>
      </c>
      <c r="KV62" s="26">
        <f t="shared" si="107"/>
        <v>0</v>
      </c>
      <c r="KW62" s="5">
        <f t="shared" si="108"/>
        <v>843737.99</v>
      </c>
      <c r="KX62" s="26">
        <f t="shared" si="109"/>
        <v>0</v>
      </c>
      <c r="KY62" s="5">
        <f t="shared" si="110"/>
        <v>24148603.630000003</v>
      </c>
      <c r="KZ62" s="26">
        <f t="shared" si="111"/>
        <v>0</v>
      </c>
      <c r="LA62" s="5">
        <f t="shared" si="112"/>
        <v>6810435.0699999994</v>
      </c>
      <c r="LB62" s="26">
        <f t="shared" si="113"/>
        <v>0</v>
      </c>
      <c r="LC62" s="5">
        <f t="shared" si="114"/>
        <v>257500</v>
      </c>
      <c r="LD62" s="26">
        <f t="shared" si="115"/>
        <v>0</v>
      </c>
      <c r="LE62" s="5">
        <f t="shared" si="116"/>
        <v>3593286.6900000004</v>
      </c>
      <c r="LF62" s="26">
        <f t="shared" si="117"/>
        <v>0</v>
      </c>
      <c r="LG62" s="5">
        <f t="shared" si="118"/>
        <v>0</v>
      </c>
      <c r="LH62" s="26">
        <f t="shared" si="119"/>
        <v>0</v>
      </c>
      <c r="LI62" s="5">
        <f t="shared" si="120"/>
        <v>2272006</v>
      </c>
      <c r="LJ62" s="26">
        <f t="shared" si="121"/>
        <v>0</v>
      </c>
      <c r="LK62" s="5">
        <f t="shared" si="122"/>
        <v>0</v>
      </c>
      <c r="LL62" s="26">
        <f t="shared" si="123"/>
        <v>0</v>
      </c>
      <c r="LM62" s="5">
        <f t="shared" si="124"/>
        <v>0</v>
      </c>
      <c r="LN62" s="26">
        <f t="shared" si="125"/>
        <v>0</v>
      </c>
      <c r="LO62" s="5">
        <f t="shared" si="126"/>
        <v>281372.79000000004</v>
      </c>
      <c r="LP62" s="26">
        <f t="shared" si="127"/>
        <v>0</v>
      </c>
      <c r="LQ62" s="5">
        <f t="shared" si="128"/>
        <v>1550388.6800000002</v>
      </c>
      <c r="LR62" s="26">
        <f t="shared" si="129"/>
        <v>0</v>
      </c>
      <c r="LS62" s="5">
        <f t="shared" si="130"/>
        <v>568771.67999999993</v>
      </c>
      <c r="LT62" s="26">
        <f t="shared" si="131"/>
        <v>0</v>
      </c>
      <c r="LU62" s="5">
        <f t="shared" si="132"/>
        <v>518233.32000000007</v>
      </c>
      <c r="LV62" s="26">
        <f t="shared" si="133"/>
        <v>0</v>
      </c>
      <c r="LW62" s="5">
        <f t="shared" si="134"/>
        <v>492124.06000000006</v>
      </c>
      <c r="LX62" s="26">
        <f t="shared" si="135"/>
        <v>0</v>
      </c>
      <c r="LY62" s="5">
        <f t="shared" si="136"/>
        <v>218623.98</v>
      </c>
      <c r="LZ62" s="26">
        <f t="shared" si="137"/>
        <v>0</v>
      </c>
      <c r="MA62" s="5">
        <f t="shared" si="138"/>
        <v>590851.49</v>
      </c>
      <c r="MB62" s="26">
        <f t="shared" si="139"/>
        <v>0</v>
      </c>
      <c r="MC62" s="5">
        <f t="shared" si="140"/>
        <v>123110.33</v>
      </c>
      <c r="MD62" s="26">
        <f t="shared" si="141"/>
        <v>0</v>
      </c>
      <c r="ME62" s="5">
        <f t="shared" si="142"/>
        <v>3547147.02</v>
      </c>
      <c r="MF62" s="26">
        <f t="shared" si="143"/>
        <v>0</v>
      </c>
      <c r="MG62" s="5">
        <f t="shared" si="144"/>
        <v>322779.02</v>
      </c>
      <c r="MH62" s="26">
        <f t="shared" si="145"/>
        <v>0</v>
      </c>
      <c r="MI62" s="5">
        <f t="shared" si="146"/>
        <v>43693.17</v>
      </c>
      <c r="MJ62" s="26">
        <f t="shared" si="147"/>
        <v>0</v>
      </c>
      <c r="MK62" s="5">
        <f t="shared" si="148"/>
        <v>1603298.73</v>
      </c>
      <c r="ML62" s="26">
        <f t="shared" si="149"/>
        <v>0</v>
      </c>
      <c r="MM62" s="5">
        <f t="shared" si="150"/>
        <v>22793622.029999997</v>
      </c>
      <c r="MN62" s="26">
        <f t="shared" si="151"/>
        <v>0</v>
      </c>
      <c r="MO62" s="5">
        <f t="shared" si="152"/>
        <v>0</v>
      </c>
      <c r="MP62" s="26">
        <f t="shared" si="153"/>
        <v>0</v>
      </c>
      <c r="MQ62" s="5">
        <f t="shared" si="154"/>
        <v>22793622.029999997</v>
      </c>
      <c r="MR62" s="26">
        <f t="shared" si="155"/>
        <v>0</v>
      </c>
      <c r="MT62" s="5">
        <f t="shared" si="76"/>
        <v>0</v>
      </c>
      <c r="MV62" s="4">
        <f t="shared" si="77"/>
        <v>0</v>
      </c>
      <c r="NB62" s="19"/>
    </row>
    <row r="63" spans="1:367" x14ac:dyDescent="0.15">
      <c r="A63" s="155" t="s">
        <v>340</v>
      </c>
      <c r="B63" s="25" t="s">
        <v>458</v>
      </c>
      <c r="C63" s="105">
        <v>174066</v>
      </c>
      <c r="D63" s="105">
        <v>2011</v>
      </c>
      <c r="E63" s="106">
        <v>1</v>
      </c>
      <c r="F63" s="106">
        <v>9</v>
      </c>
      <c r="G63" s="107">
        <v>8177</v>
      </c>
      <c r="H63" s="107">
        <v>8923</v>
      </c>
      <c r="I63" s="108">
        <v>620910084</v>
      </c>
      <c r="J63" s="108"/>
      <c r="K63" s="108">
        <v>151316</v>
      </c>
      <c r="L63" s="108"/>
      <c r="M63" s="108">
        <v>19470033</v>
      </c>
      <c r="N63" s="108"/>
      <c r="O63" s="108">
        <v>3107762</v>
      </c>
      <c r="P63" s="108"/>
      <c r="Q63" s="108">
        <v>164580000</v>
      </c>
      <c r="R63" s="108"/>
      <c r="S63" s="108">
        <v>548400041</v>
      </c>
      <c r="T63" s="108"/>
      <c r="U63" s="108">
        <v>19750</v>
      </c>
      <c r="V63" s="108"/>
      <c r="W63" s="108">
        <v>28714</v>
      </c>
      <c r="X63" s="108"/>
      <c r="Y63" s="108">
        <v>23709</v>
      </c>
      <c r="Z63" s="108"/>
      <c r="AA63" s="108">
        <v>32673</v>
      </c>
      <c r="AB63" s="108"/>
      <c r="AC63" s="129">
        <v>6</v>
      </c>
      <c r="AD63" s="129">
        <v>9</v>
      </c>
      <c r="AE63" s="129">
        <v>0</v>
      </c>
      <c r="AF63" s="26">
        <v>3537237</v>
      </c>
      <c r="AG63" s="26">
        <v>2578008</v>
      </c>
      <c r="AH63" s="26">
        <v>295423</v>
      </c>
      <c r="AI63" s="26">
        <v>133794</v>
      </c>
      <c r="AJ63" s="26">
        <v>196961.32</v>
      </c>
      <c r="AK63" s="36">
        <v>5.3</v>
      </c>
      <c r="AL63" s="26">
        <v>173982.5</v>
      </c>
      <c r="AM63" s="36">
        <v>6</v>
      </c>
      <c r="AN63" s="26">
        <v>103659.09</v>
      </c>
      <c r="AO63" s="36">
        <v>7.7</v>
      </c>
      <c r="AP63" s="26">
        <v>99771.88</v>
      </c>
      <c r="AQ63" s="36">
        <v>8</v>
      </c>
      <c r="AR63" s="26">
        <v>93782.399999999994</v>
      </c>
      <c r="AS63" s="36">
        <v>16.079999999999998</v>
      </c>
      <c r="AT63" s="26">
        <v>88707.12</v>
      </c>
      <c r="AU63" s="36">
        <v>17</v>
      </c>
      <c r="AV63" s="26">
        <v>60073.57</v>
      </c>
      <c r="AW63" s="36">
        <v>12.45</v>
      </c>
      <c r="AX63" s="26">
        <v>57532</v>
      </c>
      <c r="AY63" s="36">
        <v>13</v>
      </c>
      <c r="AZ63" s="85">
        <v>420715</v>
      </c>
      <c r="BA63" s="85">
        <v>299360</v>
      </c>
      <c r="BB63" s="85">
        <v>5416</v>
      </c>
      <c r="BC63" s="54">
        <v>54455</v>
      </c>
      <c r="BD63" s="85">
        <v>68524</v>
      </c>
      <c r="BE63" s="85">
        <v>848470</v>
      </c>
      <c r="BF63" s="54">
        <v>420715</v>
      </c>
      <c r="BG63" s="54">
        <v>299360</v>
      </c>
      <c r="BH63" s="54">
        <v>5416</v>
      </c>
      <c r="BI63" s="54">
        <v>54455</v>
      </c>
      <c r="BJ63" s="54">
        <v>68524</v>
      </c>
      <c r="BK63" s="54">
        <v>848470</v>
      </c>
      <c r="BL63" s="85">
        <v>900000</v>
      </c>
      <c r="BM63" s="85">
        <v>0</v>
      </c>
      <c r="BN63" s="54">
        <v>0</v>
      </c>
      <c r="BO63" s="54">
        <v>0</v>
      </c>
      <c r="BP63" s="85">
        <v>0</v>
      </c>
      <c r="BQ63" s="85">
        <v>900000</v>
      </c>
      <c r="BR63" s="85">
        <v>900000</v>
      </c>
      <c r="BS63" s="85">
        <v>0</v>
      </c>
      <c r="BT63" s="85">
        <v>0</v>
      </c>
      <c r="BU63" s="54">
        <v>0</v>
      </c>
      <c r="BV63" s="85">
        <v>0</v>
      </c>
      <c r="BW63" s="85">
        <v>900000</v>
      </c>
      <c r="BX63" s="54">
        <v>0</v>
      </c>
      <c r="BY63" s="54">
        <v>0</v>
      </c>
      <c r="BZ63" s="54">
        <v>0</v>
      </c>
      <c r="CA63" s="54">
        <v>0</v>
      </c>
      <c r="CB63" s="54">
        <v>0</v>
      </c>
      <c r="CC63" s="54">
        <v>0</v>
      </c>
      <c r="CD63" s="54">
        <v>0</v>
      </c>
      <c r="CE63" s="54">
        <v>0</v>
      </c>
      <c r="CF63" s="54">
        <v>0</v>
      </c>
      <c r="CG63" s="54">
        <v>0</v>
      </c>
      <c r="CH63" s="54">
        <v>0</v>
      </c>
      <c r="CI63" s="54">
        <v>0</v>
      </c>
      <c r="CJ63" s="85">
        <v>0</v>
      </c>
      <c r="CK63" s="54">
        <v>0</v>
      </c>
      <c r="CL63" s="54">
        <v>0</v>
      </c>
      <c r="CM63" s="54">
        <v>0</v>
      </c>
      <c r="CN63" s="85">
        <v>0</v>
      </c>
      <c r="CO63" s="85">
        <v>0</v>
      </c>
      <c r="CP63" s="54">
        <v>595788</v>
      </c>
      <c r="CQ63" s="54">
        <v>237005</v>
      </c>
      <c r="CR63" s="54">
        <v>127620</v>
      </c>
      <c r="CS63" s="54">
        <v>666136</v>
      </c>
      <c r="CT63" s="85">
        <v>664578</v>
      </c>
      <c r="CU63" s="85">
        <v>2291127</v>
      </c>
      <c r="CV63" s="54">
        <v>765575</v>
      </c>
      <c r="CW63" s="54">
        <v>246198</v>
      </c>
      <c r="CX63" s="54">
        <v>61000</v>
      </c>
      <c r="CY63" s="54">
        <v>489714</v>
      </c>
      <c r="CZ63" s="85">
        <v>75500</v>
      </c>
      <c r="DA63" s="85">
        <v>1637987</v>
      </c>
      <c r="DB63" s="54">
        <v>0</v>
      </c>
      <c r="DC63" s="54">
        <v>0</v>
      </c>
      <c r="DD63" s="54">
        <v>0</v>
      </c>
      <c r="DE63" s="54">
        <v>0</v>
      </c>
      <c r="DF63" s="54">
        <v>0</v>
      </c>
      <c r="DG63" s="54">
        <v>0</v>
      </c>
      <c r="DH63" s="85">
        <v>7584</v>
      </c>
      <c r="DI63" s="85">
        <v>2546</v>
      </c>
      <c r="DJ63" s="85">
        <v>305</v>
      </c>
      <c r="DK63" s="54">
        <v>608</v>
      </c>
      <c r="DL63" s="54">
        <v>62371</v>
      </c>
      <c r="DM63" s="85">
        <v>73414</v>
      </c>
      <c r="DN63" s="85">
        <v>0</v>
      </c>
      <c r="DO63" s="85">
        <v>0</v>
      </c>
      <c r="DP63" s="85">
        <v>0</v>
      </c>
      <c r="DQ63" s="54">
        <v>0</v>
      </c>
      <c r="DR63" s="85">
        <v>786076</v>
      </c>
      <c r="DS63" s="85">
        <v>786076</v>
      </c>
      <c r="DT63" s="85">
        <v>35177</v>
      </c>
      <c r="DU63" s="85">
        <v>173020</v>
      </c>
      <c r="DV63" s="85">
        <v>7583</v>
      </c>
      <c r="DW63" s="54">
        <v>119430</v>
      </c>
      <c r="DX63" s="54">
        <v>0</v>
      </c>
      <c r="DY63" s="85">
        <v>335210</v>
      </c>
      <c r="DZ63" s="85">
        <v>35177</v>
      </c>
      <c r="EA63" s="54">
        <v>173020</v>
      </c>
      <c r="EB63" s="54">
        <v>7583</v>
      </c>
      <c r="EC63" s="54">
        <v>119430</v>
      </c>
      <c r="ED63" s="85">
        <v>0</v>
      </c>
      <c r="EE63" s="85">
        <v>335210</v>
      </c>
      <c r="EF63" s="85">
        <v>7300</v>
      </c>
      <c r="EG63" s="85">
        <v>63746</v>
      </c>
      <c r="EH63" s="85">
        <v>0</v>
      </c>
      <c r="EI63" s="54">
        <v>22633</v>
      </c>
      <c r="EJ63" s="85">
        <v>401236</v>
      </c>
      <c r="EK63" s="85">
        <v>494915</v>
      </c>
      <c r="EL63" s="85">
        <v>7351353</v>
      </c>
      <c r="EM63" s="85">
        <v>2939738</v>
      </c>
      <c r="EN63" s="85">
        <v>1165241</v>
      </c>
      <c r="EO63" s="54">
        <v>6514982</v>
      </c>
      <c r="EP63" s="85">
        <v>7498982</v>
      </c>
      <c r="EQ63" s="85">
        <v>25470296</v>
      </c>
      <c r="ER63" s="85">
        <v>2396470</v>
      </c>
      <c r="ES63" s="85">
        <v>435948</v>
      </c>
      <c r="ET63" s="85">
        <v>344894</v>
      </c>
      <c r="EU63" s="54">
        <v>2937933</v>
      </c>
      <c r="EV63" s="85">
        <v>244604</v>
      </c>
      <c r="EW63" s="85">
        <v>6359849</v>
      </c>
      <c r="EX63" s="85">
        <v>300000</v>
      </c>
      <c r="EY63" s="85">
        <v>240321</v>
      </c>
      <c r="EZ63" s="85">
        <v>30152</v>
      </c>
      <c r="FA63" s="54">
        <v>0</v>
      </c>
      <c r="FB63" s="54">
        <v>0</v>
      </c>
      <c r="FC63" s="85">
        <v>570473</v>
      </c>
      <c r="FD63" s="54">
        <v>1430651</v>
      </c>
      <c r="FE63" s="54">
        <v>628832</v>
      </c>
      <c r="FF63" s="54">
        <v>410858</v>
      </c>
      <c r="FG63" s="54">
        <v>1627666</v>
      </c>
      <c r="FH63" s="54">
        <v>0</v>
      </c>
      <c r="FI63" s="85">
        <v>4098007</v>
      </c>
      <c r="FJ63" s="54">
        <v>0</v>
      </c>
      <c r="FK63" s="54">
        <v>0</v>
      </c>
      <c r="FL63" s="54">
        <v>0</v>
      </c>
      <c r="FM63" s="54">
        <v>0</v>
      </c>
      <c r="FN63" s="54">
        <v>0</v>
      </c>
      <c r="FO63" s="54">
        <v>0</v>
      </c>
      <c r="FP63" s="85">
        <v>166616</v>
      </c>
      <c r="FQ63" s="85">
        <v>64851</v>
      </c>
      <c r="FR63" s="85">
        <v>45292</v>
      </c>
      <c r="FS63" s="54">
        <v>42325</v>
      </c>
      <c r="FT63" s="85">
        <v>2261008</v>
      </c>
      <c r="FU63" s="85">
        <v>2580092</v>
      </c>
      <c r="FV63" s="54">
        <v>0</v>
      </c>
      <c r="FW63" s="54">
        <v>0</v>
      </c>
      <c r="FX63" s="54">
        <v>0</v>
      </c>
      <c r="FY63" s="54">
        <v>0</v>
      </c>
      <c r="FZ63" s="54">
        <v>0</v>
      </c>
      <c r="GA63" s="54">
        <v>0</v>
      </c>
      <c r="GB63" s="54">
        <v>0</v>
      </c>
      <c r="GC63" s="54">
        <v>0</v>
      </c>
      <c r="GD63" s="85">
        <v>0</v>
      </c>
      <c r="GE63" s="54">
        <v>0</v>
      </c>
      <c r="GF63" s="54">
        <v>0</v>
      </c>
      <c r="GG63" s="85">
        <v>0</v>
      </c>
      <c r="GH63" s="85">
        <v>183412</v>
      </c>
      <c r="GI63" s="85">
        <v>69661</v>
      </c>
      <c r="GJ63" s="85">
        <v>63519</v>
      </c>
      <c r="GK63" s="54">
        <v>112625</v>
      </c>
      <c r="GL63" s="54">
        <v>0</v>
      </c>
      <c r="GM63" s="85">
        <v>429217</v>
      </c>
      <c r="GN63" s="85">
        <v>683734</v>
      </c>
      <c r="GO63" s="85">
        <v>220563</v>
      </c>
      <c r="GP63" s="85">
        <v>110732</v>
      </c>
      <c r="GQ63" s="54">
        <v>668542</v>
      </c>
      <c r="GR63" s="85">
        <v>50218</v>
      </c>
      <c r="GS63" s="85">
        <v>1733789</v>
      </c>
      <c r="GT63" s="85">
        <v>225924</v>
      </c>
      <c r="GU63" s="85">
        <v>35266</v>
      </c>
      <c r="GV63" s="85">
        <v>35063</v>
      </c>
      <c r="GW63" s="54">
        <v>219818</v>
      </c>
      <c r="GX63" s="85">
        <v>231681</v>
      </c>
      <c r="GY63" s="85">
        <v>747752</v>
      </c>
      <c r="GZ63" s="85">
        <v>74131</v>
      </c>
      <c r="HA63" s="85">
        <v>93765</v>
      </c>
      <c r="HB63" s="85">
        <v>37480</v>
      </c>
      <c r="HC63" s="54">
        <v>56489</v>
      </c>
      <c r="HD63" s="85">
        <v>12550</v>
      </c>
      <c r="HE63" s="85">
        <v>274415</v>
      </c>
      <c r="HF63" s="85">
        <v>14166</v>
      </c>
      <c r="HG63" s="54">
        <v>8106</v>
      </c>
      <c r="HH63" s="85">
        <v>7183</v>
      </c>
      <c r="HI63" s="54">
        <v>27887</v>
      </c>
      <c r="HJ63" s="85">
        <v>763133</v>
      </c>
      <c r="HK63" s="85">
        <v>820475</v>
      </c>
      <c r="HL63" s="85">
        <v>27223</v>
      </c>
      <c r="HM63" s="85">
        <v>179043</v>
      </c>
      <c r="HN63" s="85">
        <v>8889</v>
      </c>
      <c r="HO63" s="54">
        <v>69001</v>
      </c>
      <c r="HP63" s="54">
        <v>2093</v>
      </c>
      <c r="HQ63" s="85">
        <v>286249</v>
      </c>
      <c r="HR63" s="85">
        <v>74249</v>
      </c>
      <c r="HS63" s="85">
        <v>23607</v>
      </c>
      <c r="HT63" s="85">
        <v>3532</v>
      </c>
      <c r="HU63" s="54">
        <v>108388</v>
      </c>
      <c r="HV63" s="85">
        <v>313513</v>
      </c>
      <c r="HW63" s="85">
        <v>523289</v>
      </c>
      <c r="HX63" s="54">
        <v>0</v>
      </c>
      <c r="HY63" s="54">
        <v>0</v>
      </c>
      <c r="HZ63" s="54">
        <v>0</v>
      </c>
      <c r="IA63" s="54">
        <v>0</v>
      </c>
      <c r="IB63" s="85">
        <v>0</v>
      </c>
      <c r="IC63" s="85">
        <v>0</v>
      </c>
      <c r="ID63" s="54">
        <v>595788</v>
      </c>
      <c r="IE63" s="54">
        <v>237005</v>
      </c>
      <c r="IF63" s="54">
        <v>127620</v>
      </c>
      <c r="IG63" s="54">
        <v>666136</v>
      </c>
      <c r="IH63" s="85">
        <v>664578</v>
      </c>
      <c r="II63" s="85">
        <v>2291127</v>
      </c>
      <c r="IJ63" s="54">
        <v>820</v>
      </c>
      <c r="IK63" s="54">
        <v>849</v>
      </c>
      <c r="IL63" s="54">
        <v>234</v>
      </c>
      <c r="IM63" s="54">
        <v>1489</v>
      </c>
      <c r="IN63" s="85">
        <v>416729</v>
      </c>
      <c r="IO63" s="85">
        <v>420121</v>
      </c>
      <c r="IP63" s="85">
        <v>1015</v>
      </c>
      <c r="IQ63" s="85">
        <v>5899</v>
      </c>
      <c r="IR63" s="85">
        <v>732</v>
      </c>
      <c r="IS63" s="54">
        <v>19242</v>
      </c>
      <c r="IT63" s="85">
        <v>276707</v>
      </c>
      <c r="IU63" s="85">
        <v>303595</v>
      </c>
      <c r="IV63" s="85">
        <v>335942</v>
      </c>
      <c r="IW63" s="85">
        <v>58164</v>
      </c>
      <c r="IX63" s="85">
        <v>17186</v>
      </c>
      <c r="IY63" s="54">
        <v>68999</v>
      </c>
      <c r="IZ63" s="85">
        <v>922376</v>
      </c>
      <c r="JA63" s="85">
        <v>1402667</v>
      </c>
      <c r="JB63" s="85">
        <v>6510141</v>
      </c>
      <c r="JC63" s="85">
        <v>2301880</v>
      </c>
      <c r="JD63" s="85">
        <v>1243366</v>
      </c>
      <c r="JE63" s="54">
        <v>6626540</v>
      </c>
      <c r="JF63" s="85">
        <v>6159190</v>
      </c>
      <c r="JG63" s="85">
        <v>22841117</v>
      </c>
      <c r="JH63" s="54">
        <v>0</v>
      </c>
      <c r="JI63" s="54">
        <v>0</v>
      </c>
      <c r="JJ63" s="54">
        <v>0</v>
      </c>
      <c r="JK63" s="54">
        <v>0</v>
      </c>
      <c r="JL63" s="54">
        <v>0</v>
      </c>
      <c r="JM63" s="54">
        <v>0</v>
      </c>
      <c r="JN63" s="85">
        <v>6510141</v>
      </c>
      <c r="JO63" s="85">
        <v>2301880</v>
      </c>
      <c r="JP63" s="85">
        <v>1243366</v>
      </c>
      <c r="JQ63" s="54">
        <v>6626540</v>
      </c>
      <c r="JR63" s="85">
        <v>6159190</v>
      </c>
      <c r="JS63" s="85">
        <v>22841117</v>
      </c>
      <c r="JU63" s="5">
        <f t="shared" si="80"/>
        <v>848470</v>
      </c>
      <c r="JV63" s="26">
        <f t="shared" si="81"/>
        <v>0</v>
      </c>
      <c r="JW63" s="5">
        <f t="shared" si="82"/>
        <v>848470</v>
      </c>
      <c r="JX63" s="26">
        <f t="shared" si="83"/>
        <v>0</v>
      </c>
      <c r="JY63" s="5">
        <f t="shared" si="84"/>
        <v>900000</v>
      </c>
      <c r="JZ63" s="26">
        <f t="shared" si="85"/>
        <v>0</v>
      </c>
      <c r="KA63" s="5">
        <f t="shared" si="86"/>
        <v>900000</v>
      </c>
      <c r="KB63" s="26">
        <f t="shared" si="87"/>
        <v>0</v>
      </c>
      <c r="KC63" s="5">
        <f t="shared" si="88"/>
        <v>0</v>
      </c>
      <c r="KD63" s="26">
        <f t="shared" si="89"/>
        <v>0</v>
      </c>
      <c r="KE63" s="5">
        <f t="shared" si="90"/>
        <v>0</v>
      </c>
      <c r="KF63" s="26">
        <f t="shared" si="91"/>
        <v>0</v>
      </c>
      <c r="KG63" s="5">
        <f t="shared" si="92"/>
        <v>0</v>
      </c>
      <c r="KH63" s="26">
        <f t="shared" si="93"/>
        <v>0</v>
      </c>
      <c r="KI63" s="5">
        <f t="shared" si="94"/>
        <v>2291127</v>
      </c>
      <c r="KJ63" s="26">
        <f t="shared" si="95"/>
        <v>0</v>
      </c>
      <c r="KK63" s="5">
        <f t="shared" si="96"/>
        <v>1637987</v>
      </c>
      <c r="KL63" s="26">
        <f t="shared" si="97"/>
        <v>0</v>
      </c>
      <c r="KM63" s="5">
        <f t="shared" si="98"/>
        <v>0</v>
      </c>
      <c r="KN63" s="26">
        <f t="shared" si="99"/>
        <v>0</v>
      </c>
      <c r="KO63" s="5">
        <f t="shared" si="100"/>
        <v>73414</v>
      </c>
      <c r="KP63" s="26">
        <f t="shared" si="101"/>
        <v>0</v>
      </c>
      <c r="KQ63" s="5">
        <f t="shared" si="102"/>
        <v>786076</v>
      </c>
      <c r="KR63" s="26">
        <f t="shared" si="103"/>
        <v>0</v>
      </c>
      <c r="KS63" s="5">
        <f t="shared" si="104"/>
        <v>335210</v>
      </c>
      <c r="KT63" s="26">
        <f t="shared" si="105"/>
        <v>0</v>
      </c>
      <c r="KU63" s="5">
        <f t="shared" si="106"/>
        <v>335210</v>
      </c>
      <c r="KV63" s="26">
        <f t="shared" si="107"/>
        <v>0</v>
      </c>
      <c r="KW63" s="5">
        <f t="shared" si="108"/>
        <v>494915</v>
      </c>
      <c r="KX63" s="26">
        <f t="shared" si="109"/>
        <v>0</v>
      </c>
      <c r="KY63" s="5">
        <f t="shared" si="110"/>
        <v>25470296</v>
      </c>
      <c r="KZ63" s="26">
        <f t="shared" si="111"/>
        <v>0</v>
      </c>
      <c r="LA63" s="5">
        <f t="shared" si="112"/>
        <v>6359849</v>
      </c>
      <c r="LB63" s="26">
        <f t="shared" si="113"/>
        <v>0</v>
      </c>
      <c r="LC63" s="5">
        <f t="shared" si="114"/>
        <v>570473</v>
      </c>
      <c r="LD63" s="26">
        <f t="shared" si="115"/>
        <v>0</v>
      </c>
      <c r="LE63" s="5">
        <f t="shared" si="116"/>
        <v>4098007</v>
      </c>
      <c r="LF63" s="26">
        <f t="shared" si="117"/>
        <v>0</v>
      </c>
      <c r="LG63" s="5">
        <f t="shared" si="118"/>
        <v>0</v>
      </c>
      <c r="LH63" s="26">
        <f t="shared" si="119"/>
        <v>0</v>
      </c>
      <c r="LI63" s="5">
        <f t="shared" si="120"/>
        <v>2580092</v>
      </c>
      <c r="LJ63" s="26">
        <f t="shared" si="121"/>
        <v>0</v>
      </c>
      <c r="LK63" s="5">
        <f t="shared" si="122"/>
        <v>0</v>
      </c>
      <c r="LL63" s="26">
        <f t="shared" si="123"/>
        <v>0</v>
      </c>
      <c r="LM63" s="5">
        <f t="shared" si="124"/>
        <v>0</v>
      </c>
      <c r="LN63" s="26">
        <f t="shared" si="125"/>
        <v>0</v>
      </c>
      <c r="LO63" s="5">
        <f t="shared" si="126"/>
        <v>429217</v>
      </c>
      <c r="LP63" s="26">
        <f t="shared" si="127"/>
        <v>0</v>
      </c>
      <c r="LQ63" s="5">
        <f t="shared" si="128"/>
        <v>1733789</v>
      </c>
      <c r="LR63" s="26">
        <f t="shared" si="129"/>
        <v>0</v>
      </c>
      <c r="LS63" s="5">
        <f t="shared" si="130"/>
        <v>747752</v>
      </c>
      <c r="LT63" s="26">
        <f t="shared" si="131"/>
        <v>0</v>
      </c>
      <c r="LU63" s="5">
        <f t="shared" si="132"/>
        <v>274415</v>
      </c>
      <c r="LV63" s="26">
        <f t="shared" si="133"/>
        <v>0</v>
      </c>
      <c r="LW63" s="5">
        <f t="shared" si="134"/>
        <v>820475</v>
      </c>
      <c r="LX63" s="26">
        <f t="shared" si="135"/>
        <v>0</v>
      </c>
      <c r="LY63" s="5">
        <f t="shared" si="136"/>
        <v>286249</v>
      </c>
      <c r="LZ63" s="26">
        <f t="shared" si="137"/>
        <v>0</v>
      </c>
      <c r="MA63" s="5">
        <f t="shared" si="138"/>
        <v>523289</v>
      </c>
      <c r="MB63" s="26">
        <f t="shared" si="139"/>
        <v>0</v>
      </c>
      <c r="MC63" s="5">
        <f t="shared" si="140"/>
        <v>0</v>
      </c>
      <c r="MD63" s="26">
        <f t="shared" si="141"/>
        <v>0</v>
      </c>
      <c r="ME63" s="5">
        <f t="shared" si="142"/>
        <v>2291127</v>
      </c>
      <c r="MF63" s="26">
        <f t="shared" si="143"/>
        <v>0</v>
      </c>
      <c r="MG63" s="5">
        <f t="shared" si="144"/>
        <v>420121</v>
      </c>
      <c r="MH63" s="26">
        <f t="shared" si="145"/>
        <v>0</v>
      </c>
      <c r="MI63" s="5">
        <f t="shared" si="146"/>
        <v>303595</v>
      </c>
      <c r="MJ63" s="26">
        <f t="shared" si="147"/>
        <v>0</v>
      </c>
      <c r="MK63" s="5">
        <f t="shared" si="148"/>
        <v>1402667</v>
      </c>
      <c r="ML63" s="26">
        <f t="shared" si="149"/>
        <v>0</v>
      </c>
      <c r="MM63" s="5">
        <f t="shared" si="150"/>
        <v>22841117</v>
      </c>
      <c r="MN63" s="26">
        <f t="shared" si="151"/>
        <v>0</v>
      </c>
      <c r="MO63" s="5">
        <f t="shared" si="152"/>
        <v>0</v>
      </c>
      <c r="MP63" s="26">
        <f t="shared" si="153"/>
        <v>0</v>
      </c>
      <c r="MQ63" s="5">
        <f t="shared" si="154"/>
        <v>22841117</v>
      </c>
      <c r="MR63" s="26">
        <f t="shared" si="155"/>
        <v>0</v>
      </c>
      <c r="MT63" s="5">
        <f t="shared" si="76"/>
        <v>0</v>
      </c>
      <c r="MV63" s="4">
        <f t="shared" si="77"/>
        <v>0</v>
      </c>
    </row>
    <row r="64" spans="1:367" x14ac:dyDescent="0.15">
      <c r="A64" s="155" t="s">
        <v>341</v>
      </c>
      <c r="B64" s="25" t="s">
        <v>406</v>
      </c>
      <c r="C64" s="105">
        <v>176017</v>
      </c>
      <c r="D64" s="105">
        <v>2011</v>
      </c>
      <c r="E64" s="106">
        <v>1</v>
      </c>
      <c r="F64" s="106">
        <v>3</v>
      </c>
      <c r="G64" s="117">
        <v>20407</v>
      </c>
      <c r="H64" s="117">
        <v>18116</v>
      </c>
      <c r="I64" s="118">
        <v>4531831000</v>
      </c>
      <c r="J64" s="118"/>
      <c r="K64" s="119">
        <v>17205929</v>
      </c>
      <c r="L64" s="118"/>
      <c r="M64" s="120">
        <v>337668000</v>
      </c>
      <c r="N64" s="121"/>
      <c r="O64" s="122">
        <v>183555456</v>
      </c>
      <c r="P64" s="121"/>
      <c r="Q64" s="122">
        <v>1970000000</v>
      </c>
      <c r="R64" s="108"/>
      <c r="S64" s="123">
        <v>2132418000</v>
      </c>
      <c r="T64" s="121"/>
      <c r="U64" s="122">
        <v>22258</v>
      </c>
      <c r="V64" s="121"/>
      <c r="W64" s="122">
        <v>36442</v>
      </c>
      <c r="X64" s="120"/>
      <c r="Y64" s="121">
        <v>25833</v>
      </c>
      <c r="Z64" s="120"/>
      <c r="AA64" s="123">
        <v>41244</v>
      </c>
      <c r="AB64" s="121"/>
      <c r="AC64" s="130">
        <v>18</v>
      </c>
      <c r="AD64" s="130">
        <v>18</v>
      </c>
      <c r="AE64" s="130">
        <v>2</v>
      </c>
      <c r="AF64" s="45">
        <v>6764007</v>
      </c>
      <c r="AG64" s="134">
        <v>7211816</v>
      </c>
      <c r="AH64" s="44">
        <v>782735</v>
      </c>
      <c r="AI64" s="135">
        <v>351278</v>
      </c>
      <c r="AJ64" s="44">
        <v>472564</v>
      </c>
      <c r="AK64" s="36">
        <v>16</v>
      </c>
      <c r="AL64" s="26">
        <v>420057</v>
      </c>
      <c r="AM64" s="36">
        <v>18</v>
      </c>
      <c r="AN64" s="42">
        <v>164978</v>
      </c>
      <c r="AO64" s="43">
        <v>16</v>
      </c>
      <c r="AP64" s="42">
        <v>146647</v>
      </c>
      <c r="AQ64" s="43">
        <v>18</v>
      </c>
      <c r="AR64" s="45">
        <v>153115</v>
      </c>
      <c r="AS64" s="46">
        <v>30.5</v>
      </c>
      <c r="AT64" s="45">
        <v>145937</v>
      </c>
      <c r="AU64" s="47">
        <v>32</v>
      </c>
      <c r="AV64" s="26">
        <v>61911</v>
      </c>
      <c r="AW64" s="36">
        <v>26.5</v>
      </c>
      <c r="AX64" s="26">
        <v>58595</v>
      </c>
      <c r="AY64" s="36">
        <v>28</v>
      </c>
      <c r="AZ64" s="86">
        <v>41885216</v>
      </c>
      <c r="BA64" s="86">
        <v>5591205</v>
      </c>
      <c r="BB64" s="86">
        <v>377595</v>
      </c>
      <c r="BC64" s="86">
        <v>497073</v>
      </c>
      <c r="BD64" s="86">
        <v>1658306</v>
      </c>
      <c r="BE64" s="86">
        <v>50009395</v>
      </c>
      <c r="BF64" s="86">
        <v>0</v>
      </c>
      <c r="BG64" s="86">
        <v>0</v>
      </c>
      <c r="BH64" s="86">
        <v>0</v>
      </c>
      <c r="BI64" s="86">
        <v>0</v>
      </c>
      <c r="BJ64" s="86">
        <v>0</v>
      </c>
      <c r="BK64" s="86">
        <v>0</v>
      </c>
      <c r="BL64" s="86">
        <v>3041342</v>
      </c>
      <c r="BM64" s="86">
        <v>639152</v>
      </c>
      <c r="BN64" s="86">
        <v>139544</v>
      </c>
      <c r="BO64" s="86">
        <v>33292</v>
      </c>
      <c r="BP64" s="86">
        <v>0</v>
      </c>
      <c r="BQ64" s="86">
        <v>3853330</v>
      </c>
      <c r="BR64" s="86">
        <v>15123907</v>
      </c>
      <c r="BS64" s="86">
        <v>553206</v>
      </c>
      <c r="BT64" s="54">
        <v>255067</v>
      </c>
      <c r="BU64" s="54">
        <v>1520535</v>
      </c>
      <c r="BV64" s="54">
        <v>184223</v>
      </c>
      <c r="BW64" s="54">
        <v>17636938</v>
      </c>
      <c r="BX64" s="86">
        <v>0</v>
      </c>
      <c r="BY64" s="86">
        <v>0</v>
      </c>
      <c r="BZ64" s="86">
        <v>0</v>
      </c>
      <c r="CA64" s="86">
        <v>0</v>
      </c>
      <c r="CB64" s="86">
        <v>0</v>
      </c>
      <c r="CC64" s="86">
        <v>0</v>
      </c>
      <c r="CD64" s="86">
        <v>0</v>
      </c>
      <c r="CE64" s="86">
        <v>0</v>
      </c>
      <c r="CF64" s="86">
        <v>0</v>
      </c>
      <c r="CG64" s="86">
        <v>0</v>
      </c>
      <c r="CH64" s="86">
        <v>0</v>
      </c>
      <c r="CI64" s="86">
        <v>0</v>
      </c>
      <c r="CJ64" s="86">
        <v>0</v>
      </c>
      <c r="CK64" s="86">
        <v>0</v>
      </c>
      <c r="CL64" s="86">
        <v>0</v>
      </c>
      <c r="CM64" s="86">
        <v>0</v>
      </c>
      <c r="CN64" s="86">
        <v>0</v>
      </c>
      <c r="CO64" s="86">
        <v>0</v>
      </c>
      <c r="CP64" s="86">
        <v>0</v>
      </c>
      <c r="CQ64" s="86">
        <v>0</v>
      </c>
      <c r="CR64" s="86">
        <v>0</v>
      </c>
      <c r="CS64" s="86">
        <v>0</v>
      </c>
      <c r="CT64" s="86">
        <v>0</v>
      </c>
      <c r="CU64" s="86">
        <v>0</v>
      </c>
      <c r="CV64" s="86">
        <v>13220996</v>
      </c>
      <c r="CW64" s="86">
        <v>8802590</v>
      </c>
      <c r="CX64" s="86">
        <v>0</v>
      </c>
      <c r="CY64" s="86">
        <v>0</v>
      </c>
      <c r="CZ64" s="86">
        <v>506677</v>
      </c>
      <c r="DA64" s="86">
        <v>22530263</v>
      </c>
      <c r="DB64" s="86">
        <v>1305260</v>
      </c>
      <c r="DC64" s="86">
        <v>706700</v>
      </c>
      <c r="DD64" s="86">
        <v>0</v>
      </c>
      <c r="DE64" s="86">
        <v>0</v>
      </c>
      <c r="DF64" s="86">
        <v>235000</v>
      </c>
      <c r="DG64" s="86">
        <v>2246960</v>
      </c>
      <c r="DH64" s="86">
        <v>3860762</v>
      </c>
      <c r="DI64" s="86">
        <v>536155</v>
      </c>
      <c r="DJ64" s="86">
        <v>65168</v>
      </c>
      <c r="DK64" s="86">
        <v>164118</v>
      </c>
      <c r="DL64" s="86">
        <v>2030759</v>
      </c>
      <c r="DM64" s="86">
        <v>6656962</v>
      </c>
      <c r="DN64" s="86">
        <v>325000</v>
      </c>
      <c r="DO64" s="86">
        <v>55000</v>
      </c>
      <c r="DP64" s="86">
        <v>60000</v>
      </c>
      <c r="DQ64" s="86">
        <v>596000</v>
      </c>
      <c r="DR64" s="86">
        <v>11136905</v>
      </c>
      <c r="DS64" s="86">
        <v>12172905</v>
      </c>
      <c r="DT64" s="86">
        <v>577479</v>
      </c>
      <c r="DU64" s="86">
        <v>91888</v>
      </c>
      <c r="DV64" s="86">
        <v>58189</v>
      </c>
      <c r="DW64" s="86">
        <v>2115099</v>
      </c>
      <c r="DX64" s="86">
        <v>453556</v>
      </c>
      <c r="DY64" s="86">
        <v>3296211</v>
      </c>
      <c r="DZ64" s="86">
        <v>0</v>
      </c>
      <c r="EA64" s="86">
        <v>0</v>
      </c>
      <c r="EB64" s="86">
        <v>0</v>
      </c>
      <c r="EC64" s="86">
        <v>0</v>
      </c>
      <c r="ED64" s="86">
        <v>1869256</v>
      </c>
      <c r="EE64" s="86">
        <v>1869256</v>
      </c>
      <c r="EF64" s="86">
        <v>0</v>
      </c>
      <c r="EG64" s="86">
        <v>0</v>
      </c>
      <c r="EH64" s="86">
        <v>0</v>
      </c>
      <c r="EI64" s="86">
        <v>0</v>
      </c>
      <c r="EJ64" s="86">
        <v>11553592</v>
      </c>
      <c r="EK64" s="86">
        <v>11553592</v>
      </c>
      <c r="EL64" s="86">
        <v>79339962</v>
      </c>
      <c r="EM64" s="86">
        <v>16975896</v>
      </c>
      <c r="EN64" s="86">
        <v>955563</v>
      </c>
      <c r="EO64" s="86">
        <v>4936815</v>
      </c>
      <c r="EP64" s="86">
        <v>29607585</v>
      </c>
      <c r="EQ64" s="86">
        <v>131815821</v>
      </c>
      <c r="ER64" s="87">
        <v>3075153</v>
      </c>
      <c r="ES64" s="87">
        <v>472138</v>
      </c>
      <c r="ET64" s="87">
        <v>559306</v>
      </c>
      <c r="EU64" s="87">
        <v>10779226</v>
      </c>
      <c r="EV64" s="87">
        <v>244097</v>
      </c>
      <c r="EW64" s="87">
        <v>15129920</v>
      </c>
      <c r="EX64" s="87">
        <v>7223041</v>
      </c>
      <c r="EY64" s="87">
        <v>639152</v>
      </c>
      <c r="EZ64" s="87">
        <v>139544</v>
      </c>
      <c r="FA64" s="87">
        <v>33292</v>
      </c>
      <c r="FB64" s="87">
        <v>0</v>
      </c>
      <c r="FC64" s="87">
        <v>8035029</v>
      </c>
      <c r="FD64" s="87">
        <v>6200296</v>
      </c>
      <c r="FE64" s="87">
        <v>2773256</v>
      </c>
      <c r="FF64" s="87">
        <v>1411610</v>
      </c>
      <c r="FG64" s="87">
        <v>6126198</v>
      </c>
      <c r="FH64" s="87">
        <v>0</v>
      </c>
      <c r="FI64" s="87">
        <v>16511360</v>
      </c>
      <c r="FJ64" s="87">
        <v>0</v>
      </c>
      <c r="FK64" s="87">
        <v>0</v>
      </c>
      <c r="FL64" s="87">
        <v>0</v>
      </c>
      <c r="FM64" s="87">
        <v>0</v>
      </c>
      <c r="FN64" s="87">
        <v>0</v>
      </c>
      <c r="FO64" s="87">
        <v>0</v>
      </c>
      <c r="FP64" s="87">
        <v>783710</v>
      </c>
      <c r="FQ64" s="87">
        <v>234984</v>
      </c>
      <c r="FR64" s="87">
        <v>200838</v>
      </c>
      <c r="FS64" s="87">
        <v>203331</v>
      </c>
      <c r="FT64" s="87">
        <v>12308850</v>
      </c>
      <c r="FU64" s="87">
        <v>13731713</v>
      </c>
      <c r="FV64" s="87">
        <v>0</v>
      </c>
      <c r="FW64" s="87">
        <v>0</v>
      </c>
      <c r="FX64" s="87">
        <v>0</v>
      </c>
      <c r="FY64" s="87">
        <v>0</v>
      </c>
      <c r="FZ64" s="87">
        <v>0</v>
      </c>
      <c r="GA64" s="87">
        <v>0</v>
      </c>
      <c r="GB64" s="87">
        <v>0</v>
      </c>
      <c r="GC64" s="87">
        <v>0</v>
      </c>
      <c r="GD64" s="87">
        <v>0</v>
      </c>
      <c r="GE64" s="87">
        <v>0</v>
      </c>
      <c r="GF64" s="87">
        <v>0</v>
      </c>
      <c r="GG64" s="87">
        <v>0</v>
      </c>
      <c r="GH64" s="87">
        <v>320938</v>
      </c>
      <c r="GI64" s="87">
        <v>172591</v>
      </c>
      <c r="GJ64" s="87">
        <v>75565</v>
      </c>
      <c r="GK64" s="87">
        <v>567884</v>
      </c>
      <c r="GL64" s="87">
        <v>0</v>
      </c>
      <c r="GM64" s="87">
        <v>1136978</v>
      </c>
      <c r="GN64" s="87">
        <v>1425524</v>
      </c>
      <c r="GO64" s="87">
        <v>550195</v>
      </c>
      <c r="GP64" s="87">
        <v>512069</v>
      </c>
      <c r="GQ64" s="87">
        <v>3130402</v>
      </c>
      <c r="GR64" s="87">
        <v>0</v>
      </c>
      <c r="GS64" s="87">
        <v>5618190</v>
      </c>
      <c r="GT64" s="87">
        <v>252224</v>
      </c>
      <c r="GU64" s="87">
        <v>7246</v>
      </c>
      <c r="GV64" s="87">
        <v>5239</v>
      </c>
      <c r="GW64" s="87">
        <v>456925</v>
      </c>
      <c r="GX64" s="87">
        <v>0</v>
      </c>
      <c r="GY64" s="87">
        <v>721634</v>
      </c>
      <c r="GZ64" s="87">
        <v>2873385</v>
      </c>
      <c r="HA64" s="87">
        <v>730872</v>
      </c>
      <c r="HB64" s="87">
        <v>209083</v>
      </c>
      <c r="HC64" s="87">
        <v>583356</v>
      </c>
      <c r="HD64" s="87">
        <v>0</v>
      </c>
      <c r="HE64" s="87">
        <v>4396696</v>
      </c>
      <c r="HF64" s="87">
        <v>0</v>
      </c>
      <c r="HG64" s="87">
        <v>0</v>
      </c>
      <c r="HH64" s="87">
        <v>0</v>
      </c>
      <c r="HI64" s="87">
        <v>0</v>
      </c>
      <c r="HJ64" s="87">
        <v>2453157</v>
      </c>
      <c r="HK64" s="87">
        <v>2453157</v>
      </c>
      <c r="HL64" s="87">
        <v>638239</v>
      </c>
      <c r="HM64" s="87">
        <v>130650</v>
      </c>
      <c r="HN64" s="87">
        <v>39411</v>
      </c>
      <c r="HO64" s="87">
        <v>427877</v>
      </c>
      <c r="HP64" s="87">
        <v>2631143</v>
      </c>
      <c r="HQ64" s="87">
        <v>3867320</v>
      </c>
      <c r="HR64" s="87">
        <v>16423698</v>
      </c>
      <c r="HS64" s="87">
        <v>0</v>
      </c>
      <c r="HT64" s="87">
        <v>0</v>
      </c>
      <c r="HU64" s="87">
        <v>4157757</v>
      </c>
      <c r="HV64" s="87">
        <v>6676979</v>
      </c>
      <c r="HW64" s="87">
        <v>27258434</v>
      </c>
      <c r="HX64" s="87">
        <v>0</v>
      </c>
      <c r="HY64" s="87">
        <v>0</v>
      </c>
      <c r="HZ64" s="87">
        <v>0</v>
      </c>
      <c r="IA64" s="87">
        <v>0</v>
      </c>
      <c r="IB64" s="87">
        <v>397802</v>
      </c>
      <c r="IC64" s="87">
        <v>397802</v>
      </c>
      <c r="ID64" s="87">
        <v>0</v>
      </c>
      <c r="IE64" s="87">
        <v>0</v>
      </c>
      <c r="IF64" s="87">
        <v>0</v>
      </c>
      <c r="IG64" s="87">
        <v>0</v>
      </c>
      <c r="IH64" s="87">
        <v>0</v>
      </c>
      <c r="II64" s="87">
        <v>0</v>
      </c>
      <c r="IJ64" s="87">
        <v>0</v>
      </c>
      <c r="IK64" s="87">
        <v>0</v>
      </c>
      <c r="IL64" s="87">
        <v>0</v>
      </c>
      <c r="IM64" s="87">
        <v>0</v>
      </c>
      <c r="IN64" s="87">
        <v>1494770</v>
      </c>
      <c r="IO64" s="87">
        <v>1494770</v>
      </c>
      <c r="IP64" s="87">
        <v>1775</v>
      </c>
      <c r="IQ64" s="87">
        <v>2953</v>
      </c>
      <c r="IR64" s="87">
        <v>800</v>
      </c>
      <c r="IS64" s="87">
        <v>18102</v>
      </c>
      <c r="IT64" s="87">
        <v>279576</v>
      </c>
      <c r="IU64" s="87">
        <v>303206</v>
      </c>
      <c r="IV64" s="87">
        <v>0</v>
      </c>
      <c r="IW64" s="87">
        <v>0</v>
      </c>
      <c r="IX64" s="87">
        <v>0</v>
      </c>
      <c r="IY64" s="87">
        <v>0</v>
      </c>
      <c r="IZ64" s="87">
        <v>21868915</v>
      </c>
      <c r="JA64" s="87">
        <v>21868915</v>
      </c>
      <c r="JB64" s="87">
        <v>39217983</v>
      </c>
      <c r="JC64" s="87">
        <v>5714037</v>
      </c>
      <c r="JD64" s="87">
        <v>3153456</v>
      </c>
      <c r="JE64" s="87">
        <v>28458192</v>
      </c>
      <c r="JF64" s="87">
        <v>45743192</v>
      </c>
      <c r="JG64" s="87">
        <v>122286860</v>
      </c>
      <c r="JH64" s="54">
        <v>0</v>
      </c>
      <c r="JI64" s="54">
        <v>0</v>
      </c>
      <c r="JJ64" s="54">
        <v>0</v>
      </c>
      <c r="JK64" s="54">
        <v>0</v>
      </c>
      <c r="JL64" s="54">
        <v>9103195</v>
      </c>
      <c r="JM64" s="54">
        <v>9103195</v>
      </c>
      <c r="JN64" s="54">
        <v>39217983</v>
      </c>
      <c r="JO64" s="54">
        <v>5714037</v>
      </c>
      <c r="JP64" s="54">
        <v>3153456</v>
      </c>
      <c r="JQ64" s="54">
        <v>28458192</v>
      </c>
      <c r="JR64" s="54">
        <v>54874107</v>
      </c>
      <c r="JS64" s="54">
        <v>131417775</v>
      </c>
      <c r="JU64" s="5">
        <f t="shared" si="80"/>
        <v>50009395</v>
      </c>
      <c r="JV64" s="26">
        <f t="shared" si="81"/>
        <v>0</v>
      </c>
      <c r="JW64" s="5">
        <f t="shared" si="82"/>
        <v>0</v>
      </c>
      <c r="JX64" s="26">
        <f t="shared" si="83"/>
        <v>0</v>
      </c>
      <c r="JY64" s="5">
        <f t="shared" si="84"/>
        <v>3853330</v>
      </c>
      <c r="JZ64" s="26">
        <f t="shared" si="85"/>
        <v>0</v>
      </c>
      <c r="KA64" s="5">
        <f t="shared" si="86"/>
        <v>17636938</v>
      </c>
      <c r="KB64" s="26">
        <f t="shared" si="87"/>
        <v>0</v>
      </c>
      <c r="KC64" s="5">
        <f t="shared" si="88"/>
        <v>0</v>
      </c>
      <c r="KD64" s="26">
        <f t="shared" si="89"/>
        <v>0</v>
      </c>
      <c r="KE64" s="5">
        <f t="shared" si="90"/>
        <v>0</v>
      </c>
      <c r="KF64" s="26">
        <f t="shared" si="91"/>
        <v>0</v>
      </c>
      <c r="KG64" s="5">
        <f t="shared" si="92"/>
        <v>0</v>
      </c>
      <c r="KH64" s="26">
        <f t="shared" si="93"/>
        <v>0</v>
      </c>
      <c r="KI64" s="5">
        <f t="shared" si="94"/>
        <v>0</v>
      </c>
      <c r="KJ64" s="26">
        <f t="shared" si="95"/>
        <v>0</v>
      </c>
      <c r="KK64" s="5">
        <f t="shared" si="96"/>
        <v>22530263</v>
      </c>
      <c r="KL64" s="26">
        <f t="shared" si="97"/>
        <v>0</v>
      </c>
      <c r="KM64" s="5">
        <f t="shared" si="98"/>
        <v>2246960</v>
      </c>
      <c r="KN64" s="26">
        <f t="shared" si="99"/>
        <v>0</v>
      </c>
      <c r="KO64" s="5">
        <f t="shared" si="100"/>
        <v>6656962</v>
      </c>
      <c r="KP64" s="26">
        <f t="shared" si="101"/>
        <v>0</v>
      </c>
      <c r="KQ64" s="5">
        <f t="shared" si="102"/>
        <v>12172905</v>
      </c>
      <c r="KR64" s="26">
        <f t="shared" si="103"/>
        <v>0</v>
      </c>
      <c r="KS64" s="5">
        <f t="shared" si="104"/>
        <v>3296211</v>
      </c>
      <c r="KT64" s="26">
        <f t="shared" si="105"/>
        <v>0</v>
      </c>
      <c r="KU64" s="5">
        <f t="shared" si="106"/>
        <v>1869256</v>
      </c>
      <c r="KV64" s="26">
        <f t="shared" si="107"/>
        <v>0</v>
      </c>
      <c r="KW64" s="5">
        <f t="shared" si="108"/>
        <v>11553592</v>
      </c>
      <c r="KX64" s="26">
        <f t="shared" si="109"/>
        <v>0</v>
      </c>
      <c r="KY64" s="5">
        <f t="shared" si="110"/>
        <v>131815821</v>
      </c>
      <c r="KZ64" s="26">
        <f t="shared" si="111"/>
        <v>0</v>
      </c>
      <c r="LA64" s="5">
        <f t="shared" si="112"/>
        <v>15129920</v>
      </c>
      <c r="LB64" s="26">
        <f t="shared" si="113"/>
        <v>0</v>
      </c>
      <c r="LC64" s="5">
        <f t="shared" si="114"/>
        <v>8035029</v>
      </c>
      <c r="LD64" s="26">
        <f t="shared" si="115"/>
        <v>0</v>
      </c>
      <c r="LE64" s="5">
        <f t="shared" si="116"/>
        <v>16511360</v>
      </c>
      <c r="LF64" s="26">
        <f t="shared" si="117"/>
        <v>0</v>
      </c>
      <c r="LG64" s="5">
        <f t="shared" si="118"/>
        <v>0</v>
      </c>
      <c r="LH64" s="26">
        <f t="shared" si="119"/>
        <v>0</v>
      </c>
      <c r="LI64" s="5">
        <f t="shared" si="120"/>
        <v>13731713</v>
      </c>
      <c r="LJ64" s="26">
        <f t="shared" si="121"/>
        <v>0</v>
      </c>
      <c r="LK64" s="5">
        <f t="shared" si="122"/>
        <v>0</v>
      </c>
      <c r="LL64" s="26">
        <f t="shared" si="123"/>
        <v>0</v>
      </c>
      <c r="LM64" s="5">
        <f t="shared" si="124"/>
        <v>0</v>
      </c>
      <c r="LN64" s="26">
        <f t="shared" si="125"/>
        <v>0</v>
      </c>
      <c r="LO64" s="5">
        <f t="shared" si="126"/>
        <v>1136978</v>
      </c>
      <c r="LP64" s="26">
        <f t="shared" si="127"/>
        <v>0</v>
      </c>
      <c r="LQ64" s="5">
        <f t="shared" si="128"/>
        <v>5618190</v>
      </c>
      <c r="LR64" s="26">
        <f t="shared" si="129"/>
        <v>0</v>
      </c>
      <c r="LS64" s="5">
        <f t="shared" si="130"/>
        <v>721634</v>
      </c>
      <c r="LT64" s="26">
        <f t="shared" si="131"/>
        <v>0</v>
      </c>
      <c r="LU64" s="5">
        <f t="shared" si="132"/>
        <v>4396696</v>
      </c>
      <c r="LV64" s="26">
        <f t="shared" si="133"/>
        <v>0</v>
      </c>
      <c r="LW64" s="5">
        <f t="shared" si="134"/>
        <v>2453157</v>
      </c>
      <c r="LX64" s="26">
        <f t="shared" si="135"/>
        <v>0</v>
      </c>
      <c r="LY64" s="5">
        <f t="shared" si="136"/>
        <v>3867320</v>
      </c>
      <c r="LZ64" s="26">
        <f t="shared" si="137"/>
        <v>0</v>
      </c>
      <c r="MA64" s="5">
        <f t="shared" si="138"/>
        <v>27258434</v>
      </c>
      <c r="MB64" s="26">
        <f t="shared" si="139"/>
        <v>0</v>
      </c>
      <c r="MC64" s="5">
        <f t="shared" si="140"/>
        <v>397802</v>
      </c>
      <c r="MD64" s="26">
        <f t="shared" si="141"/>
        <v>0</v>
      </c>
      <c r="ME64" s="5">
        <f t="shared" si="142"/>
        <v>0</v>
      </c>
      <c r="MF64" s="26">
        <f t="shared" si="143"/>
        <v>0</v>
      </c>
      <c r="MG64" s="5">
        <f t="shared" si="144"/>
        <v>1494770</v>
      </c>
      <c r="MH64" s="26">
        <f t="shared" si="145"/>
        <v>0</v>
      </c>
      <c r="MI64" s="5">
        <f t="shared" si="146"/>
        <v>303206</v>
      </c>
      <c r="MJ64" s="26">
        <f t="shared" si="147"/>
        <v>0</v>
      </c>
      <c r="MK64" s="5">
        <f t="shared" si="148"/>
        <v>21868915</v>
      </c>
      <c r="ML64" s="26">
        <f t="shared" si="149"/>
        <v>0</v>
      </c>
      <c r="MM64" s="5">
        <f t="shared" si="150"/>
        <v>122286860</v>
      </c>
      <c r="MN64" s="26">
        <f t="shared" si="151"/>
        <v>0</v>
      </c>
      <c r="MO64" s="5">
        <f t="shared" si="152"/>
        <v>9103195</v>
      </c>
      <c r="MP64" s="26">
        <f t="shared" si="153"/>
        <v>0</v>
      </c>
      <c r="MQ64" s="5">
        <f t="shared" si="154"/>
        <v>131417775</v>
      </c>
      <c r="MR64" s="26">
        <f t="shared" si="155"/>
        <v>0</v>
      </c>
      <c r="MT64" s="5">
        <f t="shared" si="76"/>
        <v>0</v>
      </c>
      <c r="MV64" s="4">
        <f t="shared" si="77"/>
        <v>0</v>
      </c>
    </row>
    <row r="65" spans="1:371" x14ac:dyDescent="0.15">
      <c r="A65" s="18" t="s">
        <v>342</v>
      </c>
      <c r="B65" s="25" t="s">
        <v>458</v>
      </c>
      <c r="C65" s="105">
        <v>176080</v>
      </c>
      <c r="D65" s="105">
        <v>2011</v>
      </c>
      <c r="E65" s="106">
        <v>1</v>
      </c>
      <c r="F65" s="106">
        <v>2</v>
      </c>
      <c r="G65" s="107">
        <v>8548</v>
      </c>
      <c r="H65" s="107">
        <v>9093</v>
      </c>
      <c r="I65" s="108">
        <v>791155000</v>
      </c>
      <c r="J65" s="108"/>
      <c r="K65" s="108">
        <v>8255560</v>
      </c>
      <c r="L65" s="108"/>
      <c r="M65" s="108">
        <v>189175000</v>
      </c>
      <c r="N65" s="108"/>
      <c r="O65" s="108">
        <v>87014027</v>
      </c>
      <c r="P65" s="108"/>
      <c r="Q65" s="108">
        <v>696330000</v>
      </c>
      <c r="R65" s="108"/>
      <c r="S65" s="108">
        <v>444756000</v>
      </c>
      <c r="T65" s="108"/>
      <c r="U65" s="108">
        <v>17010</v>
      </c>
      <c r="V65" s="108"/>
      <c r="W65" s="108">
        <v>27440</v>
      </c>
      <c r="X65" s="108"/>
      <c r="Y65" s="108">
        <v>20046</v>
      </c>
      <c r="Z65" s="108"/>
      <c r="AA65" s="108">
        <v>30011</v>
      </c>
      <c r="AB65" s="108"/>
      <c r="AC65" s="129">
        <v>10</v>
      </c>
      <c r="AD65" s="129">
        <v>11</v>
      </c>
      <c r="AE65" s="129">
        <v>0</v>
      </c>
      <c r="AF65" s="26">
        <v>5170577</v>
      </c>
      <c r="AG65" s="26">
        <v>4078540</v>
      </c>
      <c r="AH65" s="26">
        <v>837890</v>
      </c>
      <c r="AI65" s="26">
        <v>425677</v>
      </c>
      <c r="AJ65" s="26">
        <v>1257270.27</v>
      </c>
      <c r="AK65" s="36">
        <v>7.5</v>
      </c>
      <c r="AL65" s="26">
        <v>1178690.8799999999</v>
      </c>
      <c r="AM65" s="36">
        <v>8</v>
      </c>
      <c r="AN65" s="26">
        <v>290511.18</v>
      </c>
      <c r="AO65" s="36">
        <v>8.5</v>
      </c>
      <c r="AP65" s="26">
        <v>274371.67</v>
      </c>
      <c r="AQ65" s="36">
        <v>9</v>
      </c>
      <c r="AR65" s="26">
        <v>244959.78</v>
      </c>
      <c r="AS65" s="36">
        <v>22.5</v>
      </c>
      <c r="AT65" s="26">
        <v>220463.8</v>
      </c>
      <c r="AU65" s="36">
        <v>25</v>
      </c>
      <c r="AV65" s="26">
        <v>89098.69</v>
      </c>
      <c r="AW65" s="36">
        <v>17.5</v>
      </c>
      <c r="AX65" s="26">
        <v>77961.350000000006</v>
      </c>
      <c r="AY65" s="36">
        <v>20</v>
      </c>
      <c r="AZ65" s="54">
        <v>31937164</v>
      </c>
      <c r="BA65" s="54">
        <v>2465195</v>
      </c>
      <c r="BB65" s="54">
        <v>1098245</v>
      </c>
      <c r="BC65" s="54">
        <v>355807</v>
      </c>
      <c r="BD65" s="54">
        <v>0</v>
      </c>
      <c r="BE65" s="54">
        <v>35856411</v>
      </c>
      <c r="BF65" s="54">
        <v>0</v>
      </c>
      <c r="BG65" s="54">
        <v>0</v>
      </c>
      <c r="BH65" s="54">
        <v>0</v>
      </c>
      <c r="BI65" s="54">
        <v>0</v>
      </c>
      <c r="BJ65" s="54">
        <v>0</v>
      </c>
      <c r="BK65" s="54">
        <v>0</v>
      </c>
      <c r="BL65" s="54">
        <v>725000</v>
      </c>
      <c r="BM65" s="54">
        <v>145000</v>
      </c>
      <c r="BN65" s="54">
        <v>20600</v>
      </c>
      <c r="BO65" s="54">
        <v>1000</v>
      </c>
      <c r="BP65" s="54">
        <v>0</v>
      </c>
      <c r="BQ65" s="54">
        <v>891600</v>
      </c>
      <c r="BR65" s="54">
        <v>14258933</v>
      </c>
      <c r="BS65" s="54">
        <v>2583046</v>
      </c>
      <c r="BT65" s="54">
        <v>863053</v>
      </c>
      <c r="BU65" s="54">
        <v>2176483</v>
      </c>
      <c r="BV65" s="54">
        <v>8789598</v>
      </c>
      <c r="BW65" s="54">
        <v>28671113</v>
      </c>
      <c r="BX65" s="54">
        <v>0</v>
      </c>
      <c r="BY65" s="54">
        <v>0</v>
      </c>
      <c r="BZ65" s="54">
        <v>0</v>
      </c>
      <c r="CA65" s="54">
        <v>0</v>
      </c>
      <c r="CB65" s="54">
        <v>0</v>
      </c>
      <c r="CC65" s="54">
        <v>0</v>
      </c>
      <c r="CD65" s="54">
        <v>0</v>
      </c>
      <c r="CE65" s="54">
        <v>0</v>
      </c>
      <c r="CF65" s="54">
        <v>0</v>
      </c>
      <c r="CG65" s="54">
        <v>0</v>
      </c>
      <c r="CH65" s="54">
        <v>0</v>
      </c>
      <c r="CI65" s="54">
        <v>0</v>
      </c>
      <c r="CJ65" s="54">
        <v>0</v>
      </c>
      <c r="CK65" s="54">
        <v>0</v>
      </c>
      <c r="CL65" s="54">
        <v>0</v>
      </c>
      <c r="CM65" s="54">
        <v>0</v>
      </c>
      <c r="CN65" s="54">
        <v>0</v>
      </c>
      <c r="CO65" s="54">
        <v>0</v>
      </c>
      <c r="CP65" s="54">
        <v>0</v>
      </c>
      <c r="CQ65" s="54">
        <v>0</v>
      </c>
      <c r="CR65" s="54">
        <v>0</v>
      </c>
      <c r="CS65" s="54">
        <v>0</v>
      </c>
      <c r="CT65" s="54">
        <v>0</v>
      </c>
      <c r="CU65" s="54">
        <v>0</v>
      </c>
      <c r="CV65" s="54">
        <v>9883909</v>
      </c>
      <c r="CW65" s="54">
        <v>2857781</v>
      </c>
      <c r="CX65" s="54">
        <v>138356</v>
      </c>
      <c r="CY65" s="54">
        <v>1307784</v>
      </c>
      <c r="CZ65" s="54">
        <v>1950100</v>
      </c>
      <c r="DA65" s="54">
        <v>16137930</v>
      </c>
      <c r="DB65" s="54">
        <v>9883909</v>
      </c>
      <c r="DC65" s="54">
        <v>2857781</v>
      </c>
      <c r="DD65" s="54">
        <v>138356</v>
      </c>
      <c r="DE65" s="54">
        <v>1307784</v>
      </c>
      <c r="DF65" s="54">
        <v>1950100</v>
      </c>
      <c r="DG65" s="54">
        <v>16137930</v>
      </c>
      <c r="DH65" s="54">
        <v>993190</v>
      </c>
      <c r="DI65" s="54">
        <v>87302</v>
      </c>
      <c r="DJ65" s="54">
        <v>96483</v>
      </c>
      <c r="DK65" s="54">
        <v>84858</v>
      </c>
      <c r="DL65" s="54">
        <v>757404</v>
      </c>
      <c r="DM65" s="54">
        <v>2019237</v>
      </c>
      <c r="DN65" s="54">
        <v>260816</v>
      </c>
      <c r="DO65" s="54">
        <v>0</v>
      </c>
      <c r="DP65" s="54">
        <v>0</v>
      </c>
      <c r="DQ65" s="54">
        <v>850</v>
      </c>
      <c r="DR65" s="54">
        <v>11869363</v>
      </c>
      <c r="DS65" s="54">
        <v>12131029</v>
      </c>
      <c r="DT65" s="54">
        <v>0</v>
      </c>
      <c r="DU65" s="54">
        <v>0</v>
      </c>
      <c r="DV65" s="54">
        <v>0</v>
      </c>
      <c r="DW65" s="54">
        <v>0</v>
      </c>
      <c r="DX65" s="54">
        <v>0</v>
      </c>
      <c r="DY65" s="54">
        <v>0</v>
      </c>
      <c r="DZ65" s="54">
        <v>485863</v>
      </c>
      <c r="EA65" s="54">
        <v>316197</v>
      </c>
      <c r="EB65" s="54">
        <v>218424</v>
      </c>
      <c r="EC65" s="54">
        <v>571883</v>
      </c>
      <c r="ED65" s="54">
        <v>4450682</v>
      </c>
      <c r="EE65" s="54">
        <v>6043049</v>
      </c>
      <c r="EF65" s="54">
        <v>17623</v>
      </c>
      <c r="EG65" s="54">
        <v>2479</v>
      </c>
      <c r="EH65" s="54">
        <v>5338</v>
      </c>
      <c r="EI65" s="54">
        <v>103232</v>
      </c>
      <c r="EJ65" s="54">
        <v>2035407</v>
      </c>
      <c r="EK65" s="54">
        <v>2164079</v>
      </c>
      <c r="EL65" s="54">
        <v>58986894</v>
      </c>
      <c r="EM65" s="54">
        <v>8457000</v>
      </c>
      <c r="EN65" s="54">
        <v>2440499</v>
      </c>
      <c r="EO65" s="54">
        <v>4601897</v>
      </c>
      <c r="EP65" s="54">
        <v>29852554</v>
      </c>
      <c r="EQ65" s="54">
        <v>104338844</v>
      </c>
      <c r="ER65" s="54">
        <v>2825032</v>
      </c>
      <c r="ES65" s="54">
        <v>427997</v>
      </c>
      <c r="ET65" s="54">
        <v>514307</v>
      </c>
      <c r="EU65" s="54">
        <v>5481781</v>
      </c>
      <c r="EV65" s="54">
        <v>190158</v>
      </c>
      <c r="EW65" s="54">
        <v>9439275</v>
      </c>
      <c r="EX65" s="54">
        <v>1250000</v>
      </c>
      <c r="EY65" s="54">
        <v>648266</v>
      </c>
      <c r="EZ65" s="54">
        <v>140291</v>
      </c>
      <c r="FA65" s="54">
        <v>74025</v>
      </c>
      <c r="FB65" s="54">
        <v>0</v>
      </c>
      <c r="FC65" s="54">
        <v>2112582</v>
      </c>
      <c r="FD65" s="54">
        <v>9771667</v>
      </c>
      <c r="FE65" s="54">
        <v>3101834</v>
      </c>
      <c r="FF65" s="54">
        <v>1765671</v>
      </c>
      <c r="FG65" s="54">
        <v>4330522</v>
      </c>
      <c r="FH65" s="54">
        <v>0</v>
      </c>
      <c r="FI65" s="54">
        <v>18969694</v>
      </c>
      <c r="FJ65" s="54">
        <v>0</v>
      </c>
      <c r="FK65" s="54">
        <v>0</v>
      </c>
      <c r="FL65" s="54">
        <v>0</v>
      </c>
      <c r="FM65" s="54">
        <v>0</v>
      </c>
      <c r="FN65" s="54">
        <v>0</v>
      </c>
      <c r="FO65" s="54">
        <v>0</v>
      </c>
      <c r="FP65" s="54">
        <v>583248</v>
      </c>
      <c r="FQ65" s="54">
        <v>276158</v>
      </c>
      <c r="FR65" s="54">
        <v>243821</v>
      </c>
      <c r="FS65" s="54">
        <v>151014</v>
      </c>
      <c r="FT65" s="54">
        <v>13366373</v>
      </c>
      <c r="FU65" s="54">
        <v>14620614</v>
      </c>
      <c r="FV65" s="54">
        <v>0</v>
      </c>
      <c r="FW65" s="54">
        <v>0</v>
      </c>
      <c r="FX65" s="54">
        <v>0</v>
      </c>
      <c r="FY65" s="54">
        <v>0</v>
      </c>
      <c r="FZ65" s="54">
        <v>0</v>
      </c>
      <c r="GA65" s="54">
        <v>0</v>
      </c>
      <c r="GB65" s="54">
        <v>0</v>
      </c>
      <c r="GC65" s="54">
        <v>2049003</v>
      </c>
      <c r="GD65" s="54">
        <v>0</v>
      </c>
      <c r="GE65" s="54">
        <v>17258</v>
      </c>
      <c r="GF65" s="54">
        <v>0</v>
      </c>
      <c r="GG65" s="54">
        <v>2066261</v>
      </c>
      <c r="GH65" s="54">
        <v>356414</v>
      </c>
      <c r="GI65" s="54">
        <v>291897</v>
      </c>
      <c r="GJ65" s="54">
        <v>123830</v>
      </c>
      <c r="GK65" s="54">
        <v>491426</v>
      </c>
      <c r="GL65" s="54">
        <v>0</v>
      </c>
      <c r="GM65" s="54">
        <v>1263567</v>
      </c>
      <c r="GN65" s="54">
        <v>2115094</v>
      </c>
      <c r="GO65" s="54">
        <v>414192</v>
      </c>
      <c r="GP65" s="54">
        <v>464988</v>
      </c>
      <c r="GQ65" s="54">
        <v>3051488</v>
      </c>
      <c r="GR65" s="54">
        <v>28220</v>
      </c>
      <c r="GS65" s="54">
        <v>6073982</v>
      </c>
      <c r="GT65" s="54">
        <v>945338</v>
      </c>
      <c r="GU65" s="54">
        <v>173733</v>
      </c>
      <c r="GV65" s="54">
        <v>97222</v>
      </c>
      <c r="GW65" s="54">
        <v>1072229</v>
      </c>
      <c r="GX65" s="54">
        <v>718465</v>
      </c>
      <c r="GY65" s="54">
        <v>3006987</v>
      </c>
      <c r="GZ65" s="54">
        <v>3617014</v>
      </c>
      <c r="HA65" s="54">
        <v>689790</v>
      </c>
      <c r="HB65" s="54">
        <v>528287</v>
      </c>
      <c r="HC65" s="54">
        <v>738793</v>
      </c>
      <c r="HD65" s="54">
        <v>2189096</v>
      </c>
      <c r="HE65" s="54">
        <v>7762980</v>
      </c>
      <c r="HF65" s="54">
        <v>220168</v>
      </c>
      <c r="HG65" s="54">
        <v>71999</v>
      </c>
      <c r="HH65" s="54">
        <v>97476</v>
      </c>
      <c r="HI65" s="54">
        <v>187791</v>
      </c>
      <c r="HJ65" s="54">
        <v>1899814</v>
      </c>
      <c r="HK65" s="54">
        <v>2477248</v>
      </c>
      <c r="HL65" s="54">
        <v>0</v>
      </c>
      <c r="HM65" s="54">
        <v>0</v>
      </c>
      <c r="HN65" s="54">
        <v>0</v>
      </c>
      <c r="HO65" s="54">
        <v>0</v>
      </c>
      <c r="HP65" s="54">
        <v>0</v>
      </c>
      <c r="HQ65" s="54">
        <v>0</v>
      </c>
      <c r="HR65" s="54">
        <v>896690</v>
      </c>
      <c r="HS65" s="54">
        <v>111122</v>
      </c>
      <c r="HT65" s="54">
        <v>158911</v>
      </c>
      <c r="HU65" s="54">
        <v>1248593</v>
      </c>
      <c r="HV65" s="54">
        <v>17245741</v>
      </c>
      <c r="HW65" s="54">
        <v>19661057</v>
      </c>
      <c r="HX65" s="54">
        <v>0</v>
      </c>
      <c r="HY65" s="54">
        <v>0</v>
      </c>
      <c r="HZ65" s="54">
        <v>0</v>
      </c>
      <c r="IA65" s="54">
        <v>0</v>
      </c>
      <c r="IB65" s="54">
        <v>192592</v>
      </c>
      <c r="IC65" s="54">
        <v>192592</v>
      </c>
      <c r="ID65" s="54">
        <v>0</v>
      </c>
      <c r="IE65" s="54">
        <v>0</v>
      </c>
      <c r="IF65" s="54">
        <v>0</v>
      </c>
      <c r="IG65" s="54">
        <v>0</v>
      </c>
      <c r="IH65" s="54">
        <v>0</v>
      </c>
      <c r="II65" s="54">
        <v>0</v>
      </c>
      <c r="IJ65" s="54">
        <v>205956</v>
      </c>
      <c r="IK65" s="54">
        <v>27835</v>
      </c>
      <c r="IL65" s="54">
        <v>24649</v>
      </c>
      <c r="IM65" s="54">
        <v>501993</v>
      </c>
      <c r="IN65" s="54">
        <v>502742</v>
      </c>
      <c r="IO65" s="54">
        <v>1263175</v>
      </c>
      <c r="IP65" s="54">
        <v>2905</v>
      </c>
      <c r="IQ65" s="54">
        <v>2252</v>
      </c>
      <c r="IR65" s="54">
        <v>2643</v>
      </c>
      <c r="IS65" s="54">
        <v>12229</v>
      </c>
      <c r="IT65" s="54">
        <v>60907</v>
      </c>
      <c r="IU65" s="54">
        <v>80936</v>
      </c>
      <c r="IV65" s="54">
        <v>487994</v>
      </c>
      <c r="IW65" s="54">
        <v>154663</v>
      </c>
      <c r="IX65" s="54">
        <v>133697</v>
      </c>
      <c r="IY65" s="54">
        <v>320699</v>
      </c>
      <c r="IZ65" s="54">
        <v>4275925</v>
      </c>
      <c r="JA65" s="54">
        <v>5372978</v>
      </c>
      <c r="JB65" s="54">
        <v>23277520</v>
      </c>
      <c r="JC65" s="54">
        <v>8440741</v>
      </c>
      <c r="JD65" s="54">
        <v>4295793</v>
      </c>
      <c r="JE65" s="54">
        <v>17679841</v>
      </c>
      <c r="JF65" s="54">
        <v>40670033</v>
      </c>
      <c r="JG65" s="54">
        <v>94363928</v>
      </c>
      <c r="JH65" s="54">
        <v>0</v>
      </c>
      <c r="JI65" s="54">
        <v>0</v>
      </c>
      <c r="JJ65" s="54">
        <v>0</v>
      </c>
      <c r="JK65" s="54">
        <v>0</v>
      </c>
      <c r="JL65" s="54">
        <v>1910439</v>
      </c>
      <c r="JM65" s="54">
        <v>1910439</v>
      </c>
      <c r="JN65" s="54">
        <v>23277520</v>
      </c>
      <c r="JO65" s="54">
        <v>8440741</v>
      </c>
      <c r="JP65" s="54">
        <v>4295793</v>
      </c>
      <c r="JQ65" s="54">
        <v>17679841</v>
      </c>
      <c r="JR65" s="54">
        <v>42580472</v>
      </c>
      <c r="JS65" s="54">
        <v>96274367</v>
      </c>
      <c r="JU65" s="5">
        <f t="shared" si="80"/>
        <v>35856411</v>
      </c>
      <c r="JV65" s="26">
        <f t="shared" si="81"/>
        <v>0</v>
      </c>
      <c r="JW65" s="5">
        <f t="shared" si="82"/>
        <v>0</v>
      </c>
      <c r="JX65" s="26">
        <f t="shared" si="83"/>
        <v>0</v>
      </c>
      <c r="JY65" s="5">
        <f t="shared" si="84"/>
        <v>891600</v>
      </c>
      <c r="JZ65" s="26">
        <f t="shared" si="85"/>
        <v>0</v>
      </c>
      <c r="KA65" s="5">
        <f t="shared" si="86"/>
        <v>28671113</v>
      </c>
      <c r="KB65" s="26">
        <f t="shared" si="87"/>
        <v>0</v>
      </c>
      <c r="KC65" s="5">
        <f t="shared" si="88"/>
        <v>0</v>
      </c>
      <c r="KD65" s="26">
        <f t="shared" si="89"/>
        <v>0</v>
      </c>
      <c r="KE65" s="5">
        <f t="shared" si="90"/>
        <v>0</v>
      </c>
      <c r="KF65" s="26">
        <f t="shared" si="91"/>
        <v>0</v>
      </c>
      <c r="KG65" s="5">
        <f t="shared" si="92"/>
        <v>0</v>
      </c>
      <c r="KH65" s="26">
        <f t="shared" si="93"/>
        <v>0</v>
      </c>
      <c r="KI65" s="5">
        <f t="shared" si="94"/>
        <v>0</v>
      </c>
      <c r="KJ65" s="26">
        <f t="shared" si="95"/>
        <v>0</v>
      </c>
      <c r="KK65" s="5">
        <f t="shared" si="96"/>
        <v>16137930</v>
      </c>
      <c r="KL65" s="26">
        <f t="shared" si="97"/>
        <v>0</v>
      </c>
      <c r="KM65" s="5">
        <f t="shared" si="98"/>
        <v>16137930</v>
      </c>
      <c r="KN65" s="26">
        <f t="shared" si="99"/>
        <v>0</v>
      </c>
      <c r="KO65" s="5">
        <f t="shared" si="100"/>
        <v>2019237</v>
      </c>
      <c r="KP65" s="26">
        <f t="shared" si="101"/>
        <v>0</v>
      </c>
      <c r="KQ65" s="5">
        <f t="shared" si="102"/>
        <v>12131029</v>
      </c>
      <c r="KR65" s="26">
        <f t="shared" si="103"/>
        <v>0</v>
      </c>
      <c r="KS65" s="5">
        <f t="shared" si="104"/>
        <v>0</v>
      </c>
      <c r="KT65" s="26">
        <f t="shared" si="105"/>
        <v>0</v>
      </c>
      <c r="KU65" s="5">
        <f t="shared" si="106"/>
        <v>6043049</v>
      </c>
      <c r="KV65" s="26">
        <f t="shared" si="107"/>
        <v>0</v>
      </c>
      <c r="KW65" s="5">
        <f t="shared" si="108"/>
        <v>2164079</v>
      </c>
      <c r="KX65" s="26">
        <f t="shared" si="109"/>
        <v>0</v>
      </c>
      <c r="KY65" s="5">
        <f t="shared" si="110"/>
        <v>104338844</v>
      </c>
      <c r="KZ65" s="26">
        <f t="shared" si="111"/>
        <v>0</v>
      </c>
      <c r="LA65" s="5">
        <f t="shared" si="112"/>
        <v>9439275</v>
      </c>
      <c r="LB65" s="26">
        <f t="shared" si="113"/>
        <v>0</v>
      </c>
      <c r="LC65" s="5">
        <f t="shared" si="114"/>
        <v>2112582</v>
      </c>
      <c r="LD65" s="26">
        <f t="shared" si="115"/>
        <v>0</v>
      </c>
      <c r="LE65" s="5">
        <f t="shared" si="116"/>
        <v>18969694</v>
      </c>
      <c r="LF65" s="26">
        <f t="shared" si="117"/>
        <v>0</v>
      </c>
      <c r="LG65" s="5">
        <f t="shared" si="118"/>
        <v>0</v>
      </c>
      <c r="LH65" s="26">
        <f t="shared" si="119"/>
        <v>0</v>
      </c>
      <c r="LI65" s="5">
        <f t="shared" si="120"/>
        <v>14620614</v>
      </c>
      <c r="LJ65" s="26">
        <f t="shared" si="121"/>
        <v>0</v>
      </c>
      <c r="LK65" s="5">
        <f t="shared" si="122"/>
        <v>0</v>
      </c>
      <c r="LL65" s="26">
        <f t="shared" si="123"/>
        <v>0</v>
      </c>
      <c r="LM65" s="5">
        <f t="shared" si="124"/>
        <v>2066261</v>
      </c>
      <c r="LN65" s="26">
        <f t="shared" si="125"/>
        <v>0</v>
      </c>
      <c r="LO65" s="5">
        <f t="shared" si="126"/>
        <v>1263567</v>
      </c>
      <c r="LP65" s="26">
        <f t="shared" si="127"/>
        <v>0</v>
      </c>
      <c r="LQ65" s="5">
        <f t="shared" si="128"/>
        <v>6073982</v>
      </c>
      <c r="LR65" s="26">
        <f t="shared" si="129"/>
        <v>0</v>
      </c>
      <c r="LS65" s="5">
        <f t="shared" si="130"/>
        <v>3006987</v>
      </c>
      <c r="LT65" s="26">
        <f t="shared" si="131"/>
        <v>0</v>
      </c>
      <c r="LU65" s="5">
        <f t="shared" si="132"/>
        <v>7762980</v>
      </c>
      <c r="LV65" s="26">
        <f t="shared" si="133"/>
        <v>0</v>
      </c>
      <c r="LW65" s="5">
        <f t="shared" si="134"/>
        <v>2477248</v>
      </c>
      <c r="LX65" s="26">
        <f t="shared" si="135"/>
        <v>0</v>
      </c>
      <c r="LY65" s="5">
        <f t="shared" si="136"/>
        <v>0</v>
      </c>
      <c r="LZ65" s="26">
        <f t="shared" si="137"/>
        <v>0</v>
      </c>
      <c r="MA65" s="5">
        <f t="shared" si="138"/>
        <v>19661057</v>
      </c>
      <c r="MB65" s="26">
        <f t="shared" si="139"/>
        <v>0</v>
      </c>
      <c r="MC65" s="5">
        <f t="shared" si="140"/>
        <v>192592</v>
      </c>
      <c r="MD65" s="26">
        <f t="shared" si="141"/>
        <v>0</v>
      </c>
      <c r="ME65" s="5">
        <f t="shared" si="142"/>
        <v>0</v>
      </c>
      <c r="MF65" s="26">
        <f t="shared" si="143"/>
        <v>0</v>
      </c>
      <c r="MG65" s="5">
        <f t="shared" si="144"/>
        <v>1263175</v>
      </c>
      <c r="MH65" s="26">
        <f t="shared" si="145"/>
        <v>0</v>
      </c>
      <c r="MI65" s="5">
        <f t="shared" si="146"/>
        <v>80936</v>
      </c>
      <c r="MJ65" s="26">
        <f t="shared" si="147"/>
        <v>0</v>
      </c>
      <c r="MK65" s="5">
        <f t="shared" si="148"/>
        <v>5372978</v>
      </c>
      <c r="ML65" s="26">
        <f t="shared" si="149"/>
        <v>0</v>
      </c>
      <c r="MM65" s="5">
        <f t="shared" si="150"/>
        <v>94363928</v>
      </c>
      <c r="MN65" s="26">
        <f t="shared" si="151"/>
        <v>0</v>
      </c>
      <c r="MO65" s="5">
        <f t="shared" si="152"/>
        <v>1910439</v>
      </c>
      <c r="MP65" s="26">
        <f t="shared" si="153"/>
        <v>0</v>
      </c>
      <c r="MQ65" s="5">
        <f t="shared" si="154"/>
        <v>96274367</v>
      </c>
      <c r="MR65" s="26">
        <f t="shared" si="155"/>
        <v>0</v>
      </c>
      <c r="MT65" s="5">
        <f t="shared" si="76"/>
        <v>0</v>
      </c>
      <c r="MV65" s="4">
        <f t="shared" si="77"/>
        <v>0</v>
      </c>
    </row>
    <row r="66" spans="1:371" x14ac:dyDescent="0.15">
      <c r="A66" s="155" t="s">
        <v>343</v>
      </c>
      <c r="B66" s="25" t="s">
        <v>406</v>
      </c>
      <c r="C66" s="109">
        <v>178396</v>
      </c>
      <c r="D66" s="105">
        <v>2011</v>
      </c>
      <c r="E66" s="106">
        <v>1</v>
      </c>
      <c r="F66" s="106">
        <v>2</v>
      </c>
      <c r="G66" s="107">
        <v>8132</v>
      </c>
      <c r="H66" s="107">
        <v>7604</v>
      </c>
      <c r="I66" s="108">
        <v>936916000</v>
      </c>
      <c r="J66" s="108"/>
      <c r="K66" s="108">
        <v>6886000</v>
      </c>
      <c r="L66" s="108"/>
      <c r="M66" s="108">
        <v>36168000</v>
      </c>
      <c r="N66" s="108"/>
      <c r="O66" s="108">
        <v>95080000</v>
      </c>
      <c r="P66" s="108"/>
      <c r="Q66" s="108">
        <v>603186000</v>
      </c>
      <c r="R66" s="108"/>
      <c r="S66" s="108">
        <v>688841000</v>
      </c>
      <c r="T66" s="108"/>
      <c r="U66" s="108">
        <v>17180</v>
      </c>
      <c r="V66" s="108"/>
      <c r="W66" s="108">
        <v>27280</v>
      </c>
      <c r="X66" s="108"/>
      <c r="Y66" s="108">
        <v>20690</v>
      </c>
      <c r="Z66" s="108"/>
      <c r="AA66" s="108">
        <v>30790</v>
      </c>
      <c r="AB66" s="108"/>
      <c r="AC66" s="130">
        <v>9</v>
      </c>
      <c r="AD66" s="130">
        <v>9</v>
      </c>
      <c r="AE66" s="130">
        <v>0</v>
      </c>
      <c r="AF66" s="26">
        <v>2492858</v>
      </c>
      <c r="AG66" s="26">
        <v>1561839</v>
      </c>
      <c r="AH66" s="26">
        <v>482596</v>
      </c>
      <c r="AI66" s="26">
        <v>197527</v>
      </c>
      <c r="AJ66" s="26">
        <v>792075.69</v>
      </c>
      <c r="AK66" s="36">
        <v>6.5</v>
      </c>
      <c r="AL66" s="26">
        <v>735498.86</v>
      </c>
      <c r="AM66" s="36">
        <v>7</v>
      </c>
      <c r="AN66" s="26">
        <v>203566.15</v>
      </c>
      <c r="AO66" s="36">
        <v>6.5</v>
      </c>
      <c r="AP66" s="26">
        <v>189025.71</v>
      </c>
      <c r="AQ66" s="36">
        <v>7</v>
      </c>
      <c r="AR66" s="26">
        <v>250295</v>
      </c>
      <c r="AS66" s="36">
        <v>20</v>
      </c>
      <c r="AT66" s="26">
        <v>238376.52</v>
      </c>
      <c r="AU66" s="36">
        <v>21</v>
      </c>
      <c r="AV66" s="26">
        <v>91353.43</v>
      </c>
      <c r="AW66" s="36">
        <v>14</v>
      </c>
      <c r="AX66" s="26">
        <v>85263.2</v>
      </c>
      <c r="AY66" s="36">
        <v>15</v>
      </c>
      <c r="AZ66" s="54">
        <v>17481668</v>
      </c>
      <c r="BA66" s="54">
        <v>3915931</v>
      </c>
      <c r="BB66" s="54">
        <v>235367</v>
      </c>
      <c r="BC66" s="54">
        <v>393605</v>
      </c>
      <c r="BD66" s="54">
        <v>646009</v>
      </c>
      <c r="BE66" s="54">
        <v>22672580</v>
      </c>
      <c r="BF66" s="54">
        <v>0</v>
      </c>
      <c r="BG66" s="54">
        <v>0</v>
      </c>
      <c r="BH66" s="54">
        <v>0</v>
      </c>
      <c r="BI66" s="54">
        <v>0</v>
      </c>
      <c r="BJ66" s="54">
        <v>1897820</v>
      </c>
      <c r="BK66" s="54">
        <v>1897820</v>
      </c>
      <c r="BL66" s="54">
        <v>200000</v>
      </c>
      <c r="BM66" s="54">
        <v>145000</v>
      </c>
      <c r="BN66" s="54">
        <v>8000</v>
      </c>
      <c r="BO66" s="54">
        <v>135027</v>
      </c>
      <c r="BP66" s="54">
        <v>0</v>
      </c>
      <c r="BQ66" s="54">
        <v>488027</v>
      </c>
      <c r="BR66" s="54">
        <v>5655271</v>
      </c>
      <c r="BS66" s="54">
        <v>5330174</v>
      </c>
      <c r="BT66" s="54">
        <v>289710</v>
      </c>
      <c r="BU66" s="54">
        <v>1901992</v>
      </c>
      <c r="BV66" s="54">
        <v>13801184</v>
      </c>
      <c r="BW66" s="54">
        <v>26978331</v>
      </c>
      <c r="BX66" s="54">
        <v>0</v>
      </c>
      <c r="BY66" s="54">
        <v>0</v>
      </c>
      <c r="BZ66" s="54">
        <v>0</v>
      </c>
      <c r="CA66" s="54">
        <v>0</v>
      </c>
      <c r="CB66" s="54">
        <v>0</v>
      </c>
      <c r="CC66" s="54">
        <v>0</v>
      </c>
      <c r="CD66" s="54">
        <v>0</v>
      </c>
      <c r="CE66" s="54">
        <v>0</v>
      </c>
      <c r="CF66" s="54">
        <v>0</v>
      </c>
      <c r="CG66" s="54">
        <v>0</v>
      </c>
      <c r="CH66" s="54">
        <v>600000</v>
      </c>
      <c r="CI66" s="54">
        <v>600000</v>
      </c>
      <c r="CJ66" s="54">
        <v>0</v>
      </c>
      <c r="CK66" s="54">
        <v>0</v>
      </c>
      <c r="CL66" s="54">
        <v>0</v>
      </c>
      <c r="CM66" s="54">
        <v>0</v>
      </c>
      <c r="CN66" s="54">
        <v>2452548</v>
      </c>
      <c r="CO66" s="54">
        <v>2452548</v>
      </c>
      <c r="CP66" s="54">
        <v>0</v>
      </c>
      <c r="CQ66" s="54">
        <v>0</v>
      </c>
      <c r="CR66" s="54">
        <v>0</v>
      </c>
      <c r="CS66" s="54">
        <v>0</v>
      </c>
      <c r="CT66" s="54">
        <v>1236965</v>
      </c>
      <c r="CU66" s="54">
        <v>1236965</v>
      </c>
      <c r="CV66" s="54">
        <v>8428039</v>
      </c>
      <c r="CW66" s="54">
        <v>2527486</v>
      </c>
      <c r="CX66" s="54">
        <v>19555</v>
      </c>
      <c r="CY66" s="54">
        <v>214229</v>
      </c>
      <c r="CZ66" s="54">
        <v>2399109</v>
      </c>
      <c r="DA66" s="54">
        <v>13588418</v>
      </c>
      <c r="DB66" s="54">
        <v>0</v>
      </c>
      <c r="DC66" s="54">
        <v>0</v>
      </c>
      <c r="DD66" s="54">
        <v>0</v>
      </c>
      <c r="DE66" s="54">
        <v>0</v>
      </c>
      <c r="DF66" s="54">
        <v>4311250</v>
      </c>
      <c r="DG66" s="54">
        <v>4311250</v>
      </c>
      <c r="DH66" s="54">
        <v>381556</v>
      </c>
      <c r="DI66" s="54">
        <v>26274</v>
      </c>
      <c r="DJ66" s="54">
        <v>14282</v>
      </c>
      <c r="DK66" s="54">
        <v>16725</v>
      </c>
      <c r="DL66" s="54">
        <v>232647</v>
      </c>
      <c r="DM66" s="54">
        <v>671484</v>
      </c>
      <c r="DN66" s="54">
        <v>0</v>
      </c>
      <c r="DO66" s="54">
        <v>0</v>
      </c>
      <c r="DP66" s="54">
        <v>0</v>
      </c>
      <c r="DQ66" s="54">
        <v>0</v>
      </c>
      <c r="DR66" s="54">
        <v>1558661</v>
      </c>
      <c r="DS66" s="54">
        <v>1558661</v>
      </c>
      <c r="DT66" s="54">
        <v>0</v>
      </c>
      <c r="DU66" s="54">
        <v>0</v>
      </c>
      <c r="DV66" s="54">
        <v>0</v>
      </c>
      <c r="DW66" s="54">
        <v>0</v>
      </c>
      <c r="DX66" s="54">
        <v>0</v>
      </c>
      <c r="DY66" s="54">
        <v>0</v>
      </c>
      <c r="DZ66" s="54">
        <v>741816</v>
      </c>
      <c r="EA66" s="54">
        <v>317199</v>
      </c>
      <c r="EB66" s="54">
        <v>7492</v>
      </c>
      <c r="EC66" s="54">
        <v>181611</v>
      </c>
      <c r="ED66" s="54">
        <v>2713704</v>
      </c>
      <c r="EE66" s="54">
        <v>3961822</v>
      </c>
      <c r="EF66" s="54">
        <v>325046</v>
      </c>
      <c r="EG66" s="54">
        <v>177</v>
      </c>
      <c r="EH66" s="54">
        <v>1315</v>
      </c>
      <c r="EI66" s="54">
        <v>45124</v>
      </c>
      <c r="EJ66" s="54">
        <v>1842347</v>
      </c>
      <c r="EK66" s="54">
        <v>2214009</v>
      </c>
      <c r="EL66" s="54">
        <v>33213396</v>
      </c>
      <c r="EM66" s="54">
        <v>12262241</v>
      </c>
      <c r="EN66" s="54">
        <v>575721</v>
      </c>
      <c r="EO66" s="54">
        <v>2888313</v>
      </c>
      <c r="EP66" s="54">
        <v>33692244</v>
      </c>
      <c r="EQ66" s="54">
        <v>82631915</v>
      </c>
      <c r="ER66" s="54">
        <v>1519318</v>
      </c>
      <c r="ES66" s="54">
        <v>284895</v>
      </c>
      <c r="ET66" s="54">
        <v>263659</v>
      </c>
      <c r="EU66" s="54">
        <v>1986825</v>
      </c>
      <c r="EV66" s="54">
        <v>3943949</v>
      </c>
      <c r="EW66" s="54">
        <v>7998646</v>
      </c>
      <c r="EX66" s="54">
        <v>1000000</v>
      </c>
      <c r="EY66" s="54">
        <v>396000</v>
      </c>
      <c r="EZ66" s="54">
        <v>140793</v>
      </c>
      <c r="FA66" s="54">
        <v>52727</v>
      </c>
      <c r="FB66" s="54">
        <v>0</v>
      </c>
      <c r="FC66" s="54">
        <v>1589520</v>
      </c>
      <c r="FD66" s="54">
        <v>5645417</v>
      </c>
      <c r="FE66" s="54">
        <v>2489991</v>
      </c>
      <c r="FF66" s="54">
        <v>1009113</v>
      </c>
      <c r="FG66" s="54">
        <v>3612006</v>
      </c>
      <c r="FH66" s="54">
        <v>0</v>
      </c>
      <c r="FI66" s="54">
        <v>12756527</v>
      </c>
      <c r="FJ66" s="54">
        <v>0</v>
      </c>
      <c r="FK66" s="54">
        <v>0</v>
      </c>
      <c r="FL66" s="54">
        <v>0</v>
      </c>
      <c r="FM66" s="54">
        <v>0</v>
      </c>
      <c r="FN66" s="54">
        <v>0</v>
      </c>
      <c r="FO66" s="54">
        <v>0</v>
      </c>
      <c r="FP66" s="54">
        <v>896430</v>
      </c>
      <c r="FQ66" s="54">
        <v>277554</v>
      </c>
      <c r="FR66" s="54">
        <v>150914</v>
      </c>
      <c r="FS66" s="54">
        <v>322151</v>
      </c>
      <c r="FT66" s="54">
        <v>7049640</v>
      </c>
      <c r="FU66" s="54">
        <v>8696689</v>
      </c>
      <c r="FV66" s="54">
        <v>0</v>
      </c>
      <c r="FW66" s="54">
        <v>0</v>
      </c>
      <c r="FX66" s="54">
        <v>0</v>
      </c>
      <c r="FY66" s="54">
        <v>0</v>
      </c>
      <c r="FZ66" s="54">
        <v>0</v>
      </c>
      <c r="GA66" s="54">
        <v>0</v>
      </c>
      <c r="GB66" s="54">
        <v>0</v>
      </c>
      <c r="GC66" s="54">
        <v>0</v>
      </c>
      <c r="GD66" s="54">
        <v>0</v>
      </c>
      <c r="GE66" s="54">
        <v>0</v>
      </c>
      <c r="GF66" s="54">
        <v>108033</v>
      </c>
      <c r="GG66" s="54">
        <v>108033</v>
      </c>
      <c r="GH66" s="54">
        <v>226475</v>
      </c>
      <c r="GI66" s="54">
        <v>150081</v>
      </c>
      <c r="GJ66" s="54">
        <v>48918</v>
      </c>
      <c r="GK66" s="54">
        <v>254649</v>
      </c>
      <c r="GL66" s="54">
        <v>0</v>
      </c>
      <c r="GM66" s="54">
        <v>680123</v>
      </c>
      <c r="GN66" s="54">
        <v>1553225</v>
      </c>
      <c r="GO66" s="54">
        <v>594453</v>
      </c>
      <c r="GP66" s="54">
        <v>299244</v>
      </c>
      <c r="GQ66" s="54">
        <v>1532235</v>
      </c>
      <c r="GR66" s="54">
        <v>72208</v>
      </c>
      <c r="GS66" s="54">
        <v>4051365</v>
      </c>
      <c r="GT66" s="54">
        <v>403347</v>
      </c>
      <c r="GU66" s="54">
        <v>157134</v>
      </c>
      <c r="GV66" s="54">
        <v>56388</v>
      </c>
      <c r="GW66" s="54">
        <v>357261</v>
      </c>
      <c r="GX66" s="54">
        <v>959330</v>
      </c>
      <c r="GY66" s="54">
        <v>1933460</v>
      </c>
      <c r="GZ66" s="54">
        <v>169154</v>
      </c>
      <c r="HA66" s="54">
        <v>124255</v>
      </c>
      <c r="HB66" s="54">
        <v>128989</v>
      </c>
      <c r="HC66" s="54">
        <v>170199</v>
      </c>
      <c r="HD66" s="54">
        <v>1254543</v>
      </c>
      <c r="HE66" s="54">
        <v>1847140</v>
      </c>
      <c r="HF66" s="54">
        <v>0</v>
      </c>
      <c r="HG66" s="54">
        <v>0</v>
      </c>
      <c r="HH66" s="54">
        <v>0</v>
      </c>
      <c r="HI66" s="54">
        <v>0</v>
      </c>
      <c r="HJ66" s="54">
        <v>1823359</v>
      </c>
      <c r="HK66" s="54">
        <v>1823359</v>
      </c>
      <c r="HL66" s="54">
        <v>0</v>
      </c>
      <c r="HM66" s="54">
        <v>0</v>
      </c>
      <c r="HN66" s="54">
        <v>0</v>
      </c>
      <c r="HO66" s="54">
        <v>0</v>
      </c>
      <c r="HP66" s="54">
        <v>0</v>
      </c>
      <c r="HQ66" s="54">
        <v>0</v>
      </c>
      <c r="HR66" s="54">
        <v>87414</v>
      </c>
      <c r="HS66" s="54">
        <v>41536</v>
      </c>
      <c r="HT66" s="54">
        <v>15789</v>
      </c>
      <c r="HU66" s="54">
        <v>105417</v>
      </c>
      <c r="HV66" s="54">
        <v>14775805</v>
      </c>
      <c r="HW66" s="54">
        <v>15025961</v>
      </c>
      <c r="HX66" s="54">
        <v>0</v>
      </c>
      <c r="HY66" s="54">
        <v>0</v>
      </c>
      <c r="HZ66" s="54">
        <v>0</v>
      </c>
      <c r="IA66" s="54">
        <v>0</v>
      </c>
      <c r="IB66" s="54">
        <v>322751</v>
      </c>
      <c r="IC66" s="54">
        <v>322751</v>
      </c>
      <c r="ID66" s="54">
        <v>0</v>
      </c>
      <c r="IE66" s="54">
        <v>0</v>
      </c>
      <c r="IF66" s="54">
        <v>0</v>
      </c>
      <c r="IG66" s="54">
        <v>0</v>
      </c>
      <c r="IH66" s="54">
        <v>1236965</v>
      </c>
      <c r="II66" s="54">
        <v>1236965</v>
      </c>
      <c r="IJ66" s="54">
        <v>90147</v>
      </c>
      <c r="IK66" s="54">
        <v>21301</v>
      </c>
      <c r="IL66" s="54">
        <v>33206</v>
      </c>
      <c r="IM66" s="54">
        <v>163054</v>
      </c>
      <c r="IN66" s="54">
        <v>516850</v>
      </c>
      <c r="IO66" s="54">
        <v>824558</v>
      </c>
      <c r="IP66" s="54">
        <v>31856</v>
      </c>
      <c r="IQ66" s="54">
        <v>20327</v>
      </c>
      <c r="IR66" s="54">
        <v>7359</v>
      </c>
      <c r="IS66" s="54">
        <v>21361</v>
      </c>
      <c r="IT66" s="54">
        <v>46447</v>
      </c>
      <c r="IU66" s="54">
        <v>127350</v>
      </c>
      <c r="IV66" s="54">
        <v>2164488</v>
      </c>
      <c r="IW66" s="54">
        <v>1101466</v>
      </c>
      <c r="IX66" s="54">
        <v>76784</v>
      </c>
      <c r="IY66" s="54">
        <v>1325018</v>
      </c>
      <c r="IZ66" s="54">
        <v>3247004</v>
      </c>
      <c r="JA66" s="54">
        <v>7914760</v>
      </c>
      <c r="JB66" s="54">
        <v>13787271</v>
      </c>
      <c r="JC66" s="54">
        <v>5658993</v>
      </c>
      <c r="JD66" s="54">
        <v>2231156</v>
      </c>
      <c r="JE66" s="54">
        <v>9902903</v>
      </c>
      <c r="JF66" s="54">
        <v>35356884</v>
      </c>
      <c r="JG66" s="54">
        <v>66937207</v>
      </c>
      <c r="JH66" s="54">
        <v>0</v>
      </c>
      <c r="JI66" s="54">
        <v>0</v>
      </c>
      <c r="JJ66" s="54">
        <v>0</v>
      </c>
      <c r="JK66" s="54">
        <v>0</v>
      </c>
      <c r="JL66" s="54">
        <v>0</v>
      </c>
      <c r="JM66" s="54">
        <v>0</v>
      </c>
      <c r="JN66" s="54">
        <v>13787271</v>
      </c>
      <c r="JO66" s="54">
        <v>5658993</v>
      </c>
      <c r="JP66" s="54">
        <v>2231156</v>
      </c>
      <c r="JQ66" s="54">
        <v>9902903</v>
      </c>
      <c r="JR66" s="54">
        <v>35356884</v>
      </c>
      <c r="JS66" s="54">
        <v>66937207</v>
      </c>
      <c r="JU66" s="5">
        <f t="shared" si="80"/>
        <v>22672580</v>
      </c>
      <c r="JV66" s="26">
        <f t="shared" si="81"/>
        <v>0</v>
      </c>
      <c r="JW66" s="5">
        <f t="shared" si="82"/>
        <v>1897820</v>
      </c>
      <c r="JX66" s="26">
        <f t="shared" si="83"/>
        <v>0</v>
      </c>
      <c r="JY66" s="5">
        <f t="shared" si="84"/>
        <v>488027</v>
      </c>
      <c r="JZ66" s="26">
        <f t="shared" si="85"/>
        <v>0</v>
      </c>
      <c r="KA66" s="5">
        <f t="shared" si="86"/>
        <v>26978331</v>
      </c>
      <c r="KB66" s="26">
        <f t="shared" si="87"/>
        <v>0</v>
      </c>
      <c r="KC66" s="5">
        <f t="shared" si="88"/>
        <v>0</v>
      </c>
      <c r="KD66" s="26">
        <f t="shared" si="89"/>
        <v>0</v>
      </c>
      <c r="KE66" s="5">
        <f t="shared" si="90"/>
        <v>600000</v>
      </c>
      <c r="KF66" s="26">
        <f t="shared" si="91"/>
        <v>0</v>
      </c>
      <c r="KG66" s="5">
        <f t="shared" si="92"/>
        <v>2452548</v>
      </c>
      <c r="KH66" s="26">
        <f t="shared" si="93"/>
        <v>0</v>
      </c>
      <c r="KI66" s="5">
        <f t="shared" si="94"/>
        <v>1236965</v>
      </c>
      <c r="KJ66" s="26">
        <f t="shared" si="95"/>
        <v>0</v>
      </c>
      <c r="KK66" s="5">
        <f t="shared" si="96"/>
        <v>13588418</v>
      </c>
      <c r="KL66" s="26">
        <f t="shared" si="97"/>
        <v>0</v>
      </c>
      <c r="KM66" s="5">
        <f t="shared" si="98"/>
        <v>4311250</v>
      </c>
      <c r="KN66" s="26">
        <f t="shared" si="99"/>
        <v>0</v>
      </c>
      <c r="KO66" s="5">
        <f t="shared" si="100"/>
        <v>671484</v>
      </c>
      <c r="KP66" s="26">
        <f t="shared" si="101"/>
        <v>0</v>
      </c>
      <c r="KQ66" s="5">
        <f t="shared" si="102"/>
        <v>1558661</v>
      </c>
      <c r="KR66" s="26">
        <f t="shared" si="103"/>
        <v>0</v>
      </c>
      <c r="KS66" s="5">
        <f t="shared" si="104"/>
        <v>0</v>
      </c>
      <c r="KT66" s="26">
        <f t="shared" si="105"/>
        <v>0</v>
      </c>
      <c r="KU66" s="5">
        <f t="shared" si="106"/>
        <v>3961822</v>
      </c>
      <c r="KV66" s="26">
        <f t="shared" si="107"/>
        <v>0</v>
      </c>
      <c r="KW66" s="5">
        <f t="shared" si="108"/>
        <v>2214009</v>
      </c>
      <c r="KX66" s="26">
        <f t="shared" si="109"/>
        <v>0</v>
      </c>
      <c r="KY66" s="5">
        <f t="shared" si="110"/>
        <v>82631915</v>
      </c>
      <c r="KZ66" s="26">
        <f t="shared" si="111"/>
        <v>0</v>
      </c>
      <c r="LA66" s="5">
        <f t="shared" si="112"/>
        <v>7998646</v>
      </c>
      <c r="LB66" s="26">
        <f t="shared" si="113"/>
        <v>0</v>
      </c>
      <c r="LC66" s="5">
        <f t="shared" si="114"/>
        <v>1589520</v>
      </c>
      <c r="LD66" s="26">
        <f t="shared" si="115"/>
        <v>0</v>
      </c>
      <c r="LE66" s="5">
        <f t="shared" si="116"/>
        <v>12756527</v>
      </c>
      <c r="LF66" s="26">
        <f t="shared" si="117"/>
        <v>0</v>
      </c>
      <c r="LG66" s="5">
        <f t="shared" si="118"/>
        <v>0</v>
      </c>
      <c r="LH66" s="26">
        <f t="shared" si="119"/>
        <v>0</v>
      </c>
      <c r="LI66" s="5">
        <f t="shared" si="120"/>
        <v>8696689</v>
      </c>
      <c r="LJ66" s="26">
        <f t="shared" si="121"/>
        <v>0</v>
      </c>
      <c r="LK66" s="5">
        <f t="shared" si="122"/>
        <v>0</v>
      </c>
      <c r="LL66" s="26">
        <f t="shared" si="123"/>
        <v>0</v>
      </c>
      <c r="LM66" s="5">
        <f t="shared" si="124"/>
        <v>108033</v>
      </c>
      <c r="LN66" s="26">
        <f t="shared" si="125"/>
        <v>0</v>
      </c>
      <c r="LO66" s="5">
        <f t="shared" si="126"/>
        <v>680123</v>
      </c>
      <c r="LP66" s="26">
        <f t="shared" si="127"/>
        <v>0</v>
      </c>
      <c r="LQ66" s="5">
        <f t="shared" si="128"/>
        <v>4051365</v>
      </c>
      <c r="LR66" s="26">
        <f t="shared" si="129"/>
        <v>0</v>
      </c>
      <c r="LS66" s="5">
        <f t="shared" si="130"/>
        <v>1933460</v>
      </c>
      <c r="LT66" s="26">
        <f t="shared" si="131"/>
        <v>0</v>
      </c>
      <c r="LU66" s="5">
        <f t="shared" si="132"/>
        <v>1847140</v>
      </c>
      <c r="LV66" s="26">
        <f t="shared" si="133"/>
        <v>0</v>
      </c>
      <c r="LW66" s="5">
        <f t="shared" si="134"/>
        <v>1823359</v>
      </c>
      <c r="LX66" s="26">
        <f t="shared" si="135"/>
        <v>0</v>
      </c>
      <c r="LY66" s="5">
        <f t="shared" si="136"/>
        <v>0</v>
      </c>
      <c r="LZ66" s="26">
        <f t="shared" si="137"/>
        <v>0</v>
      </c>
      <c r="MA66" s="5">
        <f t="shared" si="138"/>
        <v>15025961</v>
      </c>
      <c r="MB66" s="26">
        <f t="shared" si="139"/>
        <v>0</v>
      </c>
      <c r="MC66" s="5">
        <f t="shared" si="140"/>
        <v>322751</v>
      </c>
      <c r="MD66" s="26">
        <f t="shared" si="141"/>
        <v>0</v>
      </c>
      <c r="ME66" s="5">
        <f t="shared" si="142"/>
        <v>1236965</v>
      </c>
      <c r="MF66" s="26">
        <f t="shared" si="143"/>
        <v>0</v>
      </c>
      <c r="MG66" s="5">
        <f t="shared" si="144"/>
        <v>824558</v>
      </c>
      <c r="MH66" s="26">
        <f t="shared" si="145"/>
        <v>0</v>
      </c>
      <c r="MI66" s="5">
        <f t="shared" si="146"/>
        <v>127350</v>
      </c>
      <c r="MJ66" s="26">
        <f t="shared" si="147"/>
        <v>0</v>
      </c>
      <c r="MK66" s="5">
        <f t="shared" si="148"/>
        <v>7914760</v>
      </c>
      <c r="ML66" s="26">
        <f t="shared" si="149"/>
        <v>0</v>
      </c>
      <c r="MM66" s="5">
        <f t="shared" si="150"/>
        <v>66937207</v>
      </c>
      <c r="MN66" s="26">
        <f t="shared" si="151"/>
        <v>0</v>
      </c>
      <c r="MO66" s="5">
        <f t="shared" si="152"/>
        <v>0</v>
      </c>
      <c r="MP66" s="26">
        <f t="shared" si="153"/>
        <v>0</v>
      </c>
      <c r="MQ66" s="5">
        <f t="shared" si="154"/>
        <v>66937207</v>
      </c>
      <c r="MR66" s="26">
        <f t="shared" si="155"/>
        <v>0</v>
      </c>
      <c r="MT66" s="5">
        <f t="shared" si="76"/>
        <v>0</v>
      </c>
      <c r="MV66" s="4">
        <f t="shared" si="77"/>
        <v>0</v>
      </c>
      <c r="NG66" s="15"/>
    </row>
    <row r="67" spans="1:371" x14ac:dyDescent="0.15">
      <c r="A67" s="155" t="s">
        <v>344</v>
      </c>
      <c r="B67" s="25" t="s">
        <v>405</v>
      </c>
      <c r="C67" s="109">
        <v>209551</v>
      </c>
      <c r="D67" s="105">
        <v>2011</v>
      </c>
      <c r="E67" s="106">
        <v>1</v>
      </c>
      <c r="F67" s="106">
        <v>4</v>
      </c>
      <c r="G67" s="107">
        <v>9072</v>
      </c>
      <c r="H67" s="107">
        <v>9638</v>
      </c>
      <c r="I67" s="108">
        <v>676839000</v>
      </c>
      <c r="J67" s="108"/>
      <c r="K67" s="108">
        <v>15571478</v>
      </c>
      <c r="L67" s="108"/>
      <c r="M67" s="108">
        <v>43522736</v>
      </c>
      <c r="N67" s="108"/>
      <c r="O67" s="108">
        <v>225240833</v>
      </c>
      <c r="P67" s="108"/>
      <c r="Q67" s="108">
        <v>675266736</v>
      </c>
      <c r="R67" s="108"/>
      <c r="S67" s="108">
        <v>534145000</v>
      </c>
      <c r="T67" s="108"/>
      <c r="U67" s="108">
        <v>18384</v>
      </c>
      <c r="V67" s="108"/>
      <c r="W67" s="108">
        <v>36024</v>
      </c>
      <c r="X67" s="108"/>
      <c r="Y67" s="108">
        <v>20796</v>
      </c>
      <c r="Z67" s="108"/>
      <c r="AA67" s="108">
        <v>38436</v>
      </c>
      <c r="AB67" s="108"/>
      <c r="AC67" s="130">
        <v>8</v>
      </c>
      <c r="AD67" s="130">
        <v>12</v>
      </c>
      <c r="AE67" s="130"/>
      <c r="AF67" s="26">
        <v>4897920</v>
      </c>
      <c r="AG67" s="26">
        <v>3837208</v>
      </c>
      <c r="AH67" s="26">
        <v>922836</v>
      </c>
      <c r="AI67" s="26">
        <v>313315</v>
      </c>
      <c r="AJ67" s="26">
        <v>1108593.6399999999</v>
      </c>
      <c r="AK67" s="36">
        <v>5.5</v>
      </c>
      <c r="AL67" s="26">
        <v>1016210.83</v>
      </c>
      <c r="AM67" s="36">
        <v>6</v>
      </c>
      <c r="AN67" s="26">
        <v>237054.35</v>
      </c>
      <c r="AO67" s="36">
        <v>8.5</v>
      </c>
      <c r="AP67" s="26">
        <v>223884.67</v>
      </c>
      <c r="AQ67" s="36">
        <v>9</v>
      </c>
      <c r="AR67" s="26">
        <v>294947.73</v>
      </c>
      <c r="AS67" s="36">
        <v>18.5</v>
      </c>
      <c r="AT67" s="26">
        <v>259834.9</v>
      </c>
      <c r="AU67" s="36">
        <v>21</v>
      </c>
      <c r="AV67" s="26">
        <v>103195.82</v>
      </c>
      <c r="AW67" s="36">
        <v>16.5</v>
      </c>
      <c r="AX67" s="26">
        <v>89617.42</v>
      </c>
      <c r="AY67" s="36">
        <v>19</v>
      </c>
      <c r="AZ67" s="54">
        <v>14290860</v>
      </c>
      <c r="BA67" s="54">
        <v>2625381</v>
      </c>
      <c r="BB67" s="54">
        <v>215141</v>
      </c>
      <c r="BC67" s="54">
        <v>653855</v>
      </c>
      <c r="BD67" s="54">
        <v>2196861</v>
      </c>
      <c r="BE67" s="54">
        <v>19982098</v>
      </c>
      <c r="BF67" s="54">
        <v>0</v>
      </c>
      <c r="BG67" s="54">
        <v>0</v>
      </c>
      <c r="BH67" s="54">
        <v>0</v>
      </c>
      <c r="BI67" s="54">
        <v>0</v>
      </c>
      <c r="BJ67" s="54">
        <v>1460076</v>
      </c>
      <c r="BK67" s="54">
        <v>1460076</v>
      </c>
      <c r="BL67" s="54">
        <v>2043540</v>
      </c>
      <c r="BM67" s="54">
        <v>222295</v>
      </c>
      <c r="BN67" s="54">
        <v>0</v>
      </c>
      <c r="BO67" s="54">
        <f>2285835+1500-BL67-BM67-BN67</f>
        <v>21500</v>
      </c>
      <c r="BP67" s="54">
        <v>89973</v>
      </c>
      <c r="BQ67" s="54">
        <v>2377308</v>
      </c>
      <c r="BR67" s="54">
        <v>2100000</v>
      </c>
      <c r="BS67" s="54">
        <v>0</v>
      </c>
      <c r="BT67" s="54">
        <v>0</v>
      </c>
      <c r="BU67" s="54">
        <f>2244701+2670-BR67-BS67-BT67</f>
        <v>147371</v>
      </c>
      <c r="BV67" s="54">
        <v>30967336</v>
      </c>
      <c r="BW67" s="54">
        <v>33214707</v>
      </c>
      <c r="BX67" s="54">
        <v>30000</v>
      </c>
      <c r="BY67" s="54">
        <v>8500</v>
      </c>
      <c r="BZ67" s="54">
        <v>8500</v>
      </c>
      <c r="CA67" s="54">
        <v>58000</v>
      </c>
      <c r="CB67" s="54">
        <v>21500</v>
      </c>
      <c r="CC67" s="54">
        <v>126500</v>
      </c>
      <c r="CD67" s="54">
        <v>0</v>
      </c>
      <c r="CE67" s="54">
        <v>0</v>
      </c>
      <c r="CF67" s="54">
        <v>0</v>
      </c>
      <c r="CG67" s="54">
        <v>0</v>
      </c>
      <c r="CH67" s="54">
        <v>959779</v>
      </c>
      <c r="CI67" s="54">
        <v>959779</v>
      </c>
      <c r="CJ67" s="54">
        <v>0</v>
      </c>
      <c r="CK67" s="54">
        <v>0</v>
      </c>
      <c r="CL67" s="54">
        <v>0</v>
      </c>
      <c r="CM67" s="54">
        <v>0</v>
      </c>
      <c r="CN67" s="54">
        <v>0</v>
      </c>
      <c r="CO67" s="54">
        <v>0</v>
      </c>
      <c r="CP67" s="54">
        <v>0</v>
      </c>
      <c r="CQ67" s="54">
        <v>0</v>
      </c>
      <c r="CR67" s="54">
        <v>0</v>
      </c>
      <c r="CS67" s="54">
        <v>0</v>
      </c>
      <c r="CT67" s="54">
        <v>0</v>
      </c>
      <c r="CU67" s="54">
        <v>0</v>
      </c>
      <c r="CV67" s="54">
        <v>7541558</v>
      </c>
      <c r="CW67" s="54">
        <v>2575207</v>
      </c>
      <c r="CX67" s="54">
        <v>0</v>
      </c>
      <c r="CY67" s="54">
        <v>6000</v>
      </c>
      <c r="CZ67" s="54">
        <v>1396359</v>
      </c>
      <c r="DA67" s="54">
        <v>11519124</v>
      </c>
      <c r="DB67" s="54">
        <v>0</v>
      </c>
      <c r="DC67" s="54">
        <v>0</v>
      </c>
      <c r="DD67" s="54">
        <v>0</v>
      </c>
      <c r="DE67" s="54">
        <v>0</v>
      </c>
      <c r="DF67" s="54">
        <v>558878</v>
      </c>
      <c r="DG67" s="54">
        <v>558878</v>
      </c>
      <c r="DH67" s="54">
        <v>1595</v>
      </c>
      <c r="DI67" s="54">
        <v>24357</v>
      </c>
      <c r="DJ67" s="54">
        <v>9370</v>
      </c>
      <c r="DK67" s="54">
        <v>30485</v>
      </c>
      <c r="DL67" s="54">
        <v>4203369</v>
      </c>
      <c r="DM67" s="54">
        <v>4269176</v>
      </c>
      <c r="DN67" s="54">
        <v>0</v>
      </c>
      <c r="DO67" s="54">
        <v>0</v>
      </c>
      <c r="DP67" s="54">
        <v>0</v>
      </c>
      <c r="DQ67" s="54">
        <v>18000</v>
      </c>
      <c r="DR67" s="54">
        <v>6115922</v>
      </c>
      <c r="DS67" s="54">
        <v>6133922</v>
      </c>
      <c r="DT67" s="54">
        <v>383336</v>
      </c>
      <c r="DU67" s="54">
        <v>245465</v>
      </c>
      <c r="DV67" s="54">
        <v>33330</v>
      </c>
      <c r="DW67" s="54">
        <v>663921</v>
      </c>
      <c r="DX67" s="54">
        <v>0</v>
      </c>
      <c r="DY67" s="54">
        <v>1326052</v>
      </c>
      <c r="DZ67" s="54">
        <v>9361</v>
      </c>
      <c r="EA67" s="54">
        <v>0</v>
      </c>
      <c r="EB67" s="54">
        <v>0</v>
      </c>
      <c r="EC67" s="54">
        <v>3235</v>
      </c>
      <c r="ED67" s="54">
        <v>45534</v>
      </c>
      <c r="EE67" s="54">
        <v>58130</v>
      </c>
      <c r="EF67" s="54">
        <v>327383</v>
      </c>
      <c r="EG67" s="54">
        <v>3990</v>
      </c>
      <c r="EH67" s="54">
        <v>0</v>
      </c>
      <c r="EI67" s="54">
        <v>44637</v>
      </c>
      <c r="EJ67" s="54">
        <v>3457939</v>
      </c>
      <c r="EK67" s="54">
        <v>3833949</v>
      </c>
      <c r="EL67" s="54">
        <v>26727633</v>
      </c>
      <c r="EM67" s="54">
        <v>5705195</v>
      </c>
      <c r="EN67" s="54">
        <v>266341</v>
      </c>
      <c r="EO67" s="54">
        <v>1647004</v>
      </c>
      <c r="EP67" s="54">
        <v>51473526</v>
      </c>
      <c r="EQ67" s="54">
        <v>85819699</v>
      </c>
      <c r="ER67" s="54">
        <v>3162047</v>
      </c>
      <c r="ES67" s="54">
        <v>489115</v>
      </c>
      <c r="ET67" s="54">
        <v>624482</v>
      </c>
      <c r="EU67" s="54">
        <v>4459484</v>
      </c>
      <c r="EV67" s="54">
        <v>428499</v>
      </c>
      <c r="EW67" s="54">
        <v>9163627</v>
      </c>
      <c r="EX67" s="54">
        <v>1610000</v>
      </c>
      <c r="EY67" s="54">
        <v>964013</v>
      </c>
      <c r="EZ67" s="54">
        <v>91706</v>
      </c>
      <c r="FA67" s="54">
        <v>101656</v>
      </c>
      <c r="FB67" s="54">
        <v>0</v>
      </c>
      <c r="FC67" s="54">
        <v>2767375</v>
      </c>
      <c r="FD67" s="54">
        <v>6869278</v>
      </c>
      <c r="FE67" s="54">
        <v>2739557</v>
      </c>
      <c r="FF67" s="54">
        <v>1231753</v>
      </c>
      <c r="FG67" s="54">
        <v>4430903</v>
      </c>
      <c r="FH67" s="54">
        <v>0</v>
      </c>
      <c r="FI67" s="54">
        <v>15271491</v>
      </c>
      <c r="FJ67" s="54">
        <v>30000</v>
      </c>
      <c r="FK67" s="54">
        <v>8500</v>
      </c>
      <c r="FL67" s="54">
        <v>8500</v>
      </c>
      <c r="FM67" s="54">
        <v>58000</v>
      </c>
      <c r="FN67" s="54">
        <v>0</v>
      </c>
      <c r="FO67" s="54">
        <v>105000</v>
      </c>
      <c r="FP67" s="54">
        <v>0</v>
      </c>
      <c r="FQ67" s="54">
        <v>0</v>
      </c>
      <c r="FR67" s="54">
        <v>0</v>
      </c>
      <c r="FS67" s="54">
        <v>0</v>
      </c>
      <c r="FT67" s="54">
        <v>16632754</v>
      </c>
      <c r="FU67" s="54">
        <v>16632754</v>
      </c>
      <c r="FV67" s="54">
        <v>0</v>
      </c>
      <c r="FW67" s="54">
        <v>0</v>
      </c>
      <c r="FX67" s="54">
        <v>0</v>
      </c>
      <c r="FY67" s="54">
        <v>0</v>
      </c>
      <c r="FZ67" s="54">
        <v>21500</v>
      </c>
      <c r="GA67" s="54">
        <v>21500</v>
      </c>
      <c r="GB67" s="54">
        <v>0</v>
      </c>
      <c r="GC67" s="54">
        <v>0</v>
      </c>
      <c r="GD67" s="54">
        <v>0</v>
      </c>
      <c r="GE67" s="54">
        <v>0</v>
      </c>
      <c r="GF67" s="54">
        <v>0</v>
      </c>
      <c r="GG67" s="54">
        <v>0</v>
      </c>
      <c r="GH67" s="54">
        <v>590683</v>
      </c>
      <c r="GI67" s="54">
        <v>206748</v>
      </c>
      <c r="GJ67" s="54">
        <v>86188</v>
      </c>
      <c r="GK67" s="54">
        <v>352532</v>
      </c>
      <c r="GL67" s="54">
        <v>0</v>
      </c>
      <c r="GM67" s="54">
        <v>1236151</v>
      </c>
      <c r="GN67" s="54">
        <v>1325262</v>
      </c>
      <c r="GO67" s="54">
        <v>365126</v>
      </c>
      <c r="GP67" s="54">
        <v>244376</v>
      </c>
      <c r="GQ67" s="54">
        <v>1783081</v>
      </c>
      <c r="GR67" s="54">
        <v>0</v>
      </c>
      <c r="GS67" s="54">
        <v>3717845</v>
      </c>
      <c r="GT67" s="54">
        <v>245468</v>
      </c>
      <c r="GU67" s="54">
        <v>36187</v>
      </c>
      <c r="GV67" s="54">
        <v>7772</v>
      </c>
      <c r="GW67" s="54">
        <v>184883</v>
      </c>
      <c r="GX67" s="54">
        <v>0</v>
      </c>
      <c r="GY67" s="54">
        <v>474310</v>
      </c>
      <c r="GZ67" s="54">
        <v>1634115</v>
      </c>
      <c r="HA67" s="54">
        <v>441566</v>
      </c>
      <c r="HB67" s="54">
        <v>181899</v>
      </c>
      <c r="HC67" s="54">
        <v>242026</v>
      </c>
      <c r="HD67" s="54">
        <v>0</v>
      </c>
      <c r="HE67" s="54">
        <v>2499606</v>
      </c>
      <c r="HF67" s="54">
        <v>211573</v>
      </c>
      <c r="HG67" s="54">
        <v>28057</v>
      </c>
      <c r="HH67" s="54">
        <v>11021</v>
      </c>
      <c r="HI67" s="54">
        <v>63276</v>
      </c>
      <c r="HJ67" s="54">
        <v>671345</v>
      </c>
      <c r="HK67" s="54">
        <v>985272</v>
      </c>
      <c r="HL67" s="54">
        <v>167342</v>
      </c>
      <c r="HM67" s="54">
        <v>74390</v>
      </c>
      <c r="HN67" s="54">
        <v>16236</v>
      </c>
      <c r="HO67" s="54">
        <v>693162</v>
      </c>
      <c r="HP67" s="54">
        <v>0</v>
      </c>
      <c r="HQ67" s="54">
        <v>951130</v>
      </c>
      <c r="HR67" s="54">
        <v>81905</v>
      </c>
      <c r="HS67" s="54">
        <v>8030</v>
      </c>
      <c r="HT67" s="54">
        <v>160</v>
      </c>
      <c r="HU67" s="54">
        <v>17502</v>
      </c>
      <c r="HV67" s="54">
        <v>10287490</v>
      </c>
      <c r="HW67" s="54">
        <v>10395087</v>
      </c>
      <c r="HX67" s="54">
        <v>0</v>
      </c>
      <c r="HY67" s="54">
        <v>0</v>
      </c>
      <c r="HZ67" s="54">
        <v>0</v>
      </c>
      <c r="IA67" s="54">
        <v>0</v>
      </c>
      <c r="IB67" s="54">
        <v>244033</v>
      </c>
      <c r="IC67" s="54">
        <v>244033</v>
      </c>
      <c r="ID67" s="54">
        <v>0</v>
      </c>
      <c r="IE67" s="54">
        <v>0</v>
      </c>
      <c r="IF67" s="54">
        <v>0</v>
      </c>
      <c r="IG67" s="54">
        <v>0</v>
      </c>
      <c r="IH67" s="54">
        <v>0</v>
      </c>
      <c r="II67" s="54">
        <v>0</v>
      </c>
      <c r="IJ67" s="54">
        <v>101466</v>
      </c>
      <c r="IK67" s="54">
        <v>6288</v>
      </c>
      <c r="IL67" s="54">
        <v>5206</v>
      </c>
      <c r="IM67" s="54">
        <v>65938</v>
      </c>
      <c r="IN67" s="54">
        <v>951459</v>
      </c>
      <c r="IO67" s="54">
        <v>1130357</v>
      </c>
      <c r="IP67" s="54">
        <v>475</v>
      </c>
      <c r="IQ67" s="54">
        <v>1280</v>
      </c>
      <c r="IR67" s="54">
        <v>740</v>
      </c>
      <c r="IS67" s="54">
        <v>6792</v>
      </c>
      <c r="IT67" s="54">
        <v>1432929</v>
      </c>
      <c r="IU67" s="54">
        <v>1442216</v>
      </c>
      <c r="IV67" s="54">
        <v>1344612</v>
      </c>
      <c r="IW67" s="54">
        <v>312187</v>
      </c>
      <c r="IX67" s="54">
        <v>141825</v>
      </c>
      <c r="IY67" s="54">
        <v>747573</v>
      </c>
      <c r="IZ67" s="54">
        <v>6690191</v>
      </c>
      <c r="JA67" s="54">
        <v>9236388</v>
      </c>
      <c r="JB67" s="54">
        <v>17374226</v>
      </c>
      <c r="JC67" s="54">
        <v>5681044</v>
      </c>
      <c r="JD67" s="54">
        <v>2651864</v>
      </c>
      <c r="JE67" s="54">
        <v>13206808</v>
      </c>
      <c r="JF67" s="54">
        <v>37360200</v>
      </c>
      <c r="JG67" s="54">
        <v>76274142</v>
      </c>
      <c r="JH67" s="54">
        <v>0</v>
      </c>
      <c r="JI67" s="54">
        <v>0</v>
      </c>
      <c r="JJ67" s="54">
        <v>0</v>
      </c>
      <c r="JK67" s="54">
        <v>0</v>
      </c>
      <c r="JL67" s="54">
        <v>0</v>
      </c>
      <c r="JM67" s="54">
        <v>0</v>
      </c>
      <c r="JN67" s="54">
        <v>17374226</v>
      </c>
      <c r="JO67" s="54">
        <v>5681044</v>
      </c>
      <c r="JP67" s="54">
        <v>2651864</v>
      </c>
      <c r="JQ67" s="54">
        <v>13206808</v>
      </c>
      <c r="JR67" s="54">
        <v>37360200</v>
      </c>
      <c r="JS67" s="54">
        <v>76274142</v>
      </c>
      <c r="JU67" s="5">
        <f t="shared" si="80"/>
        <v>19982098</v>
      </c>
      <c r="JV67" s="26">
        <f t="shared" si="81"/>
        <v>0</v>
      </c>
      <c r="JW67" s="5">
        <f t="shared" si="82"/>
        <v>1460076</v>
      </c>
      <c r="JX67" s="26">
        <f t="shared" si="83"/>
        <v>0</v>
      </c>
      <c r="JY67" s="5">
        <f t="shared" si="84"/>
        <v>2377308</v>
      </c>
      <c r="JZ67" s="26">
        <f t="shared" si="85"/>
        <v>0</v>
      </c>
      <c r="KA67" s="5">
        <f t="shared" si="86"/>
        <v>33214707</v>
      </c>
      <c r="KB67" s="26">
        <f t="shared" si="87"/>
        <v>0</v>
      </c>
      <c r="KC67" s="5">
        <f t="shared" si="88"/>
        <v>126500</v>
      </c>
      <c r="KD67" s="26">
        <f t="shared" si="89"/>
        <v>0</v>
      </c>
      <c r="KE67" s="5">
        <f t="shared" si="90"/>
        <v>959779</v>
      </c>
      <c r="KF67" s="26">
        <f t="shared" si="91"/>
        <v>0</v>
      </c>
      <c r="KG67" s="5">
        <f t="shared" si="92"/>
        <v>0</v>
      </c>
      <c r="KH67" s="26">
        <f t="shared" si="93"/>
        <v>0</v>
      </c>
      <c r="KI67" s="5">
        <f t="shared" si="94"/>
        <v>0</v>
      </c>
      <c r="KJ67" s="26">
        <f t="shared" si="95"/>
        <v>0</v>
      </c>
      <c r="KK67" s="5">
        <f t="shared" si="96"/>
        <v>11519124</v>
      </c>
      <c r="KL67" s="26">
        <f t="shared" si="97"/>
        <v>0</v>
      </c>
      <c r="KM67" s="5">
        <f t="shared" si="98"/>
        <v>558878</v>
      </c>
      <c r="KN67" s="26">
        <f t="shared" si="99"/>
        <v>0</v>
      </c>
      <c r="KO67" s="5">
        <f t="shared" si="100"/>
        <v>4269176</v>
      </c>
      <c r="KP67" s="26">
        <f t="shared" si="101"/>
        <v>0</v>
      </c>
      <c r="KQ67" s="5">
        <f t="shared" si="102"/>
        <v>6133922</v>
      </c>
      <c r="KR67" s="26">
        <f t="shared" si="103"/>
        <v>0</v>
      </c>
      <c r="KS67" s="5">
        <f t="shared" si="104"/>
        <v>1326052</v>
      </c>
      <c r="KT67" s="26">
        <f t="shared" si="105"/>
        <v>0</v>
      </c>
      <c r="KU67" s="5">
        <f t="shared" si="106"/>
        <v>58130</v>
      </c>
      <c r="KV67" s="26">
        <f t="shared" si="107"/>
        <v>0</v>
      </c>
      <c r="KW67" s="5">
        <f t="shared" si="108"/>
        <v>3833949</v>
      </c>
      <c r="KX67" s="26">
        <f t="shared" si="109"/>
        <v>0</v>
      </c>
      <c r="KY67" s="5">
        <f t="shared" si="110"/>
        <v>85819699</v>
      </c>
      <c r="KZ67" s="26">
        <f t="shared" si="111"/>
        <v>0</v>
      </c>
      <c r="LA67" s="5">
        <f t="shared" si="112"/>
        <v>9163627</v>
      </c>
      <c r="LB67" s="26">
        <f t="shared" si="113"/>
        <v>0</v>
      </c>
      <c r="LC67" s="5">
        <f t="shared" si="114"/>
        <v>2767375</v>
      </c>
      <c r="LD67" s="26">
        <f t="shared" si="115"/>
        <v>0</v>
      </c>
      <c r="LE67" s="5">
        <f t="shared" si="116"/>
        <v>15271491</v>
      </c>
      <c r="LF67" s="26">
        <f t="shared" si="117"/>
        <v>0</v>
      </c>
      <c r="LG67" s="5">
        <f t="shared" si="118"/>
        <v>105000</v>
      </c>
      <c r="LH67" s="26">
        <f t="shared" si="119"/>
        <v>0</v>
      </c>
      <c r="LI67" s="5">
        <f t="shared" si="120"/>
        <v>16632754</v>
      </c>
      <c r="LJ67" s="26">
        <f t="shared" si="121"/>
        <v>0</v>
      </c>
      <c r="LK67" s="5">
        <f t="shared" si="122"/>
        <v>21500</v>
      </c>
      <c r="LL67" s="26">
        <f t="shared" si="123"/>
        <v>0</v>
      </c>
      <c r="LM67" s="5">
        <f t="shared" si="124"/>
        <v>0</v>
      </c>
      <c r="LN67" s="26">
        <f t="shared" si="125"/>
        <v>0</v>
      </c>
      <c r="LO67" s="5">
        <f t="shared" si="126"/>
        <v>1236151</v>
      </c>
      <c r="LP67" s="26">
        <f t="shared" si="127"/>
        <v>0</v>
      </c>
      <c r="LQ67" s="5">
        <f t="shared" si="128"/>
        <v>3717845</v>
      </c>
      <c r="LR67" s="26">
        <f t="shared" si="129"/>
        <v>0</v>
      </c>
      <c r="LS67" s="5">
        <f t="shared" si="130"/>
        <v>474310</v>
      </c>
      <c r="LT67" s="26">
        <f t="shared" si="131"/>
        <v>0</v>
      </c>
      <c r="LU67" s="5">
        <f t="shared" si="132"/>
        <v>2499606</v>
      </c>
      <c r="LV67" s="26">
        <f t="shared" si="133"/>
        <v>0</v>
      </c>
      <c r="LW67" s="5">
        <f t="shared" si="134"/>
        <v>985272</v>
      </c>
      <c r="LX67" s="26">
        <f t="shared" si="135"/>
        <v>0</v>
      </c>
      <c r="LY67" s="5">
        <f t="shared" si="136"/>
        <v>951130</v>
      </c>
      <c r="LZ67" s="26">
        <f t="shared" si="137"/>
        <v>0</v>
      </c>
      <c r="MA67" s="5">
        <f t="shared" si="138"/>
        <v>10395087</v>
      </c>
      <c r="MB67" s="26">
        <f t="shared" si="139"/>
        <v>0</v>
      </c>
      <c r="MC67" s="5">
        <f t="shared" si="140"/>
        <v>244033</v>
      </c>
      <c r="MD67" s="26">
        <f t="shared" si="141"/>
        <v>0</v>
      </c>
      <c r="ME67" s="5">
        <f t="shared" si="142"/>
        <v>0</v>
      </c>
      <c r="MF67" s="26">
        <f t="shared" si="143"/>
        <v>0</v>
      </c>
      <c r="MG67" s="5">
        <f t="shared" si="144"/>
        <v>1130357</v>
      </c>
      <c r="MH67" s="26">
        <f t="shared" si="145"/>
        <v>0</v>
      </c>
      <c r="MI67" s="5">
        <f t="shared" si="146"/>
        <v>1442216</v>
      </c>
      <c r="MJ67" s="26">
        <f t="shared" si="147"/>
        <v>0</v>
      </c>
      <c r="MK67" s="5">
        <f t="shared" si="148"/>
        <v>9236388</v>
      </c>
      <c r="ML67" s="26">
        <f t="shared" si="149"/>
        <v>0</v>
      </c>
      <c r="MM67" s="5">
        <f t="shared" si="150"/>
        <v>76274142</v>
      </c>
      <c r="MN67" s="26">
        <f t="shared" si="151"/>
        <v>0</v>
      </c>
      <c r="MO67" s="5">
        <f t="shared" si="152"/>
        <v>0</v>
      </c>
      <c r="MP67" s="26">
        <f t="shared" si="153"/>
        <v>0</v>
      </c>
      <c r="MQ67" s="5">
        <f t="shared" si="154"/>
        <v>76274142</v>
      </c>
      <c r="MR67" s="26">
        <f t="shared" si="155"/>
        <v>0</v>
      </c>
      <c r="MT67" s="5">
        <f t="shared" si="76"/>
        <v>0</v>
      </c>
      <c r="MV67" s="4">
        <f t="shared" si="77"/>
        <v>0</v>
      </c>
      <c r="NG67" s="15"/>
    </row>
    <row r="68" spans="1:371" x14ac:dyDescent="0.15">
      <c r="A68" s="155" t="s">
        <v>345</v>
      </c>
      <c r="B68" s="25" t="s">
        <v>461</v>
      </c>
      <c r="C68" s="105">
        <v>176080</v>
      </c>
      <c r="D68" s="105">
        <v>2011</v>
      </c>
      <c r="E68" s="106">
        <v>1</v>
      </c>
      <c r="F68" s="106">
        <v>4</v>
      </c>
      <c r="G68" s="107" t="s">
        <v>484</v>
      </c>
      <c r="H68" s="107">
        <v>7491</v>
      </c>
      <c r="I68" s="108">
        <v>735442000</v>
      </c>
      <c r="J68" s="108"/>
      <c r="K68" s="108">
        <v>6663074</v>
      </c>
      <c r="L68" s="108"/>
      <c r="M68" s="108">
        <v>23124000</v>
      </c>
      <c r="N68" s="108"/>
      <c r="O68" s="108">
        <v>88685221</v>
      </c>
      <c r="P68" s="108"/>
      <c r="Q68" s="108">
        <v>259640000</v>
      </c>
      <c r="R68" s="108"/>
      <c r="S68" s="108">
        <v>599061000</v>
      </c>
      <c r="T68" s="108"/>
      <c r="U68" s="108">
        <v>19518</v>
      </c>
      <c r="V68" s="108"/>
      <c r="W68" s="108">
        <v>32838</v>
      </c>
      <c r="X68" s="108"/>
      <c r="Y68" s="108">
        <v>21969</v>
      </c>
      <c r="Z68" s="108"/>
      <c r="AA68" s="108">
        <v>35289</v>
      </c>
      <c r="AB68" s="108"/>
      <c r="AC68" s="130">
        <v>9</v>
      </c>
      <c r="AD68" s="130">
        <v>11</v>
      </c>
      <c r="AE68" s="130">
        <v>0</v>
      </c>
      <c r="AF68" s="26">
        <v>4346928</v>
      </c>
      <c r="AG68" s="26">
        <v>3471671</v>
      </c>
      <c r="AH68" s="26">
        <v>549846</v>
      </c>
      <c r="AI68" s="26">
        <v>239819</v>
      </c>
      <c r="AJ68" s="26">
        <v>492228.14</v>
      </c>
      <c r="AK68" s="36">
        <v>7</v>
      </c>
      <c r="AL68" s="26">
        <v>492228.14</v>
      </c>
      <c r="AM68" s="36">
        <v>7</v>
      </c>
      <c r="AN68" s="26">
        <v>152489.78</v>
      </c>
      <c r="AO68" s="36">
        <v>9</v>
      </c>
      <c r="AP68" s="26">
        <v>152489.78</v>
      </c>
      <c r="AQ68" s="36">
        <v>9</v>
      </c>
      <c r="AR68" s="26">
        <v>173664.95</v>
      </c>
      <c r="AS68" s="36">
        <v>20</v>
      </c>
      <c r="AT68" s="26">
        <v>173664.95</v>
      </c>
      <c r="AU68" s="36">
        <v>20</v>
      </c>
      <c r="AV68" s="26">
        <v>77805.31</v>
      </c>
      <c r="AW68" s="36">
        <v>16</v>
      </c>
      <c r="AX68" s="26">
        <v>77805.31</v>
      </c>
      <c r="AY68" s="36">
        <v>16</v>
      </c>
      <c r="AZ68" s="61">
        <v>7912635</v>
      </c>
      <c r="BA68" s="61">
        <v>946644</v>
      </c>
      <c r="BB68" s="61">
        <v>55261</v>
      </c>
      <c r="BC68" s="61">
        <v>1192640</v>
      </c>
      <c r="BD68" s="61">
        <v>282244</v>
      </c>
      <c r="BE68" s="61">
        <v>10389424</v>
      </c>
      <c r="BF68" s="61">
        <v>1272547</v>
      </c>
      <c r="BG68" s="61">
        <v>732604</v>
      </c>
      <c r="BH68" s="61">
        <v>55912</v>
      </c>
      <c r="BI68" s="61">
        <v>216657</v>
      </c>
      <c r="BJ68" s="61">
        <v>0</v>
      </c>
      <c r="BK68" s="61">
        <v>2277720</v>
      </c>
      <c r="BL68" s="61">
        <v>2100000</v>
      </c>
      <c r="BM68" s="61">
        <v>106826</v>
      </c>
      <c r="BN68" s="61">
        <v>0</v>
      </c>
      <c r="BO68" s="61">
        <v>71323</v>
      </c>
      <c r="BP68" s="61">
        <v>0</v>
      </c>
      <c r="BQ68" s="61">
        <v>2278149</v>
      </c>
      <c r="BR68" s="61">
        <v>2138767</v>
      </c>
      <c r="BS68" s="61">
        <v>126914</v>
      </c>
      <c r="BT68" s="61">
        <v>50453</v>
      </c>
      <c r="BU68" s="61">
        <v>429592</v>
      </c>
      <c r="BV68" s="61">
        <v>6789996</v>
      </c>
      <c r="BW68" s="61">
        <v>9535722</v>
      </c>
      <c r="BX68" s="61">
        <v>0</v>
      </c>
      <c r="BY68" s="61">
        <v>0</v>
      </c>
      <c r="BZ68" s="61">
        <v>0</v>
      </c>
      <c r="CA68" s="61">
        <v>0</v>
      </c>
      <c r="CB68" s="61">
        <v>0</v>
      </c>
      <c r="CC68" s="61">
        <v>0</v>
      </c>
      <c r="CD68" s="61">
        <v>370286</v>
      </c>
      <c r="CE68" s="61">
        <v>0</v>
      </c>
      <c r="CF68" s="61">
        <v>29289</v>
      </c>
      <c r="CG68" s="61">
        <v>530013</v>
      </c>
      <c r="CH68" s="61">
        <v>0</v>
      </c>
      <c r="CI68" s="61">
        <v>929588</v>
      </c>
      <c r="CJ68" s="61">
        <v>0</v>
      </c>
      <c r="CK68" s="61">
        <v>0</v>
      </c>
      <c r="CL68" s="61">
        <v>606403</v>
      </c>
      <c r="CM68" s="61">
        <v>3099119</v>
      </c>
      <c r="CN68" s="61">
        <v>5353601</v>
      </c>
      <c r="CO68" s="61">
        <v>9059123</v>
      </c>
      <c r="CP68" s="61">
        <v>0</v>
      </c>
      <c r="CQ68" s="61">
        <v>0</v>
      </c>
      <c r="CR68" s="61">
        <v>0</v>
      </c>
      <c r="CS68" s="61">
        <v>0</v>
      </c>
      <c r="CT68" s="61">
        <v>4700180</v>
      </c>
      <c r="CU68" s="61">
        <v>4700180</v>
      </c>
      <c r="CV68" s="61">
        <v>2487164</v>
      </c>
      <c r="CW68" s="61">
        <v>4235</v>
      </c>
      <c r="CX68" s="61">
        <v>1740</v>
      </c>
      <c r="CY68" s="61">
        <v>30805</v>
      </c>
      <c r="CZ68" s="61">
        <v>1475626</v>
      </c>
      <c r="DA68" s="61">
        <v>3999570</v>
      </c>
      <c r="DB68" s="61">
        <v>4765236</v>
      </c>
      <c r="DC68" s="61">
        <v>2477962</v>
      </c>
      <c r="DD68" s="61">
        <v>0</v>
      </c>
      <c r="DE68" s="61">
        <v>0</v>
      </c>
      <c r="DF68" s="61">
        <v>0</v>
      </c>
      <c r="DG68" s="61">
        <v>7243198</v>
      </c>
      <c r="DH68" s="61">
        <v>369062</v>
      </c>
      <c r="DI68" s="61">
        <v>63880</v>
      </c>
      <c r="DJ68" s="61">
        <v>8760</v>
      </c>
      <c r="DK68" s="61">
        <v>79101</v>
      </c>
      <c r="DL68" s="61">
        <v>364675</v>
      </c>
      <c r="DM68" s="61">
        <v>885478</v>
      </c>
      <c r="DN68" s="61">
        <v>6774</v>
      </c>
      <c r="DO68" s="61">
        <v>0</v>
      </c>
      <c r="DP68" s="61">
        <v>0</v>
      </c>
      <c r="DQ68" s="61">
        <v>13743</v>
      </c>
      <c r="DR68" s="61">
        <v>2890685</v>
      </c>
      <c r="DS68" s="61">
        <v>2911202</v>
      </c>
      <c r="DT68" s="61">
        <v>256465</v>
      </c>
      <c r="DU68" s="61">
        <v>38839</v>
      </c>
      <c r="DV68" s="61">
        <v>9356</v>
      </c>
      <c r="DW68" s="61">
        <v>679893</v>
      </c>
      <c r="DX68" s="61">
        <v>43869</v>
      </c>
      <c r="DY68" s="61">
        <v>1028422</v>
      </c>
      <c r="DZ68" s="61">
        <v>0</v>
      </c>
      <c r="EA68" s="61">
        <v>0</v>
      </c>
      <c r="EB68" s="61">
        <v>0</v>
      </c>
      <c r="EC68" s="61">
        <v>1</v>
      </c>
      <c r="ED68" s="61">
        <v>37816</v>
      </c>
      <c r="EE68" s="61">
        <v>37817</v>
      </c>
      <c r="EF68" s="61">
        <v>11858</v>
      </c>
      <c r="EG68" s="61">
        <v>1560</v>
      </c>
      <c r="EH68" s="61">
        <v>90</v>
      </c>
      <c r="EI68" s="61">
        <v>18227</v>
      </c>
      <c r="EJ68" s="61">
        <v>236687</v>
      </c>
      <c r="EK68" s="61">
        <v>268422</v>
      </c>
      <c r="EL68" s="61">
        <v>21690794</v>
      </c>
      <c r="EM68" s="61">
        <v>4499464</v>
      </c>
      <c r="EN68" s="61">
        <v>817264</v>
      </c>
      <c r="EO68" s="61">
        <v>6361114</v>
      </c>
      <c r="EP68" s="61">
        <v>22175379</v>
      </c>
      <c r="EQ68" s="61">
        <v>55544015</v>
      </c>
      <c r="ER68" s="61">
        <v>2743067</v>
      </c>
      <c r="ES68" s="61">
        <v>470417</v>
      </c>
      <c r="ET68" s="61">
        <v>250401</v>
      </c>
      <c r="EU68" s="61">
        <f>4346928+3471671-ER68-ES68-ET68</f>
        <v>4354714</v>
      </c>
      <c r="EV68" s="61">
        <v>103153</v>
      </c>
      <c r="EW68" s="61">
        <v>7921752</v>
      </c>
      <c r="EX68" s="61">
        <v>2256375</v>
      </c>
      <c r="EY68" s="61">
        <v>391144</v>
      </c>
      <c r="EZ68" s="61">
        <v>28000</v>
      </c>
      <c r="FA68" s="61">
        <v>254577</v>
      </c>
      <c r="FB68" s="61">
        <v>0</v>
      </c>
      <c r="FC68" s="61">
        <v>2930096</v>
      </c>
      <c r="FD68" s="61">
        <v>3734387</v>
      </c>
      <c r="FE68" s="61">
        <v>1593540</v>
      </c>
      <c r="FF68" s="61">
        <v>527416</v>
      </c>
      <c r="FG68" s="61">
        <v>3680846</v>
      </c>
      <c r="FH68" s="61">
        <v>0</v>
      </c>
      <c r="FI68" s="61">
        <v>9536189</v>
      </c>
      <c r="FJ68" s="61">
        <v>0</v>
      </c>
      <c r="FK68" s="61">
        <v>0</v>
      </c>
      <c r="FL68" s="61">
        <v>0</v>
      </c>
      <c r="FM68" s="61">
        <v>0</v>
      </c>
      <c r="FN68" s="61">
        <v>0</v>
      </c>
      <c r="FO68" s="61">
        <v>0</v>
      </c>
      <c r="FP68" s="61">
        <v>448453</v>
      </c>
      <c r="FQ68" s="61">
        <v>62185</v>
      </c>
      <c r="FR68" s="61">
        <v>92877</v>
      </c>
      <c r="FS68" s="61">
        <v>349103</v>
      </c>
      <c r="FT68" s="61">
        <v>5695673</v>
      </c>
      <c r="FU68" s="61">
        <v>6648291</v>
      </c>
      <c r="FV68" s="61">
        <v>0</v>
      </c>
      <c r="FW68" s="61">
        <v>0</v>
      </c>
      <c r="FX68" s="61">
        <v>0</v>
      </c>
      <c r="FY68" s="61">
        <v>0</v>
      </c>
      <c r="FZ68" s="61">
        <v>0</v>
      </c>
      <c r="GA68" s="61">
        <v>0</v>
      </c>
      <c r="GB68" s="61">
        <v>0</v>
      </c>
      <c r="GC68" s="61">
        <v>0</v>
      </c>
      <c r="GD68" s="61">
        <v>36903</v>
      </c>
      <c r="GE68" s="61">
        <v>0</v>
      </c>
      <c r="GF68" s="61">
        <v>0</v>
      </c>
      <c r="GG68" s="61">
        <v>36903</v>
      </c>
      <c r="GH68" s="61">
        <v>298631</v>
      </c>
      <c r="GI68" s="61">
        <v>141431</v>
      </c>
      <c r="GJ68" s="61">
        <v>95119</v>
      </c>
      <c r="GK68" s="61">
        <v>254484</v>
      </c>
      <c r="GL68" s="61">
        <v>982</v>
      </c>
      <c r="GM68" s="61">
        <v>790647</v>
      </c>
      <c r="GN68" s="61">
        <v>1049425</v>
      </c>
      <c r="GO68" s="61">
        <v>265382</v>
      </c>
      <c r="GP68" s="61">
        <v>202196</v>
      </c>
      <c r="GQ68" s="61">
        <v>1331398</v>
      </c>
      <c r="GR68" s="61">
        <v>78018</v>
      </c>
      <c r="GS68" s="61">
        <v>2926419</v>
      </c>
      <c r="GT68" s="61">
        <v>501421</v>
      </c>
      <c r="GU68" s="61">
        <v>99429</v>
      </c>
      <c r="GV68" s="61">
        <v>24516</v>
      </c>
      <c r="GW68" s="61">
        <v>219741</v>
      </c>
      <c r="GX68" s="61">
        <v>122531</v>
      </c>
      <c r="GY68" s="61">
        <v>967638</v>
      </c>
      <c r="GZ68" s="61">
        <v>200183</v>
      </c>
      <c r="HA68" s="61">
        <v>133227</v>
      </c>
      <c r="HB68" s="61">
        <v>102182</v>
      </c>
      <c r="HC68" s="61">
        <v>481587</v>
      </c>
      <c r="HD68" s="61">
        <v>796695</v>
      </c>
      <c r="HE68" s="61">
        <v>1713874</v>
      </c>
      <c r="HF68" s="61">
        <v>55268</v>
      </c>
      <c r="HG68" s="61">
        <v>21522</v>
      </c>
      <c r="HH68" s="61">
        <v>9704</v>
      </c>
      <c r="HI68" s="61">
        <v>64719</v>
      </c>
      <c r="HJ68" s="61">
        <v>1071322</v>
      </c>
      <c r="HK68" s="61">
        <v>1222535</v>
      </c>
      <c r="HL68" s="61">
        <v>184477</v>
      </c>
      <c r="HM68" s="61">
        <v>27087</v>
      </c>
      <c r="HN68" s="61">
        <v>25988</v>
      </c>
      <c r="HO68" s="61">
        <v>390695</v>
      </c>
      <c r="HP68" s="61">
        <v>9045</v>
      </c>
      <c r="HQ68" s="61">
        <v>637292</v>
      </c>
      <c r="HR68" s="61">
        <v>191461</v>
      </c>
      <c r="HS68" s="61">
        <v>19010</v>
      </c>
      <c r="HT68" s="61">
        <v>24306</v>
      </c>
      <c r="HU68" s="61">
        <v>167174</v>
      </c>
      <c r="HV68" s="61">
        <v>8333879</v>
      </c>
      <c r="HW68" s="61">
        <v>8735830</v>
      </c>
      <c r="HX68" s="54">
        <v>0</v>
      </c>
      <c r="HY68" s="54">
        <v>0</v>
      </c>
      <c r="HZ68" s="54">
        <v>0</v>
      </c>
      <c r="IA68" s="54">
        <v>0</v>
      </c>
      <c r="IB68" s="54">
        <v>104789</v>
      </c>
      <c r="IC68" s="54">
        <v>104789</v>
      </c>
      <c r="ID68" s="61">
        <v>0</v>
      </c>
      <c r="IE68" s="61">
        <v>0</v>
      </c>
      <c r="IF68" s="61">
        <v>0</v>
      </c>
      <c r="IG68" s="61">
        <v>0</v>
      </c>
      <c r="IH68" s="61">
        <v>4700180</v>
      </c>
      <c r="II68" s="61">
        <v>4700180</v>
      </c>
      <c r="IJ68" s="61">
        <v>88271</v>
      </c>
      <c r="IK68" s="61">
        <v>16359</v>
      </c>
      <c r="IL68" s="61">
        <v>10341</v>
      </c>
      <c r="IM68" s="61">
        <v>148490</v>
      </c>
      <c r="IN68" s="61">
        <v>638817</v>
      </c>
      <c r="IO68" s="61">
        <v>902278</v>
      </c>
      <c r="IP68" s="61">
        <v>1060</v>
      </c>
      <c r="IQ68" s="61">
        <v>824</v>
      </c>
      <c r="IR68" s="61">
        <v>600</v>
      </c>
      <c r="IS68" s="61">
        <v>6286</v>
      </c>
      <c r="IT68" s="61">
        <v>1401380</v>
      </c>
      <c r="IU68" s="61">
        <v>1410150</v>
      </c>
      <c r="IV68" s="61">
        <v>529742</v>
      </c>
      <c r="IW68" s="61">
        <v>85468</v>
      </c>
      <c r="IX68" s="61">
        <v>56501</v>
      </c>
      <c r="IY68" s="61">
        <v>317248</v>
      </c>
      <c r="IZ68" s="61">
        <v>2415513</v>
      </c>
      <c r="JA68" s="61">
        <v>3404472</v>
      </c>
      <c r="JB68" s="61">
        <v>12282221</v>
      </c>
      <c r="JC68" s="61">
        <v>3327025</v>
      </c>
      <c r="JD68" s="61">
        <v>1487050</v>
      </c>
      <c r="JE68" s="61">
        <v>12021062</v>
      </c>
      <c r="JF68" s="61">
        <v>25471977</v>
      </c>
      <c r="JG68" s="61">
        <v>54589335</v>
      </c>
      <c r="JH68" s="54">
        <v>0</v>
      </c>
      <c r="JI68" s="54">
        <v>0</v>
      </c>
      <c r="JJ68" s="54">
        <v>0</v>
      </c>
      <c r="JK68" s="54">
        <v>0</v>
      </c>
      <c r="JL68" s="54">
        <v>0</v>
      </c>
      <c r="JM68" s="54">
        <v>0</v>
      </c>
      <c r="JN68" s="61">
        <v>12282221</v>
      </c>
      <c r="JO68" s="61">
        <v>3327025</v>
      </c>
      <c r="JP68" s="61">
        <v>1487050</v>
      </c>
      <c r="JQ68" s="61">
        <v>12021062</v>
      </c>
      <c r="JR68" s="61">
        <v>25471977</v>
      </c>
      <c r="JS68" s="61">
        <v>54589335</v>
      </c>
      <c r="JU68" s="5">
        <f t="shared" si="80"/>
        <v>10389424</v>
      </c>
      <c r="JV68" s="26">
        <f t="shared" si="81"/>
        <v>0</v>
      </c>
      <c r="JW68" s="5">
        <f t="shared" si="82"/>
        <v>2277720</v>
      </c>
      <c r="JX68" s="26">
        <f t="shared" si="83"/>
        <v>0</v>
      </c>
      <c r="JY68" s="5">
        <f t="shared" si="84"/>
        <v>2278149</v>
      </c>
      <c r="JZ68" s="26">
        <f t="shared" si="85"/>
        <v>0</v>
      </c>
      <c r="KA68" s="5">
        <f t="shared" si="86"/>
        <v>9535722</v>
      </c>
      <c r="KB68" s="26">
        <f t="shared" si="87"/>
        <v>0</v>
      </c>
      <c r="KC68" s="5">
        <f t="shared" si="88"/>
        <v>0</v>
      </c>
      <c r="KD68" s="26">
        <f t="shared" si="89"/>
        <v>0</v>
      </c>
      <c r="KE68" s="5">
        <f t="shared" si="90"/>
        <v>929588</v>
      </c>
      <c r="KF68" s="26">
        <f t="shared" si="91"/>
        <v>0</v>
      </c>
      <c r="KG68" s="5">
        <f t="shared" si="92"/>
        <v>9059123</v>
      </c>
      <c r="KH68" s="26">
        <f t="shared" si="93"/>
        <v>0</v>
      </c>
      <c r="KI68" s="5">
        <f t="shared" si="94"/>
        <v>4700180</v>
      </c>
      <c r="KJ68" s="26">
        <f t="shared" si="95"/>
        <v>0</v>
      </c>
      <c r="KK68" s="5">
        <f t="shared" si="96"/>
        <v>3999570</v>
      </c>
      <c r="KL68" s="26">
        <f t="shared" si="97"/>
        <v>0</v>
      </c>
      <c r="KM68" s="5">
        <f t="shared" si="98"/>
        <v>7243198</v>
      </c>
      <c r="KN68" s="26">
        <f t="shared" si="99"/>
        <v>0</v>
      </c>
      <c r="KO68" s="5">
        <f t="shared" si="100"/>
        <v>885478</v>
      </c>
      <c r="KP68" s="26">
        <f t="shared" si="101"/>
        <v>0</v>
      </c>
      <c r="KQ68" s="5">
        <f t="shared" si="102"/>
        <v>2911202</v>
      </c>
      <c r="KR68" s="26">
        <f t="shared" si="103"/>
        <v>0</v>
      </c>
      <c r="KS68" s="5">
        <f t="shared" si="104"/>
        <v>1028422</v>
      </c>
      <c r="KT68" s="26">
        <f t="shared" si="105"/>
        <v>0</v>
      </c>
      <c r="KU68" s="5">
        <f t="shared" si="106"/>
        <v>37817</v>
      </c>
      <c r="KV68" s="26">
        <f t="shared" si="107"/>
        <v>0</v>
      </c>
      <c r="KW68" s="5">
        <f t="shared" si="108"/>
        <v>268422</v>
      </c>
      <c r="KX68" s="26">
        <f t="shared" si="109"/>
        <v>0</v>
      </c>
      <c r="KY68" s="5">
        <f t="shared" si="110"/>
        <v>55544015</v>
      </c>
      <c r="KZ68" s="26">
        <f t="shared" si="111"/>
        <v>0</v>
      </c>
      <c r="LA68" s="5">
        <f t="shared" si="112"/>
        <v>7921752</v>
      </c>
      <c r="LB68" s="26">
        <f t="shared" si="113"/>
        <v>0</v>
      </c>
      <c r="LC68" s="5">
        <f t="shared" si="114"/>
        <v>2930096</v>
      </c>
      <c r="LD68" s="26">
        <f t="shared" si="115"/>
        <v>0</v>
      </c>
      <c r="LE68" s="5">
        <f t="shared" si="116"/>
        <v>9536189</v>
      </c>
      <c r="LF68" s="26">
        <f t="shared" si="117"/>
        <v>0</v>
      </c>
      <c r="LG68" s="5">
        <f t="shared" si="118"/>
        <v>0</v>
      </c>
      <c r="LH68" s="26">
        <f t="shared" si="119"/>
        <v>0</v>
      </c>
      <c r="LI68" s="5">
        <f t="shared" si="120"/>
        <v>6648291</v>
      </c>
      <c r="LJ68" s="26">
        <f t="shared" si="121"/>
        <v>0</v>
      </c>
      <c r="LK68" s="5">
        <f t="shared" si="122"/>
        <v>0</v>
      </c>
      <c r="LL68" s="26">
        <f t="shared" si="123"/>
        <v>0</v>
      </c>
      <c r="LM68" s="5">
        <f t="shared" si="124"/>
        <v>36903</v>
      </c>
      <c r="LN68" s="26">
        <f t="shared" si="125"/>
        <v>0</v>
      </c>
      <c r="LO68" s="5">
        <f t="shared" si="126"/>
        <v>790647</v>
      </c>
      <c r="LP68" s="26">
        <f t="shared" si="127"/>
        <v>0</v>
      </c>
      <c r="LQ68" s="5">
        <f t="shared" si="128"/>
        <v>2926419</v>
      </c>
      <c r="LR68" s="26">
        <f t="shared" si="129"/>
        <v>0</v>
      </c>
      <c r="LS68" s="5">
        <f t="shared" si="130"/>
        <v>967638</v>
      </c>
      <c r="LT68" s="26">
        <f t="shared" si="131"/>
        <v>0</v>
      </c>
      <c r="LU68" s="5">
        <f t="shared" si="132"/>
        <v>1713874</v>
      </c>
      <c r="LV68" s="26">
        <f t="shared" si="133"/>
        <v>0</v>
      </c>
      <c r="LW68" s="5">
        <f t="shared" si="134"/>
        <v>1222535</v>
      </c>
      <c r="LX68" s="26">
        <f t="shared" si="135"/>
        <v>0</v>
      </c>
      <c r="LY68" s="5">
        <f t="shared" si="136"/>
        <v>637292</v>
      </c>
      <c r="LZ68" s="26">
        <f t="shared" si="137"/>
        <v>0</v>
      </c>
      <c r="MA68" s="5">
        <f t="shared" si="138"/>
        <v>8735830</v>
      </c>
      <c r="MB68" s="26">
        <f t="shared" si="139"/>
        <v>0</v>
      </c>
      <c r="MC68" s="5">
        <f t="shared" si="140"/>
        <v>104789</v>
      </c>
      <c r="MD68" s="26">
        <f t="shared" si="141"/>
        <v>0</v>
      </c>
      <c r="ME68" s="5">
        <f t="shared" si="142"/>
        <v>4700180</v>
      </c>
      <c r="MF68" s="26">
        <f t="shared" si="143"/>
        <v>0</v>
      </c>
      <c r="MG68" s="5">
        <f t="shared" si="144"/>
        <v>902278</v>
      </c>
      <c r="MH68" s="26">
        <f t="shared" si="145"/>
        <v>0</v>
      </c>
      <c r="MI68" s="5">
        <f t="shared" si="146"/>
        <v>1410150</v>
      </c>
      <c r="MJ68" s="26">
        <f t="shared" si="147"/>
        <v>0</v>
      </c>
      <c r="MK68" s="5">
        <f t="shared" si="148"/>
        <v>3404472</v>
      </c>
      <c r="ML68" s="26">
        <f t="shared" si="149"/>
        <v>0</v>
      </c>
      <c r="MM68" s="5">
        <f t="shared" si="150"/>
        <v>54589335</v>
      </c>
      <c r="MN68" s="26">
        <f t="shared" si="151"/>
        <v>0</v>
      </c>
      <c r="MO68" s="5">
        <f t="shared" si="152"/>
        <v>0</v>
      </c>
      <c r="MP68" s="26">
        <f t="shared" si="153"/>
        <v>0</v>
      </c>
      <c r="MQ68" s="5">
        <f t="shared" si="154"/>
        <v>54589335</v>
      </c>
      <c r="MR68" s="26">
        <f t="shared" si="155"/>
        <v>0</v>
      </c>
      <c r="MT68" s="5">
        <f t="shared" ref="MT68:MT92" si="158">JV68+JX68+JZ68+KB68+KD68+KF68+KH68+KJ68+KL68+KN68+KP68+KT68+KV68+KX68+KR68+KZ68+LB68+LD68+LF68+LH68+LJ68+LL68+LN68+LP68+LR68+LV68+LX68+LZ68+LT68+MB68+MD68+MF68+MH68+MJ68+ML68+MN68+MP68+MR68</f>
        <v>0</v>
      </c>
      <c r="MV68" s="4">
        <f t="shared" ref="MV68:MV92" si="159">IF(MT68=0,0,1)</f>
        <v>0</v>
      </c>
      <c r="NG68" s="15"/>
    </row>
    <row r="69" spans="1:371" x14ac:dyDescent="0.15">
      <c r="A69" s="155" t="s">
        <v>346</v>
      </c>
      <c r="B69" s="25" t="s">
        <v>407</v>
      </c>
      <c r="C69" s="109">
        <v>243780</v>
      </c>
      <c r="D69" s="105">
        <v>2011</v>
      </c>
      <c r="E69" s="106">
        <v>1</v>
      </c>
      <c r="F69" s="106">
        <v>3</v>
      </c>
      <c r="G69" s="107">
        <v>17240</v>
      </c>
      <c r="H69" s="107">
        <v>12412</v>
      </c>
      <c r="I69" s="108">
        <v>1502453972</v>
      </c>
      <c r="J69" s="108"/>
      <c r="K69" s="108">
        <v>7212092</v>
      </c>
      <c r="L69" s="108"/>
      <c r="M69" s="108">
        <v>189382032</v>
      </c>
      <c r="N69" s="108"/>
      <c r="O69" s="108">
        <v>132130000</v>
      </c>
      <c r="P69" s="108"/>
      <c r="Q69" s="108">
        <v>762368952</v>
      </c>
      <c r="R69" s="108"/>
      <c r="S69" s="108">
        <v>1004849592</v>
      </c>
      <c r="T69" s="108"/>
      <c r="U69" s="108">
        <v>19234</v>
      </c>
      <c r="V69" s="108"/>
      <c r="W69" s="108">
        <v>36786</v>
      </c>
      <c r="X69" s="108"/>
      <c r="Y69" s="108">
        <v>21294</v>
      </c>
      <c r="Z69" s="108"/>
      <c r="AA69" s="108">
        <v>38966</v>
      </c>
      <c r="AB69" s="108"/>
      <c r="AC69" s="129">
        <v>10</v>
      </c>
      <c r="AD69" s="129">
        <v>10</v>
      </c>
      <c r="AE69" s="129">
        <v>0</v>
      </c>
      <c r="AF69" s="26">
        <v>5680600</v>
      </c>
      <c r="AG69" s="26">
        <v>3574463</v>
      </c>
      <c r="AH69" s="26">
        <v>684920</v>
      </c>
      <c r="AI69" s="26">
        <v>269623</v>
      </c>
      <c r="AJ69" s="26">
        <v>504788</v>
      </c>
      <c r="AK69" s="36">
        <v>7</v>
      </c>
      <c r="AL69" s="26">
        <v>429070</v>
      </c>
      <c r="AM69" s="36">
        <v>8</v>
      </c>
      <c r="AN69" s="26">
        <v>183623</v>
      </c>
      <c r="AO69" s="36">
        <v>7</v>
      </c>
      <c r="AP69" s="26">
        <v>156080</v>
      </c>
      <c r="AQ69" s="36">
        <v>8</v>
      </c>
      <c r="AR69" s="26">
        <v>131989</v>
      </c>
      <c r="AS69" s="36">
        <v>24</v>
      </c>
      <c r="AT69" s="26">
        <v>105063</v>
      </c>
      <c r="AU69" s="36">
        <v>30</v>
      </c>
      <c r="AV69" s="26">
        <v>74241</v>
      </c>
      <c r="AW69" s="36">
        <v>15</v>
      </c>
      <c r="AX69" s="26">
        <v>58103</v>
      </c>
      <c r="AY69" s="36">
        <v>19</v>
      </c>
      <c r="AZ69" s="54">
        <v>10239049</v>
      </c>
      <c r="BA69" s="54">
        <v>4711071</v>
      </c>
      <c r="BB69" s="54">
        <v>411087</v>
      </c>
      <c r="BC69" s="54">
        <v>315613</v>
      </c>
      <c r="BD69" s="54">
        <v>198347</v>
      </c>
      <c r="BE69" s="54">
        <v>15875167</v>
      </c>
      <c r="BF69" s="54">
        <v>0</v>
      </c>
      <c r="BG69" s="54">
        <v>0</v>
      </c>
      <c r="BH69" s="54">
        <v>0</v>
      </c>
      <c r="BI69" s="54">
        <v>0</v>
      </c>
      <c r="BJ69" s="54">
        <v>0</v>
      </c>
      <c r="BK69" s="54">
        <v>0</v>
      </c>
      <c r="BL69" s="54">
        <v>400000</v>
      </c>
      <c r="BM69" s="54">
        <v>50000</v>
      </c>
      <c r="BN69" s="54">
        <v>0</v>
      </c>
      <c r="BO69" s="54">
        <v>0</v>
      </c>
      <c r="BP69" s="54">
        <v>0</v>
      </c>
      <c r="BQ69" s="54">
        <v>450000</v>
      </c>
      <c r="BR69" s="54">
        <v>3181307</v>
      </c>
      <c r="BS69" s="54">
        <v>875507</v>
      </c>
      <c r="BT69" s="54">
        <v>382759</v>
      </c>
      <c r="BU69" s="54">
        <v>4295026</v>
      </c>
      <c r="BV69" s="54">
        <v>4667205</v>
      </c>
      <c r="BW69" s="54">
        <v>13401804</v>
      </c>
      <c r="BX69" s="54">
        <v>62654</v>
      </c>
      <c r="BY69" s="54">
        <v>14136</v>
      </c>
      <c r="BZ69" s="54">
        <v>19093</v>
      </c>
      <c r="CA69" s="54">
        <v>12924</v>
      </c>
      <c r="CB69" s="54">
        <v>27383</v>
      </c>
      <c r="CC69" s="54">
        <v>136190</v>
      </c>
      <c r="CD69" s="54">
        <v>0</v>
      </c>
      <c r="CE69" s="54">
        <v>0</v>
      </c>
      <c r="CF69" s="54">
        <v>0</v>
      </c>
      <c r="CG69" s="54">
        <v>0</v>
      </c>
      <c r="CH69" s="52">
        <v>0</v>
      </c>
      <c r="CI69" s="54">
        <v>0</v>
      </c>
      <c r="CJ69" s="54">
        <v>0</v>
      </c>
      <c r="CK69" s="54">
        <v>0</v>
      </c>
      <c r="CL69" s="54">
        <v>0</v>
      </c>
      <c r="CM69" s="54">
        <v>0</v>
      </c>
      <c r="CN69" s="52">
        <v>0</v>
      </c>
      <c r="CO69" s="54">
        <v>0</v>
      </c>
      <c r="CP69" s="54">
        <v>0</v>
      </c>
      <c r="CQ69" s="54">
        <v>0</v>
      </c>
      <c r="CR69" s="54">
        <v>0</v>
      </c>
      <c r="CS69" s="54">
        <v>0</v>
      </c>
      <c r="CT69" s="54">
        <v>0</v>
      </c>
      <c r="CU69" s="54">
        <v>0</v>
      </c>
      <c r="CV69" s="54">
        <v>3473210</v>
      </c>
      <c r="CW69" s="54">
        <v>3615320</v>
      </c>
      <c r="CX69" s="54">
        <v>0</v>
      </c>
      <c r="CY69" s="54">
        <v>0</v>
      </c>
      <c r="CZ69" s="52">
        <v>17003009</v>
      </c>
      <c r="DA69" s="54">
        <v>24091539</v>
      </c>
      <c r="DB69" s="54">
        <v>0</v>
      </c>
      <c r="DC69" s="54">
        <v>0</v>
      </c>
      <c r="DD69" s="54">
        <v>0</v>
      </c>
      <c r="DE69" s="54">
        <v>0</v>
      </c>
      <c r="DF69" s="52">
        <v>0</v>
      </c>
      <c r="DG69" s="54">
        <v>0</v>
      </c>
      <c r="DH69" s="54">
        <v>423378</v>
      </c>
      <c r="DI69" s="54">
        <v>66312</v>
      </c>
      <c r="DJ69" s="54">
        <v>26691</v>
      </c>
      <c r="DK69" s="54">
        <v>2971</v>
      </c>
      <c r="DL69" s="52">
        <v>1792009</v>
      </c>
      <c r="DM69" s="54">
        <v>2311361</v>
      </c>
      <c r="DN69" s="54">
        <v>0</v>
      </c>
      <c r="DO69" s="54">
        <v>0</v>
      </c>
      <c r="DP69" s="54">
        <v>0</v>
      </c>
      <c r="DQ69" s="54">
        <v>0</v>
      </c>
      <c r="DR69" s="54">
        <v>5349136</v>
      </c>
      <c r="DS69" s="54">
        <v>5349136</v>
      </c>
      <c r="DT69" s="54">
        <v>0</v>
      </c>
      <c r="DU69" s="54">
        <v>0</v>
      </c>
      <c r="DV69" s="54">
        <v>1425</v>
      </c>
      <c r="DW69" s="54">
        <v>63198</v>
      </c>
      <c r="DX69" s="54">
        <v>272362</v>
      </c>
      <c r="DY69" s="54">
        <v>336985</v>
      </c>
      <c r="DZ69" s="54">
        <v>235423</v>
      </c>
      <c r="EA69" s="54">
        <v>77979</v>
      </c>
      <c r="EB69" s="54">
        <v>77516</v>
      </c>
      <c r="EC69" s="54">
        <v>84975</v>
      </c>
      <c r="ED69" s="54">
        <v>1944686</v>
      </c>
      <c r="EE69" s="54">
        <v>2420579</v>
      </c>
      <c r="EF69" s="54">
        <v>407046</v>
      </c>
      <c r="EG69" s="54">
        <v>0</v>
      </c>
      <c r="EH69" s="54">
        <v>200</v>
      </c>
      <c r="EI69" s="54">
        <v>600</v>
      </c>
      <c r="EJ69" s="54">
        <v>1421886</v>
      </c>
      <c r="EK69" s="54">
        <v>1829732</v>
      </c>
      <c r="EL69" s="54">
        <v>18422067</v>
      </c>
      <c r="EM69" s="54">
        <v>9410325</v>
      </c>
      <c r="EN69" s="54">
        <v>918771</v>
      </c>
      <c r="EO69" s="54">
        <v>4775307</v>
      </c>
      <c r="EP69" s="54">
        <v>32676023</v>
      </c>
      <c r="EQ69" s="54">
        <v>66202493</v>
      </c>
      <c r="ER69" s="54">
        <v>3609752</v>
      </c>
      <c r="ES69" s="54">
        <v>372070</v>
      </c>
      <c r="ET69" s="54">
        <v>450792</v>
      </c>
      <c r="EU69" s="54">
        <v>4822449</v>
      </c>
      <c r="EV69" s="54">
        <v>107602</v>
      </c>
      <c r="EW69" s="54">
        <v>9362665</v>
      </c>
      <c r="EX69" s="54">
        <v>940000</v>
      </c>
      <c r="EY69" s="54">
        <v>575353</v>
      </c>
      <c r="EZ69" s="54">
        <v>104142</v>
      </c>
      <c r="FA69" s="54">
        <v>37610</v>
      </c>
      <c r="FB69" s="54">
        <v>0</v>
      </c>
      <c r="FC69" s="54">
        <v>1657105</v>
      </c>
      <c r="FD69" s="54">
        <v>2910985</v>
      </c>
      <c r="FE69" s="54">
        <v>2441376</v>
      </c>
      <c r="FF69" s="54">
        <v>842302</v>
      </c>
      <c r="FG69" s="54">
        <v>2742427</v>
      </c>
      <c r="FH69" s="54">
        <v>0</v>
      </c>
      <c r="FI69" s="54">
        <v>8937090</v>
      </c>
      <c r="FJ69" s="54">
        <v>62654</v>
      </c>
      <c r="FK69" s="54">
        <v>14136</v>
      </c>
      <c r="FL69" s="54">
        <v>19093</v>
      </c>
      <c r="FM69" s="54">
        <v>12924</v>
      </c>
      <c r="FN69" s="54">
        <v>0</v>
      </c>
      <c r="FO69" s="54">
        <v>108807</v>
      </c>
      <c r="FP69" s="54">
        <v>576031</v>
      </c>
      <c r="FQ69" s="54">
        <v>145332</v>
      </c>
      <c r="FR69" s="54">
        <v>165051</v>
      </c>
      <c r="FS69" s="52">
        <v>361006</v>
      </c>
      <c r="FT69" s="88">
        <v>10811587</v>
      </c>
      <c r="FU69" s="64">
        <v>12059007</v>
      </c>
      <c r="FV69" s="54">
        <v>0</v>
      </c>
      <c r="FW69" s="54">
        <v>0</v>
      </c>
      <c r="FX69" s="54">
        <v>0</v>
      </c>
      <c r="FY69" s="54">
        <v>0</v>
      </c>
      <c r="FZ69" s="54">
        <v>27383</v>
      </c>
      <c r="GA69" s="54">
        <v>27383</v>
      </c>
      <c r="GB69" s="54">
        <v>0</v>
      </c>
      <c r="GC69" s="54">
        <v>0</v>
      </c>
      <c r="GD69" s="54">
        <v>0</v>
      </c>
      <c r="GE69" s="54">
        <v>3508</v>
      </c>
      <c r="GF69" s="54">
        <v>0</v>
      </c>
      <c r="GG69" s="54">
        <v>3508</v>
      </c>
      <c r="GH69" s="54">
        <v>428805</v>
      </c>
      <c r="GI69" s="54">
        <v>138018</v>
      </c>
      <c r="GJ69" s="54">
        <v>101766</v>
      </c>
      <c r="GK69" s="54">
        <v>285954</v>
      </c>
      <c r="GL69" s="54">
        <v>0</v>
      </c>
      <c r="GM69" s="54">
        <v>954543</v>
      </c>
      <c r="GN69" s="54">
        <v>1921566</v>
      </c>
      <c r="GO69" s="54">
        <v>655416</v>
      </c>
      <c r="GP69" s="54">
        <v>514697</v>
      </c>
      <c r="GQ69" s="54">
        <v>1750997</v>
      </c>
      <c r="GR69" s="54">
        <v>5245</v>
      </c>
      <c r="GS69" s="54">
        <v>4847921</v>
      </c>
      <c r="GT69" s="54">
        <v>253402</v>
      </c>
      <c r="GU69" s="54">
        <v>66190</v>
      </c>
      <c r="GV69" s="54">
        <v>65731</v>
      </c>
      <c r="GW69" s="54">
        <v>764113</v>
      </c>
      <c r="GX69" s="54">
        <v>101135</v>
      </c>
      <c r="GY69" s="54">
        <v>1250571</v>
      </c>
      <c r="GZ69" s="54">
        <v>1052713</v>
      </c>
      <c r="HA69" s="54">
        <v>500958</v>
      </c>
      <c r="HB69" s="54">
        <v>428495</v>
      </c>
      <c r="HC69" s="54">
        <v>227681</v>
      </c>
      <c r="HD69" s="54">
        <v>45296</v>
      </c>
      <c r="HE69" s="54">
        <v>2255143</v>
      </c>
      <c r="HF69" s="54">
        <v>180927</v>
      </c>
      <c r="HG69" s="54">
        <v>50126</v>
      </c>
      <c r="HH69" s="54">
        <v>51503</v>
      </c>
      <c r="HI69" s="54">
        <v>52623</v>
      </c>
      <c r="HJ69" s="54">
        <v>2809934</v>
      </c>
      <c r="HK69" s="54">
        <v>3145113</v>
      </c>
      <c r="HL69" s="54">
        <v>0</v>
      </c>
      <c r="HM69" s="54">
        <v>0</v>
      </c>
      <c r="HN69" s="54">
        <v>0</v>
      </c>
      <c r="HO69" s="54">
        <v>0</v>
      </c>
      <c r="HP69" s="54">
        <v>9113</v>
      </c>
      <c r="HQ69" s="54">
        <v>9113</v>
      </c>
      <c r="HR69" s="54">
        <v>81343</v>
      </c>
      <c r="HS69" s="54">
        <v>28199</v>
      </c>
      <c r="HT69" s="54">
        <v>27812</v>
      </c>
      <c r="HU69" s="54">
        <v>33578</v>
      </c>
      <c r="HV69" s="54">
        <v>10679890</v>
      </c>
      <c r="HW69" s="54">
        <v>10850822</v>
      </c>
      <c r="HX69" s="54">
        <v>0</v>
      </c>
      <c r="HY69" s="54">
        <v>0</v>
      </c>
      <c r="HZ69" s="54">
        <v>0</v>
      </c>
      <c r="IA69" s="54">
        <v>0</v>
      </c>
      <c r="IB69" s="54">
        <v>70084</v>
      </c>
      <c r="IC69" s="54">
        <v>70084</v>
      </c>
      <c r="ID69" s="54">
        <v>0</v>
      </c>
      <c r="IE69" s="54">
        <v>0</v>
      </c>
      <c r="IF69" s="54">
        <v>0</v>
      </c>
      <c r="IG69" s="54">
        <v>0</v>
      </c>
      <c r="IH69" s="54">
        <v>0</v>
      </c>
      <c r="II69" s="54">
        <v>0</v>
      </c>
      <c r="IJ69" s="54">
        <v>24863</v>
      </c>
      <c r="IK69" s="54">
        <v>2855</v>
      </c>
      <c r="IL69" s="54">
        <v>2790</v>
      </c>
      <c r="IM69" s="54">
        <v>18788</v>
      </c>
      <c r="IN69" s="54">
        <v>949384</v>
      </c>
      <c r="IO69" s="54">
        <v>998680</v>
      </c>
      <c r="IP69" s="54">
        <v>980</v>
      </c>
      <c r="IQ69" s="54">
        <v>875</v>
      </c>
      <c r="IR69" s="54">
        <v>725</v>
      </c>
      <c r="IS69" s="54">
        <v>5378</v>
      </c>
      <c r="IT69" s="54">
        <v>98308</v>
      </c>
      <c r="IU69" s="54">
        <v>106266</v>
      </c>
      <c r="IV69" s="54">
        <v>439375</v>
      </c>
      <c r="IW69" s="54">
        <v>227597</v>
      </c>
      <c r="IX69" s="54">
        <v>103858</v>
      </c>
      <c r="IY69" s="54">
        <v>290279</v>
      </c>
      <c r="IZ69" s="54">
        <v>1724453</v>
      </c>
      <c r="JA69" s="54">
        <v>2785562</v>
      </c>
      <c r="JB69" s="54">
        <v>12483396</v>
      </c>
      <c r="JC69" s="54">
        <v>5218501</v>
      </c>
      <c r="JD69" s="54">
        <v>2878757</v>
      </c>
      <c r="JE69" s="54">
        <v>11409315</v>
      </c>
      <c r="JF69" s="54">
        <v>27439414</v>
      </c>
      <c r="JG69" s="54">
        <v>59429383</v>
      </c>
      <c r="JH69" s="54">
        <v>0</v>
      </c>
      <c r="JI69" s="54">
        <v>0</v>
      </c>
      <c r="JJ69" s="54">
        <v>0</v>
      </c>
      <c r="JK69" s="54">
        <v>0</v>
      </c>
      <c r="JL69" s="54">
        <v>222154</v>
      </c>
      <c r="JM69" s="54">
        <v>222154</v>
      </c>
      <c r="JN69" s="54">
        <v>12483396</v>
      </c>
      <c r="JO69" s="54">
        <v>5218501</v>
      </c>
      <c r="JP69" s="54">
        <v>2878757</v>
      </c>
      <c r="JQ69" s="54">
        <v>11409315</v>
      </c>
      <c r="JR69" s="54">
        <v>27661568</v>
      </c>
      <c r="JS69" s="54">
        <v>59651537</v>
      </c>
      <c r="JU69" s="5">
        <f t="shared" si="80"/>
        <v>15875167</v>
      </c>
      <c r="JV69" s="26">
        <f t="shared" si="81"/>
        <v>0</v>
      </c>
      <c r="JW69" s="5">
        <f t="shared" si="82"/>
        <v>0</v>
      </c>
      <c r="JX69" s="26">
        <f t="shared" si="83"/>
        <v>0</v>
      </c>
      <c r="JY69" s="5">
        <f t="shared" si="84"/>
        <v>450000</v>
      </c>
      <c r="JZ69" s="26">
        <f t="shared" si="85"/>
        <v>0</v>
      </c>
      <c r="KA69" s="5">
        <f t="shared" si="86"/>
        <v>13401804</v>
      </c>
      <c r="KB69" s="26">
        <f t="shared" si="87"/>
        <v>0</v>
      </c>
      <c r="KC69" s="5">
        <f t="shared" si="88"/>
        <v>136190</v>
      </c>
      <c r="KD69" s="26">
        <f t="shared" si="89"/>
        <v>0</v>
      </c>
      <c r="KE69" s="5">
        <f t="shared" si="90"/>
        <v>0</v>
      </c>
      <c r="KF69" s="26">
        <f t="shared" si="91"/>
        <v>0</v>
      </c>
      <c r="KG69" s="5">
        <f t="shared" si="92"/>
        <v>0</v>
      </c>
      <c r="KH69" s="26">
        <f t="shared" si="93"/>
        <v>0</v>
      </c>
      <c r="KI69" s="5">
        <f t="shared" si="94"/>
        <v>0</v>
      </c>
      <c r="KJ69" s="26">
        <f t="shared" si="95"/>
        <v>0</v>
      </c>
      <c r="KK69" s="5">
        <f t="shared" si="96"/>
        <v>24091539</v>
      </c>
      <c r="KL69" s="26">
        <f t="shared" si="97"/>
        <v>0</v>
      </c>
      <c r="KM69" s="5">
        <f t="shared" si="98"/>
        <v>0</v>
      </c>
      <c r="KN69" s="26">
        <f t="shared" si="99"/>
        <v>0</v>
      </c>
      <c r="KO69" s="5">
        <f t="shared" si="100"/>
        <v>2311361</v>
      </c>
      <c r="KP69" s="26">
        <f t="shared" si="101"/>
        <v>0</v>
      </c>
      <c r="KQ69" s="5">
        <f t="shared" si="102"/>
        <v>5349136</v>
      </c>
      <c r="KR69" s="26">
        <f t="shared" si="103"/>
        <v>0</v>
      </c>
      <c r="KS69" s="5">
        <f t="shared" si="104"/>
        <v>336985</v>
      </c>
      <c r="KT69" s="26">
        <f t="shared" si="105"/>
        <v>0</v>
      </c>
      <c r="KU69" s="5">
        <f t="shared" si="106"/>
        <v>2420579</v>
      </c>
      <c r="KV69" s="26">
        <f t="shared" si="107"/>
        <v>0</v>
      </c>
      <c r="KW69" s="5">
        <f t="shared" si="108"/>
        <v>1829732</v>
      </c>
      <c r="KX69" s="26">
        <f t="shared" si="109"/>
        <v>0</v>
      </c>
      <c r="KY69" s="5">
        <f t="shared" si="110"/>
        <v>66202493</v>
      </c>
      <c r="KZ69" s="26">
        <f t="shared" si="111"/>
        <v>0</v>
      </c>
      <c r="LA69" s="5">
        <f t="shared" si="112"/>
        <v>9362665</v>
      </c>
      <c r="LB69" s="26">
        <f t="shared" si="113"/>
        <v>0</v>
      </c>
      <c r="LC69" s="5">
        <f t="shared" si="114"/>
        <v>1657105</v>
      </c>
      <c r="LD69" s="26">
        <f t="shared" si="115"/>
        <v>0</v>
      </c>
      <c r="LE69" s="5">
        <f t="shared" si="116"/>
        <v>8937090</v>
      </c>
      <c r="LF69" s="26">
        <f t="shared" si="117"/>
        <v>0</v>
      </c>
      <c r="LG69" s="5">
        <f t="shared" si="118"/>
        <v>108807</v>
      </c>
      <c r="LH69" s="26">
        <f t="shared" si="119"/>
        <v>0</v>
      </c>
      <c r="LI69" s="5">
        <f t="shared" si="120"/>
        <v>12059007</v>
      </c>
      <c r="LJ69" s="26">
        <f t="shared" si="121"/>
        <v>0</v>
      </c>
      <c r="LK69" s="5">
        <f t="shared" si="122"/>
        <v>27383</v>
      </c>
      <c r="LL69" s="26">
        <f t="shared" si="123"/>
        <v>0</v>
      </c>
      <c r="LM69" s="5">
        <f t="shared" si="124"/>
        <v>3508</v>
      </c>
      <c r="LN69" s="26">
        <f t="shared" si="125"/>
        <v>0</v>
      </c>
      <c r="LO69" s="5">
        <f t="shared" si="126"/>
        <v>954543</v>
      </c>
      <c r="LP69" s="26">
        <f t="shared" si="127"/>
        <v>0</v>
      </c>
      <c r="LQ69" s="5">
        <f t="shared" si="128"/>
        <v>4847921</v>
      </c>
      <c r="LR69" s="26">
        <f t="shared" si="129"/>
        <v>0</v>
      </c>
      <c r="LS69" s="5">
        <f t="shared" si="130"/>
        <v>1250571</v>
      </c>
      <c r="LT69" s="26">
        <f t="shared" si="131"/>
        <v>0</v>
      </c>
      <c r="LU69" s="5">
        <f t="shared" si="132"/>
        <v>2255143</v>
      </c>
      <c r="LV69" s="26">
        <f t="shared" si="133"/>
        <v>0</v>
      </c>
      <c r="LW69" s="5">
        <f t="shared" si="134"/>
        <v>3145113</v>
      </c>
      <c r="LX69" s="26">
        <f t="shared" si="135"/>
        <v>0</v>
      </c>
      <c r="LY69" s="5">
        <f t="shared" si="136"/>
        <v>9113</v>
      </c>
      <c r="LZ69" s="26">
        <f t="shared" si="137"/>
        <v>0</v>
      </c>
      <c r="MA69" s="5">
        <f t="shared" si="138"/>
        <v>10850822</v>
      </c>
      <c r="MB69" s="26">
        <f t="shared" si="139"/>
        <v>0</v>
      </c>
      <c r="MC69" s="5">
        <f t="shared" si="140"/>
        <v>70084</v>
      </c>
      <c r="MD69" s="26">
        <f t="shared" si="141"/>
        <v>0</v>
      </c>
      <c r="ME69" s="5">
        <f t="shared" si="142"/>
        <v>0</v>
      </c>
      <c r="MF69" s="26">
        <f t="shared" si="143"/>
        <v>0</v>
      </c>
      <c r="MG69" s="5">
        <f t="shared" si="144"/>
        <v>998680</v>
      </c>
      <c r="MH69" s="26">
        <f t="shared" si="145"/>
        <v>0</v>
      </c>
      <c r="MI69" s="5">
        <f t="shared" si="146"/>
        <v>106266</v>
      </c>
      <c r="MJ69" s="26">
        <f t="shared" si="147"/>
        <v>0</v>
      </c>
      <c r="MK69" s="5">
        <f t="shared" si="148"/>
        <v>2785562</v>
      </c>
      <c r="ML69" s="26">
        <f t="shared" si="149"/>
        <v>0</v>
      </c>
      <c r="MM69" s="5">
        <f t="shared" si="150"/>
        <v>59429383</v>
      </c>
      <c r="MN69" s="26">
        <f t="shared" si="151"/>
        <v>0</v>
      </c>
      <c r="MO69" s="5">
        <f t="shared" si="152"/>
        <v>222154</v>
      </c>
      <c r="MP69" s="26">
        <f t="shared" si="153"/>
        <v>0</v>
      </c>
      <c r="MQ69" s="5">
        <f t="shared" si="154"/>
        <v>59651537</v>
      </c>
      <c r="MR69" s="26">
        <f t="shared" si="155"/>
        <v>0</v>
      </c>
      <c r="MT69" s="5">
        <f t="shared" si="158"/>
        <v>0</v>
      </c>
      <c r="MV69" s="4">
        <f t="shared" si="159"/>
        <v>0</v>
      </c>
      <c r="NG69" s="15"/>
    </row>
    <row r="70" spans="1:371" x14ac:dyDescent="0.15">
      <c r="A70" s="157" t="s">
        <v>347</v>
      </c>
      <c r="B70" s="25" t="s">
        <v>458</v>
      </c>
      <c r="C70" s="109">
        <v>199193</v>
      </c>
      <c r="D70" s="105">
        <v>2011</v>
      </c>
      <c r="E70" s="106">
        <v>1</v>
      </c>
      <c r="F70" s="106">
        <v>3</v>
      </c>
      <c r="G70" s="107">
        <v>15129</v>
      </c>
      <c r="H70" s="107">
        <v>14258</v>
      </c>
      <c r="I70" s="108">
        <v>1766218000</v>
      </c>
      <c r="J70" s="108"/>
      <c r="K70" s="108">
        <v>6089000</v>
      </c>
      <c r="L70" s="108"/>
      <c r="M70" s="108">
        <v>83321000</v>
      </c>
      <c r="N70" s="108"/>
      <c r="O70" s="108">
        <v>97655000</v>
      </c>
      <c r="P70" s="108"/>
      <c r="Q70" s="108">
        <v>1125284000</v>
      </c>
      <c r="R70" s="108"/>
      <c r="S70" s="112">
        <v>548218000</v>
      </c>
      <c r="T70" s="112"/>
      <c r="U70" s="112">
        <v>24366</v>
      </c>
      <c r="V70" s="112"/>
      <c r="W70" s="112">
        <v>36122</v>
      </c>
      <c r="X70" s="112"/>
      <c r="Y70" s="112">
        <v>25250</v>
      </c>
      <c r="Z70" s="112"/>
      <c r="AA70" s="112">
        <v>37006</v>
      </c>
      <c r="AB70" s="108"/>
      <c r="AC70" s="129">
        <v>10</v>
      </c>
      <c r="AD70" s="129">
        <v>14</v>
      </c>
      <c r="AE70" s="129">
        <v>0</v>
      </c>
      <c r="AF70" s="26">
        <v>5101575</v>
      </c>
      <c r="AG70" s="26">
        <v>4456577</v>
      </c>
      <c r="AH70" s="26">
        <v>495170</v>
      </c>
      <c r="AI70" s="26">
        <v>223673</v>
      </c>
      <c r="AJ70" s="26">
        <v>502817.87</v>
      </c>
      <c r="AK70" s="36">
        <v>7.5</v>
      </c>
      <c r="AL70" s="26">
        <v>471391.75</v>
      </c>
      <c r="AM70" s="36">
        <v>8</v>
      </c>
      <c r="AN70" s="26">
        <v>170176</v>
      </c>
      <c r="AO70" s="36">
        <v>11</v>
      </c>
      <c r="AP70" s="26">
        <v>155994.67000000001</v>
      </c>
      <c r="AQ70" s="36">
        <v>12</v>
      </c>
      <c r="AR70" s="26">
        <v>165503.20000000001</v>
      </c>
      <c r="AS70" s="36">
        <v>23.75</v>
      </c>
      <c r="AT70" s="26">
        <v>151180.81</v>
      </c>
      <c r="AU70" s="36">
        <v>26</v>
      </c>
      <c r="AV70" s="26">
        <v>165503.20000000001</v>
      </c>
      <c r="AW70" s="36">
        <v>23.75</v>
      </c>
      <c r="AX70" s="26">
        <v>151180.81</v>
      </c>
      <c r="AY70" s="36">
        <v>26</v>
      </c>
      <c r="AZ70" s="54">
        <v>7695176</v>
      </c>
      <c r="BA70" s="54">
        <v>1177299</v>
      </c>
      <c r="BB70" s="54">
        <v>352836</v>
      </c>
      <c r="BC70" s="54">
        <v>104676</v>
      </c>
      <c r="BD70" s="54">
        <v>0</v>
      </c>
      <c r="BE70" s="54">
        <v>9329987</v>
      </c>
      <c r="BF70" s="54">
        <v>7695176</v>
      </c>
      <c r="BG70" s="54">
        <v>1177299</v>
      </c>
      <c r="BH70" s="54">
        <v>352836</v>
      </c>
      <c r="BI70" s="54">
        <v>104676</v>
      </c>
      <c r="BJ70" s="54">
        <v>0</v>
      </c>
      <c r="BK70" s="54">
        <v>9329987</v>
      </c>
      <c r="BL70" s="54">
        <v>3310659</v>
      </c>
      <c r="BM70" s="54">
        <v>274419</v>
      </c>
      <c r="BN70" s="54">
        <v>0</v>
      </c>
      <c r="BO70" s="54">
        <v>0</v>
      </c>
      <c r="BP70" s="54">
        <v>0</v>
      </c>
      <c r="BQ70" s="54">
        <v>3585078</v>
      </c>
      <c r="BR70" s="54">
        <v>3310659</v>
      </c>
      <c r="BS70" s="54">
        <v>274419</v>
      </c>
      <c r="BT70" s="54">
        <v>0</v>
      </c>
      <c r="BU70" s="54">
        <v>0</v>
      </c>
      <c r="BV70" s="54">
        <v>0</v>
      </c>
      <c r="BW70" s="54">
        <v>3585078</v>
      </c>
      <c r="BX70" s="54">
        <v>3310659</v>
      </c>
      <c r="BY70" s="54">
        <v>274419</v>
      </c>
      <c r="BZ70" s="54">
        <v>0</v>
      </c>
      <c r="CA70" s="54">
        <v>0</v>
      </c>
      <c r="CB70" s="54">
        <v>0</v>
      </c>
      <c r="CC70" s="54">
        <v>3585078</v>
      </c>
      <c r="CD70" s="54">
        <v>3310659</v>
      </c>
      <c r="CE70" s="54">
        <v>274419</v>
      </c>
      <c r="CF70" s="54">
        <v>0</v>
      </c>
      <c r="CG70" s="54">
        <v>0</v>
      </c>
      <c r="CH70" s="54">
        <v>0</v>
      </c>
      <c r="CI70" s="54">
        <v>3585078</v>
      </c>
      <c r="CJ70" s="54">
        <v>1323759</v>
      </c>
      <c r="CK70" s="54">
        <v>0</v>
      </c>
      <c r="CL70" s="54">
        <v>1391331</v>
      </c>
      <c r="CM70" s="54">
        <v>6334536</v>
      </c>
      <c r="CN70" s="54">
        <v>10380322</v>
      </c>
      <c r="CO70" s="54">
        <v>19429948</v>
      </c>
      <c r="CP70" s="54">
        <v>0</v>
      </c>
      <c r="CQ70" s="54">
        <v>0</v>
      </c>
      <c r="CR70" s="54">
        <v>0</v>
      </c>
      <c r="CS70" s="54">
        <v>0</v>
      </c>
      <c r="CT70" s="54">
        <v>0</v>
      </c>
      <c r="CU70" s="54">
        <v>0</v>
      </c>
      <c r="CV70" s="54">
        <v>3800000</v>
      </c>
      <c r="CW70" s="54">
        <v>2329691</v>
      </c>
      <c r="CX70" s="54">
        <v>225000</v>
      </c>
      <c r="CY70" s="54">
        <v>0</v>
      </c>
      <c r="CZ70" s="54">
        <v>0</v>
      </c>
      <c r="DA70" s="54">
        <v>6354691</v>
      </c>
      <c r="DB70" s="54">
        <v>0</v>
      </c>
      <c r="DC70" s="54">
        <v>0</v>
      </c>
      <c r="DD70" s="54">
        <v>0</v>
      </c>
      <c r="DE70" s="54">
        <v>0</v>
      </c>
      <c r="DF70" s="54">
        <v>0</v>
      </c>
      <c r="DG70" s="54">
        <v>0</v>
      </c>
      <c r="DH70" s="54">
        <v>991510</v>
      </c>
      <c r="DI70" s="54">
        <v>181104</v>
      </c>
      <c r="DJ70" s="54">
        <v>181104</v>
      </c>
      <c r="DK70" s="54">
        <v>0</v>
      </c>
      <c r="DL70" s="54">
        <v>0</v>
      </c>
      <c r="DM70" s="54">
        <v>1353718</v>
      </c>
      <c r="DN70" s="54">
        <v>747578</v>
      </c>
      <c r="DO70" s="54">
        <v>160196</v>
      </c>
      <c r="DP70" s="54">
        <v>160195</v>
      </c>
      <c r="DQ70" s="54">
        <v>0</v>
      </c>
      <c r="DR70" s="54">
        <v>0</v>
      </c>
      <c r="DS70" s="54">
        <v>1067969</v>
      </c>
      <c r="DT70" s="54">
        <v>0</v>
      </c>
      <c r="DU70" s="54">
        <v>0</v>
      </c>
      <c r="DV70" s="54">
        <v>0</v>
      </c>
      <c r="DW70" s="54">
        <v>0</v>
      </c>
      <c r="DX70" s="54">
        <v>30204</v>
      </c>
      <c r="DY70" s="54">
        <v>30204</v>
      </c>
      <c r="DZ70" s="54">
        <v>271976</v>
      </c>
      <c r="EA70" s="54">
        <v>88524</v>
      </c>
      <c r="EB70" s="54">
        <v>40683</v>
      </c>
      <c r="EC70" s="54">
        <v>140418</v>
      </c>
      <c r="ED70" s="54">
        <v>46636</v>
      </c>
      <c r="EE70" s="54">
        <v>588237</v>
      </c>
      <c r="EF70" s="54">
        <v>24754</v>
      </c>
      <c r="EG70" s="54">
        <v>15820</v>
      </c>
      <c r="EH70" s="54">
        <v>0</v>
      </c>
      <c r="EI70" s="54">
        <v>37146</v>
      </c>
      <c r="EJ70" s="54">
        <v>503986</v>
      </c>
      <c r="EK70" s="54">
        <v>581706</v>
      </c>
      <c r="EL70" s="54">
        <v>19510550</v>
      </c>
      <c r="EM70" s="54">
        <v>4511216</v>
      </c>
      <c r="EN70" s="54">
        <v>3720644</v>
      </c>
      <c r="EO70" s="54">
        <v>11728146</v>
      </c>
      <c r="EP70" s="54">
        <v>20719544</v>
      </c>
      <c r="EQ70" s="54">
        <v>60190100</v>
      </c>
      <c r="ER70" s="54">
        <v>3168045</v>
      </c>
      <c r="ES70" s="54">
        <v>455709</v>
      </c>
      <c r="ET70" s="54">
        <v>389761</v>
      </c>
      <c r="EU70" s="54">
        <v>5544637</v>
      </c>
      <c r="EV70" s="54">
        <v>0</v>
      </c>
      <c r="EW70" s="54">
        <v>9558152</v>
      </c>
      <c r="EX70" s="54">
        <v>1975000</v>
      </c>
      <c r="EY70" s="54">
        <v>564000</v>
      </c>
      <c r="EZ70" s="54">
        <v>34000</v>
      </c>
      <c r="FA70" s="54">
        <v>5000</v>
      </c>
      <c r="FB70" s="54">
        <v>0</v>
      </c>
      <c r="FC70" s="54">
        <v>2578000</v>
      </c>
      <c r="FD70" s="54">
        <v>5451822</v>
      </c>
      <c r="FE70" s="54">
        <v>1273927</v>
      </c>
      <c r="FF70" s="54">
        <v>1662832</v>
      </c>
      <c r="FG70" s="54">
        <v>2554251</v>
      </c>
      <c r="FH70" s="54">
        <v>0</v>
      </c>
      <c r="FI70" s="54">
        <v>10942832</v>
      </c>
      <c r="FJ70" s="54">
        <v>5451822</v>
      </c>
      <c r="FK70" s="54">
        <v>1273927</v>
      </c>
      <c r="FL70" s="54">
        <v>1662832</v>
      </c>
      <c r="FM70" s="54">
        <v>2554251</v>
      </c>
      <c r="FN70" s="54">
        <v>0</v>
      </c>
      <c r="FO70" s="54">
        <v>10942832</v>
      </c>
      <c r="FP70" s="54">
        <v>1252477</v>
      </c>
      <c r="FQ70" s="54">
        <v>379947</v>
      </c>
      <c r="FR70" s="54">
        <v>490580</v>
      </c>
      <c r="FS70" s="54">
        <v>462388</v>
      </c>
      <c r="FT70" s="54">
        <v>5467140</v>
      </c>
      <c r="FU70" s="54">
        <v>8052532</v>
      </c>
      <c r="FV70" s="54">
        <v>0</v>
      </c>
      <c r="FW70" s="54">
        <v>0</v>
      </c>
      <c r="FX70" s="54">
        <v>0</v>
      </c>
      <c r="FY70" s="54">
        <v>0</v>
      </c>
      <c r="FZ70" s="54">
        <v>47170</v>
      </c>
      <c r="GA70" s="54">
        <v>47170</v>
      </c>
      <c r="GB70" s="54">
        <v>0</v>
      </c>
      <c r="GC70" s="54">
        <v>0</v>
      </c>
      <c r="GD70" s="54">
        <v>0</v>
      </c>
      <c r="GE70" s="54">
        <v>0</v>
      </c>
      <c r="GF70" s="54">
        <v>0</v>
      </c>
      <c r="GG70" s="54">
        <v>0</v>
      </c>
      <c r="GH70" s="54">
        <v>350261</v>
      </c>
      <c r="GI70" s="54">
        <v>97811</v>
      </c>
      <c r="GJ70" s="54">
        <v>98516</v>
      </c>
      <c r="GK70" s="54">
        <v>172255</v>
      </c>
      <c r="GL70" s="54">
        <v>0</v>
      </c>
      <c r="GM70" s="54">
        <v>718843</v>
      </c>
      <c r="GN70" s="54">
        <v>1427605</v>
      </c>
      <c r="GO70" s="54">
        <v>301014</v>
      </c>
      <c r="GP70" s="54">
        <v>334881</v>
      </c>
      <c r="GQ70" s="54">
        <v>1318565</v>
      </c>
      <c r="GR70" s="54">
        <v>0</v>
      </c>
      <c r="GS70" s="54">
        <v>3382065</v>
      </c>
      <c r="GT70" s="54">
        <v>801660</v>
      </c>
      <c r="GU70" s="54">
        <v>92352</v>
      </c>
      <c r="GV70" s="54">
        <v>31033</v>
      </c>
      <c r="GW70" s="54">
        <v>412264</v>
      </c>
      <c r="GX70" s="54">
        <v>41984</v>
      </c>
      <c r="GY70" s="54">
        <v>1379293</v>
      </c>
      <c r="GZ70" s="54">
        <v>2687522</v>
      </c>
      <c r="HA70" s="54">
        <v>330909</v>
      </c>
      <c r="HB70" s="54">
        <v>216881</v>
      </c>
      <c r="HC70" s="54">
        <v>114813</v>
      </c>
      <c r="HD70" s="54">
        <v>0</v>
      </c>
      <c r="HE70" s="54">
        <v>3350125</v>
      </c>
      <c r="HF70" s="54">
        <v>2687522</v>
      </c>
      <c r="HG70" s="54">
        <v>330909</v>
      </c>
      <c r="HH70" s="54">
        <v>216881</v>
      </c>
      <c r="HI70" s="54">
        <v>114813</v>
      </c>
      <c r="HJ70" s="54">
        <v>0</v>
      </c>
      <c r="HK70" s="54">
        <v>3350125</v>
      </c>
      <c r="HL70" s="54">
        <v>0</v>
      </c>
      <c r="HM70" s="54">
        <v>0</v>
      </c>
      <c r="HN70" s="54">
        <v>0</v>
      </c>
      <c r="HO70" s="54">
        <v>0</v>
      </c>
      <c r="HP70" s="54">
        <v>30204</v>
      </c>
      <c r="HQ70" s="54">
        <v>30204</v>
      </c>
      <c r="HR70" s="54">
        <v>160595</v>
      </c>
      <c r="HS70" s="54">
        <v>120000</v>
      </c>
      <c r="HT70" s="54">
        <v>163771</v>
      </c>
      <c r="HU70" s="54">
        <v>62709</v>
      </c>
      <c r="HV70" s="54">
        <v>10522810</v>
      </c>
      <c r="HW70" s="54">
        <v>11029885</v>
      </c>
      <c r="HX70" s="54">
        <v>0</v>
      </c>
      <c r="HY70" s="54">
        <v>0</v>
      </c>
      <c r="HZ70" s="54">
        <v>0</v>
      </c>
      <c r="IA70" s="54">
        <v>0</v>
      </c>
      <c r="IB70" s="54">
        <v>554674</v>
      </c>
      <c r="IC70" s="54">
        <v>554674</v>
      </c>
      <c r="ID70" s="54">
        <v>0</v>
      </c>
      <c r="IE70" s="54">
        <v>0</v>
      </c>
      <c r="IF70" s="54">
        <v>0</v>
      </c>
      <c r="IG70" s="54">
        <v>0</v>
      </c>
      <c r="IH70" s="54">
        <v>0</v>
      </c>
      <c r="II70" s="54">
        <v>0</v>
      </c>
      <c r="IJ70" s="54">
        <v>0</v>
      </c>
      <c r="IK70" s="54">
        <v>0</v>
      </c>
      <c r="IL70" s="54">
        <v>0</v>
      </c>
      <c r="IM70" s="54">
        <v>0</v>
      </c>
      <c r="IN70" s="54">
        <v>1906788</v>
      </c>
      <c r="IO70" s="54">
        <v>1906788</v>
      </c>
      <c r="IP70" s="54">
        <v>1675</v>
      </c>
      <c r="IQ70" s="54">
        <v>1590</v>
      </c>
      <c r="IR70" s="54">
        <v>800</v>
      </c>
      <c r="IS70" s="54">
        <v>10516</v>
      </c>
      <c r="IT70" s="54">
        <v>14297</v>
      </c>
      <c r="IU70" s="54">
        <v>28878</v>
      </c>
      <c r="IV70" s="54">
        <v>1911766</v>
      </c>
      <c r="IW70" s="54">
        <v>157076</v>
      </c>
      <c r="IX70" s="54">
        <v>126887</v>
      </c>
      <c r="IY70" s="54">
        <v>262351</v>
      </c>
      <c r="IZ70" s="54">
        <v>1280811</v>
      </c>
      <c r="JA70" s="54">
        <v>3738891</v>
      </c>
      <c r="JB70" s="54">
        <v>19510550</v>
      </c>
      <c r="JC70" s="54">
        <v>3828994</v>
      </c>
      <c r="JD70" s="54">
        <v>3720644</v>
      </c>
      <c r="JE70" s="54">
        <v>11728146</v>
      </c>
      <c r="JF70" s="54">
        <v>21401766</v>
      </c>
      <c r="JG70" s="54">
        <v>60190100</v>
      </c>
      <c r="JH70" s="54">
        <v>0</v>
      </c>
      <c r="JI70" s="54">
        <v>0</v>
      </c>
      <c r="JJ70" s="54">
        <v>0</v>
      </c>
      <c r="JK70" s="54">
        <v>0</v>
      </c>
      <c r="JL70" s="54">
        <v>0</v>
      </c>
      <c r="JM70" s="54">
        <v>0</v>
      </c>
      <c r="JN70" s="54">
        <v>19510550</v>
      </c>
      <c r="JO70" s="54">
        <v>3828994</v>
      </c>
      <c r="JP70" s="54">
        <v>3720644</v>
      </c>
      <c r="JQ70" s="54">
        <v>11728146</v>
      </c>
      <c r="JR70" s="54">
        <v>21401766</v>
      </c>
      <c r="JS70" s="54">
        <v>60190100</v>
      </c>
      <c r="JU70" s="5">
        <f t="shared" si="80"/>
        <v>9329987</v>
      </c>
      <c r="JV70" s="26">
        <f t="shared" si="81"/>
        <v>0</v>
      </c>
      <c r="JW70" s="5">
        <f t="shared" si="82"/>
        <v>9329987</v>
      </c>
      <c r="JX70" s="26">
        <f t="shared" si="83"/>
        <v>0</v>
      </c>
      <c r="JY70" s="5">
        <f t="shared" si="84"/>
        <v>3585078</v>
      </c>
      <c r="JZ70" s="26">
        <f t="shared" si="85"/>
        <v>0</v>
      </c>
      <c r="KA70" s="5">
        <f t="shared" si="86"/>
        <v>3585078</v>
      </c>
      <c r="KB70" s="26">
        <f t="shared" si="87"/>
        <v>0</v>
      </c>
      <c r="KC70" s="5">
        <f t="shared" si="88"/>
        <v>3585078</v>
      </c>
      <c r="KD70" s="26">
        <f t="shared" si="89"/>
        <v>0</v>
      </c>
      <c r="KE70" s="5">
        <f t="shared" si="90"/>
        <v>3585078</v>
      </c>
      <c r="KF70" s="26">
        <f t="shared" si="91"/>
        <v>0</v>
      </c>
      <c r="KG70" s="5">
        <f t="shared" si="92"/>
        <v>19429948</v>
      </c>
      <c r="KH70" s="26">
        <f t="shared" si="93"/>
        <v>0</v>
      </c>
      <c r="KI70" s="5">
        <f t="shared" si="94"/>
        <v>0</v>
      </c>
      <c r="KJ70" s="26">
        <f t="shared" si="95"/>
        <v>0</v>
      </c>
      <c r="KK70" s="5">
        <f t="shared" si="96"/>
        <v>6354691</v>
      </c>
      <c r="KL70" s="26">
        <f t="shared" si="97"/>
        <v>0</v>
      </c>
      <c r="KM70" s="5">
        <f t="shared" si="98"/>
        <v>0</v>
      </c>
      <c r="KN70" s="26">
        <f t="shared" si="99"/>
        <v>0</v>
      </c>
      <c r="KO70" s="5">
        <f t="shared" si="100"/>
        <v>1353718</v>
      </c>
      <c r="KP70" s="26">
        <f t="shared" si="101"/>
        <v>0</v>
      </c>
      <c r="KQ70" s="5">
        <f t="shared" si="102"/>
        <v>1067969</v>
      </c>
      <c r="KR70" s="26">
        <f t="shared" si="103"/>
        <v>0</v>
      </c>
      <c r="KS70" s="5">
        <f t="shared" si="104"/>
        <v>30204</v>
      </c>
      <c r="KT70" s="26">
        <f t="shared" si="105"/>
        <v>0</v>
      </c>
      <c r="KU70" s="5">
        <f t="shared" si="106"/>
        <v>588237</v>
      </c>
      <c r="KV70" s="26">
        <f t="shared" si="107"/>
        <v>0</v>
      </c>
      <c r="KW70" s="5">
        <f t="shared" si="108"/>
        <v>581706</v>
      </c>
      <c r="KX70" s="26">
        <f t="shared" si="109"/>
        <v>0</v>
      </c>
      <c r="KY70" s="5">
        <f t="shared" si="110"/>
        <v>60190100</v>
      </c>
      <c r="KZ70" s="26">
        <f t="shared" si="111"/>
        <v>0</v>
      </c>
      <c r="LA70" s="5">
        <f t="shared" si="112"/>
        <v>9558152</v>
      </c>
      <c r="LB70" s="26">
        <f t="shared" si="113"/>
        <v>0</v>
      </c>
      <c r="LC70" s="5">
        <f t="shared" si="114"/>
        <v>2578000</v>
      </c>
      <c r="LD70" s="26">
        <f t="shared" si="115"/>
        <v>0</v>
      </c>
      <c r="LE70" s="5">
        <f t="shared" si="116"/>
        <v>10942832</v>
      </c>
      <c r="LF70" s="26">
        <f t="shared" si="117"/>
        <v>0</v>
      </c>
      <c r="LG70" s="5">
        <f t="shared" si="118"/>
        <v>10942832</v>
      </c>
      <c r="LH70" s="26">
        <f t="shared" si="119"/>
        <v>0</v>
      </c>
      <c r="LI70" s="5">
        <f t="shared" si="120"/>
        <v>8052532</v>
      </c>
      <c r="LJ70" s="26">
        <f t="shared" si="121"/>
        <v>0</v>
      </c>
      <c r="LK70" s="5">
        <f t="shared" si="122"/>
        <v>47170</v>
      </c>
      <c r="LL70" s="26">
        <f t="shared" si="123"/>
        <v>0</v>
      </c>
      <c r="LM70" s="5">
        <f t="shared" si="124"/>
        <v>0</v>
      </c>
      <c r="LN70" s="26">
        <f t="shared" si="125"/>
        <v>0</v>
      </c>
      <c r="LO70" s="5">
        <f t="shared" si="126"/>
        <v>718843</v>
      </c>
      <c r="LP70" s="26">
        <f t="shared" si="127"/>
        <v>0</v>
      </c>
      <c r="LQ70" s="5">
        <f t="shared" si="128"/>
        <v>3382065</v>
      </c>
      <c r="LR70" s="26">
        <f t="shared" si="129"/>
        <v>0</v>
      </c>
      <c r="LS70" s="5">
        <f t="shared" si="130"/>
        <v>1379293</v>
      </c>
      <c r="LT70" s="26">
        <f t="shared" si="131"/>
        <v>0</v>
      </c>
      <c r="LU70" s="5">
        <f t="shared" si="132"/>
        <v>3350125</v>
      </c>
      <c r="LV70" s="26">
        <f t="shared" si="133"/>
        <v>0</v>
      </c>
      <c r="LW70" s="5">
        <f t="shared" si="134"/>
        <v>3350125</v>
      </c>
      <c r="LX70" s="26">
        <f t="shared" si="135"/>
        <v>0</v>
      </c>
      <c r="LY70" s="5">
        <f t="shared" si="136"/>
        <v>30204</v>
      </c>
      <c r="LZ70" s="26">
        <f t="shared" si="137"/>
        <v>0</v>
      </c>
      <c r="MA70" s="5">
        <f t="shared" si="138"/>
        <v>11029885</v>
      </c>
      <c r="MB70" s="26">
        <f t="shared" si="139"/>
        <v>0</v>
      </c>
      <c r="MC70" s="5">
        <f t="shared" si="140"/>
        <v>554674</v>
      </c>
      <c r="MD70" s="26">
        <f t="shared" si="141"/>
        <v>0</v>
      </c>
      <c r="ME70" s="5">
        <f t="shared" si="142"/>
        <v>0</v>
      </c>
      <c r="MF70" s="26">
        <f t="shared" si="143"/>
        <v>0</v>
      </c>
      <c r="MG70" s="5">
        <f t="shared" si="144"/>
        <v>1906788</v>
      </c>
      <c r="MH70" s="26">
        <f t="shared" si="145"/>
        <v>0</v>
      </c>
      <c r="MI70" s="5">
        <f t="shared" si="146"/>
        <v>28878</v>
      </c>
      <c r="MJ70" s="26">
        <f t="shared" si="147"/>
        <v>0</v>
      </c>
      <c r="MK70" s="5">
        <f t="shared" si="148"/>
        <v>3738891</v>
      </c>
      <c r="ML70" s="26">
        <f t="shared" si="149"/>
        <v>0</v>
      </c>
      <c r="MM70" s="5">
        <f t="shared" si="150"/>
        <v>60190100</v>
      </c>
      <c r="MN70" s="26">
        <f t="shared" si="151"/>
        <v>0</v>
      </c>
      <c r="MO70" s="5">
        <f t="shared" si="152"/>
        <v>0</v>
      </c>
      <c r="MP70" s="26">
        <f t="shared" si="153"/>
        <v>0</v>
      </c>
      <c r="MQ70" s="5">
        <f t="shared" si="154"/>
        <v>60190100</v>
      </c>
      <c r="MR70" s="26">
        <f t="shared" si="155"/>
        <v>0</v>
      </c>
      <c r="MT70" s="5">
        <f t="shared" si="158"/>
        <v>0</v>
      </c>
      <c r="MV70" s="4">
        <f t="shared" si="159"/>
        <v>0</v>
      </c>
    </row>
    <row r="71" spans="1:371" x14ac:dyDescent="0.15">
      <c r="A71" s="155" t="s">
        <v>459</v>
      </c>
      <c r="B71" s="25" t="s">
        <v>405</v>
      </c>
      <c r="C71" s="105">
        <v>199193</v>
      </c>
      <c r="D71" s="105">
        <v>2011</v>
      </c>
      <c r="E71" s="106">
        <v>1</v>
      </c>
      <c r="F71" s="106">
        <v>10</v>
      </c>
      <c r="G71" s="107">
        <v>11121</v>
      </c>
      <c r="H71" s="107">
        <v>11717</v>
      </c>
      <c r="I71" s="108">
        <v>378145287</v>
      </c>
      <c r="J71" s="108"/>
      <c r="K71" s="108">
        <v>0</v>
      </c>
      <c r="L71" s="108"/>
      <c r="M71" s="108">
        <v>15772178</v>
      </c>
      <c r="N71" s="108"/>
      <c r="O71" s="108">
        <v>0</v>
      </c>
      <c r="P71" s="108"/>
      <c r="Q71" s="108">
        <v>248589689</v>
      </c>
      <c r="R71" s="108"/>
      <c r="S71" s="108">
        <v>294727312</v>
      </c>
      <c r="T71" s="108"/>
      <c r="U71" s="108">
        <v>15619</v>
      </c>
      <c r="V71" s="108"/>
      <c r="W71" s="108">
        <v>26779</v>
      </c>
      <c r="X71" s="108"/>
      <c r="Y71" s="108">
        <v>21986</v>
      </c>
      <c r="Z71" s="108"/>
      <c r="AA71" s="108">
        <v>33146</v>
      </c>
      <c r="AB71" s="108"/>
      <c r="AC71" s="130">
        <v>6</v>
      </c>
      <c r="AD71" s="130">
        <v>10</v>
      </c>
      <c r="AE71" s="130">
        <v>0</v>
      </c>
      <c r="AF71" s="26">
        <v>2107143</v>
      </c>
      <c r="AG71" s="26">
        <v>1717568</v>
      </c>
      <c r="AH71" s="26">
        <v>219656</v>
      </c>
      <c r="AI71" s="26">
        <v>78732</v>
      </c>
      <c r="AJ71" s="26">
        <v>236465.8</v>
      </c>
      <c r="AK71" s="36">
        <v>5</v>
      </c>
      <c r="AL71" s="26">
        <v>236465.8</v>
      </c>
      <c r="AM71" s="36">
        <v>5</v>
      </c>
      <c r="AN71" s="26">
        <v>131778.25</v>
      </c>
      <c r="AO71" s="36">
        <v>8</v>
      </c>
      <c r="AP71" s="26">
        <v>131778.25</v>
      </c>
      <c r="AQ71" s="36">
        <v>8</v>
      </c>
      <c r="AR71" s="26">
        <v>126461.57</v>
      </c>
      <c r="AS71" s="36">
        <v>14</v>
      </c>
      <c r="AT71" s="26">
        <v>110653.88</v>
      </c>
      <c r="AU71" s="36">
        <v>16</v>
      </c>
      <c r="AV71" s="26">
        <v>223733.33</v>
      </c>
      <c r="AW71" s="36">
        <v>3</v>
      </c>
      <c r="AX71" s="26">
        <v>223733.33</v>
      </c>
      <c r="AY71" s="36">
        <v>3</v>
      </c>
      <c r="AZ71" s="54">
        <v>674238</v>
      </c>
      <c r="BA71" s="54">
        <v>107345</v>
      </c>
      <c r="BB71" s="54">
        <v>4204</v>
      </c>
      <c r="BC71" s="54">
        <v>50209</v>
      </c>
      <c r="BD71" s="54">
        <v>10640</v>
      </c>
      <c r="BE71" s="54">
        <v>846636</v>
      </c>
      <c r="BF71" s="54">
        <v>0</v>
      </c>
      <c r="BG71" s="54">
        <v>0</v>
      </c>
      <c r="BH71" s="54">
        <v>0</v>
      </c>
      <c r="BI71" s="54">
        <v>0</v>
      </c>
      <c r="BJ71" s="54">
        <v>4507307</v>
      </c>
      <c r="BK71" s="54">
        <v>4507307</v>
      </c>
      <c r="BL71" s="54">
        <v>1950000</v>
      </c>
      <c r="BM71" s="54">
        <v>65000</v>
      </c>
      <c r="BN71" s="54">
        <v>20000</v>
      </c>
      <c r="BO71" s="54">
        <v>10500</v>
      </c>
      <c r="BP71" s="54">
        <v>0</v>
      </c>
      <c r="BQ71" s="54">
        <v>2045500</v>
      </c>
      <c r="BR71" s="54">
        <v>159387</v>
      </c>
      <c r="BS71" s="54">
        <v>0</v>
      </c>
      <c r="BT71" s="54">
        <v>570</v>
      </c>
      <c r="BU71" s="54">
        <v>58260</v>
      </c>
      <c r="BV71" s="54">
        <v>1155059</v>
      </c>
      <c r="BW71" s="54">
        <v>1373276</v>
      </c>
      <c r="BX71" s="54">
        <v>0</v>
      </c>
      <c r="BY71" s="54">
        <v>0</v>
      </c>
      <c r="BZ71" s="54">
        <v>0</v>
      </c>
      <c r="CA71" s="54">
        <v>0</v>
      </c>
      <c r="CB71" s="54">
        <v>0</v>
      </c>
      <c r="CC71" s="54">
        <v>0</v>
      </c>
      <c r="CD71" s="54">
        <v>0</v>
      </c>
      <c r="CE71" s="54">
        <v>0</v>
      </c>
      <c r="CF71" s="54">
        <v>0</v>
      </c>
      <c r="CG71" s="54">
        <v>0</v>
      </c>
      <c r="CH71" s="54">
        <v>0</v>
      </c>
      <c r="CI71" s="54">
        <v>0</v>
      </c>
      <c r="CJ71" s="54">
        <v>0</v>
      </c>
      <c r="CK71" s="54">
        <v>0</v>
      </c>
      <c r="CL71" s="54">
        <v>0</v>
      </c>
      <c r="CM71" s="54">
        <v>0</v>
      </c>
      <c r="CN71" s="54">
        <v>6251914</v>
      </c>
      <c r="CO71" s="54">
        <v>6251914</v>
      </c>
      <c r="CP71" s="54">
        <v>0</v>
      </c>
      <c r="CQ71" s="54">
        <v>0</v>
      </c>
      <c r="CR71" s="54">
        <v>0</v>
      </c>
      <c r="CS71" s="54">
        <v>0</v>
      </c>
      <c r="CT71" s="54">
        <v>608578</v>
      </c>
      <c r="CU71" s="54">
        <v>608578</v>
      </c>
      <c r="CV71" s="54">
        <v>0</v>
      </c>
      <c r="CW71" s="54">
        <v>0</v>
      </c>
      <c r="CX71" s="54">
        <v>0</v>
      </c>
      <c r="CY71" s="54">
        <v>1440</v>
      </c>
      <c r="CZ71" s="54">
        <v>2618336</v>
      </c>
      <c r="DA71" s="54">
        <v>2619776</v>
      </c>
      <c r="DB71" s="54">
        <v>0</v>
      </c>
      <c r="DC71" s="54">
        <v>0</v>
      </c>
      <c r="DD71" s="54">
        <v>0</v>
      </c>
      <c r="DE71" s="54">
        <v>0</v>
      </c>
      <c r="DF71" s="54">
        <v>4116</v>
      </c>
      <c r="DG71" s="54">
        <v>4116</v>
      </c>
      <c r="DH71" s="54">
        <v>159571</v>
      </c>
      <c r="DI71" s="54">
        <v>160</v>
      </c>
      <c r="DJ71" s="54">
        <v>20</v>
      </c>
      <c r="DK71" s="54">
        <v>6012</v>
      </c>
      <c r="DL71" s="54">
        <v>40099</v>
      </c>
      <c r="DM71" s="54">
        <v>205862</v>
      </c>
      <c r="DN71" s="54">
        <v>131250</v>
      </c>
      <c r="DO71" s="54">
        <v>26250</v>
      </c>
      <c r="DP71" s="54">
        <v>8750</v>
      </c>
      <c r="DQ71" s="54">
        <v>0</v>
      </c>
      <c r="DR71" s="54">
        <v>90971</v>
      </c>
      <c r="DS71" s="54">
        <v>257221</v>
      </c>
      <c r="DT71" s="54">
        <v>0</v>
      </c>
      <c r="DU71" s="54">
        <v>0</v>
      </c>
      <c r="DV71" s="54">
        <v>0</v>
      </c>
      <c r="DW71" s="54">
        <v>0</v>
      </c>
      <c r="DX71" s="54">
        <v>0</v>
      </c>
      <c r="DY71" s="54">
        <v>0</v>
      </c>
      <c r="DZ71" s="54">
        <v>14318</v>
      </c>
      <c r="EA71" s="54">
        <v>0</v>
      </c>
      <c r="EB71" s="54">
        <v>1715</v>
      </c>
      <c r="EC71" s="54">
        <v>22631</v>
      </c>
      <c r="ED71" s="54">
        <v>28985</v>
      </c>
      <c r="EE71" s="54">
        <v>67649</v>
      </c>
      <c r="EF71" s="54">
        <v>0</v>
      </c>
      <c r="EG71" s="54">
        <v>0</v>
      </c>
      <c r="EH71" s="54">
        <v>0</v>
      </c>
      <c r="EI71" s="54">
        <v>0</v>
      </c>
      <c r="EJ71" s="54">
        <v>73278</v>
      </c>
      <c r="EK71" s="54">
        <v>73278</v>
      </c>
      <c r="EL71" s="54">
        <v>3088764</v>
      </c>
      <c r="EM71" s="54">
        <v>198755</v>
      </c>
      <c r="EN71" s="54">
        <v>35259</v>
      </c>
      <c r="EO71" s="54">
        <v>149052</v>
      </c>
      <c r="EP71" s="54">
        <v>15389283</v>
      </c>
      <c r="EQ71" s="54">
        <v>18861113</v>
      </c>
      <c r="ER71" s="54">
        <v>1516805</v>
      </c>
      <c r="ES71" s="54">
        <v>169828</v>
      </c>
      <c r="ET71" s="54">
        <v>200490</v>
      </c>
      <c r="EU71" s="54">
        <v>1937588</v>
      </c>
      <c r="EV71" s="54">
        <v>97241</v>
      </c>
      <c r="EW71" s="54">
        <v>3921952</v>
      </c>
      <c r="EX71" s="54">
        <v>725000</v>
      </c>
      <c r="EY71" s="54">
        <v>6500</v>
      </c>
      <c r="EZ71" s="54">
        <v>0</v>
      </c>
      <c r="FA71" s="54">
        <v>1500</v>
      </c>
      <c r="FB71" s="54">
        <v>0</v>
      </c>
      <c r="FC71" s="54">
        <v>733000</v>
      </c>
      <c r="FD71" s="54">
        <v>1785882</v>
      </c>
      <c r="FE71" s="54">
        <v>484643</v>
      </c>
      <c r="FF71" s="54">
        <v>455262</v>
      </c>
      <c r="FG71" s="54">
        <v>1952430</v>
      </c>
      <c r="FH71" s="54">
        <v>0</v>
      </c>
      <c r="FI71" s="54">
        <v>4678217</v>
      </c>
      <c r="FJ71" s="54">
        <v>0</v>
      </c>
      <c r="FK71" s="54">
        <v>0</v>
      </c>
      <c r="FL71" s="54">
        <v>0</v>
      </c>
      <c r="FM71" s="54">
        <v>0</v>
      </c>
      <c r="FN71" s="54">
        <v>0</v>
      </c>
      <c r="FO71" s="54">
        <v>0</v>
      </c>
      <c r="FP71" s="54">
        <v>140012</v>
      </c>
      <c r="FQ71" s="54">
        <v>38125</v>
      </c>
      <c r="FR71" s="54">
        <v>6241</v>
      </c>
      <c r="FS71" s="54">
        <v>4500</v>
      </c>
      <c r="FT71" s="54">
        <v>3598385</v>
      </c>
      <c r="FU71" s="54">
        <v>3787263</v>
      </c>
      <c r="FV71" s="54">
        <v>0</v>
      </c>
      <c r="FW71" s="54">
        <v>0</v>
      </c>
      <c r="FX71" s="54">
        <v>0</v>
      </c>
      <c r="FY71" s="54">
        <v>0</v>
      </c>
      <c r="FZ71" s="54">
        <v>0</v>
      </c>
      <c r="GA71" s="54">
        <v>0</v>
      </c>
      <c r="GB71" s="54">
        <v>0</v>
      </c>
      <c r="GC71" s="54">
        <v>0</v>
      </c>
      <c r="GD71" s="54">
        <v>0</v>
      </c>
      <c r="GE71" s="54">
        <v>0</v>
      </c>
      <c r="GF71" s="54">
        <v>0</v>
      </c>
      <c r="GG71" s="54">
        <v>0</v>
      </c>
      <c r="GH71" s="54">
        <v>169644</v>
      </c>
      <c r="GI71" s="54">
        <v>32137</v>
      </c>
      <c r="GJ71" s="54">
        <v>32726</v>
      </c>
      <c r="GK71" s="54">
        <v>63881</v>
      </c>
      <c r="GL71" s="54">
        <v>18895</v>
      </c>
      <c r="GM71" s="54">
        <v>317283</v>
      </c>
      <c r="GN71" s="54">
        <v>833097</v>
      </c>
      <c r="GO71" s="54">
        <v>164570</v>
      </c>
      <c r="GP71" s="54">
        <v>149353</v>
      </c>
      <c r="GQ71" s="54">
        <v>778116</v>
      </c>
      <c r="GR71" s="54">
        <v>27742</v>
      </c>
      <c r="GS71" s="54">
        <v>1952878</v>
      </c>
      <c r="GT71" s="54">
        <v>184734</v>
      </c>
      <c r="GU71" s="54">
        <v>11783</v>
      </c>
      <c r="GV71" s="54">
        <v>22550</v>
      </c>
      <c r="GW71" s="54">
        <v>134480</v>
      </c>
      <c r="GX71" s="54">
        <v>172164</v>
      </c>
      <c r="GY71" s="54">
        <v>525711</v>
      </c>
      <c r="GZ71" s="54">
        <v>426310</v>
      </c>
      <c r="HA71" s="54">
        <v>85110</v>
      </c>
      <c r="HB71" s="54">
        <v>61148</v>
      </c>
      <c r="HC71" s="54">
        <v>121128</v>
      </c>
      <c r="HD71" s="54">
        <v>26220</v>
      </c>
      <c r="HE71" s="54">
        <v>719916</v>
      </c>
      <c r="HF71" s="54">
        <v>0</v>
      </c>
      <c r="HG71" s="54">
        <v>0</v>
      </c>
      <c r="HH71" s="54">
        <v>29286</v>
      </c>
      <c r="HI71" s="54">
        <v>5685</v>
      </c>
      <c r="HJ71" s="54">
        <v>497691</v>
      </c>
      <c r="HK71" s="54">
        <v>532662</v>
      </c>
      <c r="HL71" s="54">
        <v>0</v>
      </c>
      <c r="HM71" s="54">
        <v>0</v>
      </c>
      <c r="HN71" s="54">
        <v>0</v>
      </c>
      <c r="HO71" s="54">
        <v>0</v>
      </c>
      <c r="HP71" s="54">
        <v>0</v>
      </c>
      <c r="HQ71" s="54">
        <v>0</v>
      </c>
      <c r="HR71" s="54">
        <v>41282</v>
      </c>
      <c r="HS71" s="54">
        <v>117334</v>
      </c>
      <c r="HT71" s="54">
        <v>91004</v>
      </c>
      <c r="HU71" s="54">
        <v>103685</v>
      </c>
      <c r="HV71" s="54">
        <v>156323</v>
      </c>
      <c r="HW71" s="54">
        <v>509628</v>
      </c>
      <c r="HX71" s="54">
        <v>0</v>
      </c>
      <c r="HY71" s="54">
        <v>0</v>
      </c>
      <c r="HZ71" s="54">
        <v>0</v>
      </c>
      <c r="IA71" s="54">
        <v>0</v>
      </c>
      <c r="IB71" s="54">
        <v>125000</v>
      </c>
      <c r="IC71" s="54">
        <v>125000</v>
      </c>
      <c r="ID71" s="54">
        <v>0</v>
      </c>
      <c r="IE71" s="54">
        <v>0</v>
      </c>
      <c r="IF71" s="54">
        <v>0</v>
      </c>
      <c r="IG71" s="54">
        <v>0</v>
      </c>
      <c r="IH71" s="54">
        <v>608578</v>
      </c>
      <c r="II71" s="54">
        <v>608578</v>
      </c>
      <c r="IJ71" s="54">
        <v>7657</v>
      </c>
      <c r="IK71" s="54">
        <v>0</v>
      </c>
      <c r="IL71" s="54">
        <v>0</v>
      </c>
      <c r="IM71" s="54">
        <v>0</v>
      </c>
      <c r="IN71" s="54">
        <v>316849</v>
      </c>
      <c r="IO71" s="54">
        <v>324506</v>
      </c>
      <c r="IP71" s="54">
        <v>0</v>
      </c>
      <c r="IQ71" s="54">
        <v>0</v>
      </c>
      <c r="IR71" s="54">
        <v>290</v>
      </c>
      <c r="IS71" s="54">
        <v>3221</v>
      </c>
      <c r="IT71" s="54">
        <v>421844</v>
      </c>
      <c r="IU71" s="54">
        <v>425355</v>
      </c>
      <c r="IV71" s="54">
        <v>150152</v>
      </c>
      <c r="IW71" s="54">
        <v>13441</v>
      </c>
      <c r="IX71" s="54">
        <v>8847</v>
      </c>
      <c r="IY71" s="54">
        <v>42995</v>
      </c>
      <c r="IZ71" s="54">
        <v>273058</v>
      </c>
      <c r="JA71" s="54">
        <v>488493</v>
      </c>
      <c r="JB71" s="54">
        <v>5980575</v>
      </c>
      <c r="JC71" s="54">
        <v>1123471</v>
      </c>
      <c r="JD71" s="54">
        <v>1057197</v>
      </c>
      <c r="JE71" s="54">
        <v>5149209</v>
      </c>
      <c r="JF71" s="54">
        <v>6339990</v>
      </c>
      <c r="JG71" s="54">
        <v>19650442</v>
      </c>
      <c r="JH71" s="54">
        <v>0</v>
      </c>
      <c r="JI71" s="54">
        <v>0</v>
      </c>
      <c r="JJ71" s="54">
        <v>0</v>
      </c>
      <c r="JK71" s="54">
        <v>0</v>
      </c>
      <c r="JL71" s="54">
        <v>0</v>
      </c>
      <c r="JM71" s="54">
        <v>0</v>
      </c>
      <c r="JN71" s="54">
        <v>5980575</v>
      </c>
      <c r="JO71" s="54">
        <v>1123471</v>
      </c>
      <c r="JP71" s="54">
        <v>1057197</v>
      </c>
      <c r="JQ71" s="54">
        <v>5149209</v>
      </c>
      <c r="JR71" s="54">
        <v>6339990</v>
      </c>
      <c r="JS71" s="54">
        <v>19650442</v>
      </c>
      <c r="JU71" s="5">
        <f t="shared" si="80"/>
        <v>846636</v>
      </c>
      <c r="JV71" s="26">
        <f t="shared" si="81"/>
        <v>0</v>
      </c>
      <c r="JW71" s="5">
        <f t="shared" si="82"/>
        <v>4507307</v>
      </c>
      <c r="JX71" s="26">
        <f t="shared" si="83"/>
        <v>0</v>
      </c>
      <c r="JY71" s="5">
        <f t="shared" si="84"/>
        <v>2045500</v>
      </c>
      <c r="JZ71" s="26">
        <f t="shared" si="85"/>
        <v>0</v>
      </c>
      <c r="KA71" s="5">
        <f>SUM(BR71:BV71)</f>
        <v>1373276</v>
      </c>
      <c r="KB71" s="26">
        <f>BW71-KA71</f>
        <v>0</v>
      </c>
      <c r="KC71" s="5">
        <f t="shared" si="88"/>
        <v>0</v>
      </c>
      <c r="KD71" s="26">
        <f t="shared" si="89"/>
        <v>0</v>
      </c>
      <c r="KE71" s="5">
        <f t="shared" si="90"/>
        <v>0</v>
      </c>
      <c r="KF71" s="26">
        <f t="shared" si="91"/>
        <v>0</v>
      </c>
      <c r="KG71" s="5">
        <f t="shared" si="92"/>
        <v>6251914</v>
      </c>
      <c r="KH71" s="26">
        <f t="shared" si="93"/>
        <v>0</v>
      </c>
      <c r="KI71" s="5">
        <f t="shared" si="94"/>
        <v>608578</v>
      </c>
      <c r="KJ71" s="26">
        <f t="shared" si="95"/>
        <v>0</v>
      </c>
      <c r="KK71" s="5">
        <f t="shared" si="96"/>
        <v>2619776</v>
      </c>
      <c r="KL71" s="26">
        <f t="shared" si="97"/>
        <v>0</v>
      </c>
      <c r="KM71" s="5">
        <f t="shared" si="98"/>
        <v>4116</v>
      </c>
      <c r="KN71" s="26">
        <f t="shared" si="99"/>
        <v>0</v>
      </c>
      <c r="KO71" s="5">
        <f t="shared" si="100"/>
        <v>205862</v>
      </c>
      <c r="KP71" s="26">
        <f t="shared" si="101"/>
        <v>0</v>
      </c>
      <c r="KQ71" s="5">
        <f t="shared" si="102"/>
        <v>257221</v>
      </c>
      <c r="KR71" s="26">
        <f t="shared" si="103"/>
        <v>0</v>
      </c>
      <c r="KS71" s="5">
        <f t="shared" si="104"/>
        <v>0</v>
      </c>
      <c r="KT71" s="26">
        <f t="shared" si="105"/>
        <v>0</v>
      </c>
      <c r="KU71" s="5">
        <f t="shared" si="106"/>
        <v>67649</v>
      </c>
      <c r="KV71" s="26">
        <f t="shared" si="107"/>
        <v>0</v>
      </c>
      <c r="KW71" s="5">
        <f t="shared" si="108"/>
        <v>73278</v>
      </c>
      <c r="KX71" s="26">
        <f t="shared" si="109"/>
        <v>0</v>
      </c>
      <c r="KY71" s="5">
        <f t="shared" si="110"/>
        <v>18861113</v>
      </c>
      <c r="KZ71" s="26">
        <f t="shared" si="111"/>
        <v>0</v>
      </c>
      <c r="LA71" s="5">
        <f t="shared" si="112"/>
        <v>3921952</v>
      </c>
      <c r="LB71" s="26">
        <f t="shared" si="113"/>
        <v>0</v>
      </c>
      <c r="LC71" s="5">
        <f t="shared" si="114"/>
        <v>733000</v>
      </c>
      <c r="LD71" s="26">
        <f t="shared" si="115"/>
        <v>0</v>
      </c>
      <c r="LE71" s="5">
        <f t="shared" si="116"/>
        <v>4678217</v>
      </c>
      <c r="LF71" s="26">
        <f t="shared" si="117"/>
        <v>0</v>
      </c>
      <c r="LG71" s="5">
        <f t="shared" si="118"/>
        <v>0</v>
      </c>
      <c r="LH71" s="26">
        <f t="shared" si="119"/>
        <v>0</v>
      </c>
      <c r="LI71" s="5">
        <f t="shared" si="120"/>
        <v>3787263</v>
      </c>
      <c r="LJ71" s="26">
        <f t="shared" si="121"/>
        <v>0</v>
      </c>
      <c r="LK71" s="5">
        <f t="shared" si="122"/>
        <v>0</v>
      </c>
      <c r="LL71" s="26">
        <f t="shared" si="123"/>
        <v>0</v>
      </c>
      <c r="LM71" s="5">
        <f t="shared" si="124"/>
        <v>0</v>
      </c>
      <c r="LN71" s="26">
        <f t="shared" si="125"/>
        <v>0</v>
      </c>
      <c r="LO71" s="5">
        <f t="shared" si="126"/>
        <v>317283</v>
      </c>
      <c r="LP71" s="26">
        <f t="shared" si="127"/>
        <v>0</v>
      </c>
      <c r="LQ71" s="5">
        <f t="shared" si="128"/>
        <v>1952878</v>
      </c>
      <c r="LR71" s="26">
        <f t="shared" si="129"/>
        <v>0</v>
      </c>
      <c r="LS71" s="5">
        <f t="shared" si="130"/>
        <v>525711</v>
      </c>
      <c r="LT71" s="26">
        <f t="shared" si="131"/>
        <v>0</v>
      </c>
      <c r="LU71" s="5">
        <f t="shared" si="132"/>
        <v>719916</v>
      </c>
      <c r="LV71" s="26">
        <f t="shared" si="133"/>
        <v>0</v>
      </c>
      <c r="LW71" s="5">
        <f t="shared" si="134"/>
        <v>532662</v>
      </c>
      <c r="LX71" s="26">
        <f t="shared" si="135"/>
        <v>0</v>
      </c>
      <c r="LY71" s="5">
        <f t="shared" si="136"/>
        <v>0</v>
      </c>
      <c r="LZ71" s="26">
        <f t="shared" si="137"/>
        <v>0</v>
      </c>
      <c r="MA71" s="5">
        <f t="shared" si="138"/>
        <v>509628</v>
      </c>
      <c r="MB71" s="26">
        <f t="shared" si="139"/>
        <v>0</v>
      </c>
      <c r="MC71" s="5">
        <f t="shared" si="140"/>
        <v>125000</v>
      </c>
      <c r="MD71" s="26">
        <f t="shared" si="141"/>
        <v>0</v>
      </c>
      <c r="ME71" s="5">
        <f t="shared" si="142"/>
        <v>608578</v>
      </c>
      <c r="MF71" s="26">
        <f t="shared" si="143"/>
        <v>0</v>
      </c>
      <c r="MG71" s="5">
        <f t="shared" si="144"/>
        <v>324506</v>
      </c>
      <c r="MH71" s="26">
        <f t="shared" si="145"/>
        <v>0</v>
      </c>
      <c r="MI71" s="5">
        <f t="shared" si="146"/>
        <v>425355</v>
      </c>
      <c r="MJ71" s="26">
        <f t="shared" si="147"/>
        <v>0</v>
      </c>
      <c r="MK71" s="5">
        <f t="shared" si="148"/>
        <v>488493</v>
      </c>
      <c r="ML71" s="26">
        <f t="shared" si="149"/>
        <v>0</v>
      </c>
      <c r="MM71" s="5">
        <f t="shared" si="150"/>
        <v>19650442</v>
      </c>
      <c r="MN71" s="26">
        <f t="shared" si="151"/>
        <v>0</v>
      </c>
      <c r="MO71" s="5">
        <f t="shared" si="152"/>
        <v>0</v>
      </c>
      <c r="MP71" s="26">
        <f t="shared" si="153"/>
        <v>0</v>
      </c>
      <c r="MQ71" s="5">
        <f t="shared" si="154"/>
        <v>19650442</v>
      </c>
      <c r="MR71" s="26">
        <f t="shared" si="155"/>
        <v>0</v>
      </c>
      <c r="MT71" s="5">
        <f t="shared" si="158"/>
        <v>0</v>
      </c>
      <c r="MV71" s="4">
        <f t="shared" si="159"/>
        <v>0</v>
      </c>
    </row>
    <row r="72" spans="1:371" x14ac:dyDescent="0.15">
      <c r="A72" s="9" t="s">
        <v>348</v>
      </c>
      <c r="B72" s="25" t="s">
        <v>406</v>
      </c>
      <c r="C72" s="105">
        <v>218663</v>
      </c>
      <c r="D72" s="105">
        <v>2011</v>
      </c>
      <c r="E72" s="106">
        <v>1</v>
      </c>
      <c r="F72" s="106">
        <v>5</v>
      </c>
      <c r="G72" s="107">
        <v>9102</v>
      </c>
      <c r="H72" s="107">
        <v>10721</v>
      </c>
      <c r="I72" s="108">
        <v>749048455</v>
      </c>
      <c r="J72" s="108"/>
      <c r="K72" s="108">
        <v>35266404</v>
      </c>
      <c r="L72" s="108"/>
      <c r="M72" s="108">
        <v>105942092</v>
      </c>
      <c r="N72" s="108"/>
      <c r="O72" s="108">
        <v>112923321</v>
      </c>
      <c r="P72" s="108"/>
      <c r="Q72" s="108">
        <v>365867738</v>
      </c>
      <c r="R72" s="108"/>
      <c r="S72" s="108">
        <v>610118681</v>
      </c>
      <c r="T72" s="108"/>
      <c r="U72" s="108">
        <v>17880</v>
      </c>
      <c r="V72" s="108"/>
      <c r="W72" s="108">
        <v>33456</v>
      </c>
      <c r="X72" s="108"/>
      <c r="Y72" s="108">
        <v>23050</v>
      </c>
      <c r="Z72" s="108"/>
      <c r="AA72" s="108">
        <v>38105</v>
      </c>
      <c r="AB72" s="108"/>
      <c r="AC72" s="130">
        <v>9</v>
      </c>
      <c r="AD72" s="130">
        <v>11</v>
      </c>
      <c r="AE72" s="130">
        <v>0</v>
      </c>
      <c r="AF72" s="26">
        <v>4807165</v>
      </c>
      <c r="AG72" s="26">
        <v>3659748</v>
      </c>
      <c r="AH72" s="26">
        <v>497213</v>
      </c>
      <c r="AI72" s="26">
        <v>361850</v>
      </c>
      <c r="AJ72" s="26">
        <v>527987.35</v>
      </c>
      <c r="AK72" s="36">
        <v>6.64</v>
      </c>
      <c r="AL72" s="26">
        <v>438229.5</v>
      </c>
      <c r="AM72" s="36">
        <v>8</v>
      </c>
      <c r="AN72" s="26">
        <v>155648.44</v>
      </c>
      <c r="AO72" s="36">
        <v>8.36</v>
      </c>
      <c r="AP72" s="26">
        <v>144580.10999999999</v>
      </c>
      <c r="AQ72" s="36">
        <v>9</v>
      </c>
      <c r="AR72" s="26">
        <v>184494.83</v>
      </c>
      <c r="AS72" s="36">
        <v>20.7</v>
      </c>
      <c r="AT72" s="26">
        <v>136394.39000000001</v>
      </c>
      <c r="AU72" s="36">
        <v>28</v>
      </c>
      <c r="AV72" s="26">
        <v>75968.649999999994</v>
      </c>
      <c r="AW72" s="36">
        <v>19.3</v>
      </c>
      <c r="AX72" s="26">
        <v>63747.61</v>
      </c>
      <c r="AY72" s="36">
        <v>23</v>
      </c>
      <c r="AZ72" s="54">
        <v>16581682</v>
      </c>
      <c r="BA72" s="54">
        <v>1475612</v>
      </c>
      <c r="BB72" s="54">
        <v>45550</v>
      </c>
      <c r="BC72" s="54">
        <v>1382070</v>
      </c>
      <c r="BD72" s="54">
        <v>278588</v>
      </c>
      <c r="BE72" s="54">
        <v>19763502</v>
      </c>
      <c r="BF72" s="54">
        <v>0</v>
      </c>
      <c r="BG72" s="54">
        <v>0</v>
      </c>
      <c r="BH72" s="54">
        <v>0</v>
      </c>
      <c r="BI72" s="54">
        <v>0</v>
      </c>
      <c r="BJ72" s="54">
        <v>2248275</v>
      </c>
      <c r="BK72" s="54">
        <v>2248275</v>
      </c>
      <c r="BL72" s="54">
        <v>250000</v>
      </c>
      <c r="BM72" s="54">
        <v>75000</v>
      </c>
      <c r="BN72" s="54">
        <v>0</v>
      </c>
      <c r="BO72" s="54">
        <v>3500</v>
      </c>
      <c r="BP72" s="54">
        <v>0</v>
      </c>
      <c r="BQ72" s="54">
        <v>328500</v>
      </c>
      <c r="BR72" s="54">
        <v>10401311</v>
      </c>
      <c r="BS72" s="54">
        <v>211800</v>
      </c>
      <c r="BT72" s="54">
        <v>0</v>
      </c>
      <c r="BU72" s="54">
        <v>606821</v>
      </c>
      <c r="BV72" s="54">
        <v>13173270</v>
      </c>
      <c r="BW72" s="54">
        <v>24393202</v>
      </c>
      <c r="BX72" s="52">
        <v>1917500</v>
      </c>
      <c r="BY72" s="52">
        <v>650000</v>
      </c>
      <c r="BZ72" s="52">
        <v>400000</v>
      </c>
      <c r="CA72" s="52">
        <v>230000</v>
      </c>
      <c r="CB72" s="52">
        <v>56000</v>
      </c>
      <c r="CC72" s="52">
        <v>3253500</v>
      </c>
      <c r="CD72" s="52">
        <v>0</v>
      </c>
      <c r="CE72" s="52">
        <v>0</v>
      </c>
      <c r="CF72" s="52">
        <v>0</v>
      </c>
      <c r="CG72" s="52">
        <v>0</v>
      </c>
      <c r="CH72" s="52">
        <v>0</v>
      </c>
      <c r="CI72" s="52">
        <v>0</v>
      </c>
      <c r="CJ72" s="52">
        <v>0</v>
      </c>
      <c r="CK72" s="52">
        <v>0</v>
      </c>
      <c r="CL72" s="52">
        <v>0</v>
      </c>
      <c r="CM72" s="52">
        <v>0</v>
      </c>
      <c r="CN72" s="52">
        <v>0</v>
      </c>
      <c r="CO72" s="52">
        <v>0</v>
      </c>
      <c r="CP72" s="52">
        <v>0</v>
      </c>
      <c r="CQ72" s="52">
        <v>0</v>
      </c>
      <c r="CR72" s="52">
        <v>0</v>
      </c>
      <c r="CS72" s="52">
        <v>0</v>
      </c>
      <c r="CT72" s="52">
        <v>0</v>
      </c>
      <c r="CU72" s="52">
        <v>0</v>
      </c>
      <c r="CV72" s="54">
        <v>14875956</v>
      </c>
      <c r="CW72" s="54">
        <v>4984506</v>
      </c>
      <c r="CX72" s="54">
        <v>0</v>
      </c>
      <c r="CY72" s="54">
        <v>326480</v>
      </c>
      <c r="CZ72" s="54">
        <v>1158681</v>
      </c>
      <c r="DA72" s="54">
        <v>21345623</v>
      </c>
      <c r="DB72" s="54">
        <v>0</v>
      </c>
      <c r="DC72" s="54">
        <v>0</v>
      </c>
      <c r="DD72" s="54">
        <v>0</v>
      </c>
      <c r="DE72" s="54">
        <v>0</v>
      </c>
      <c r="DF72" s="54">
        <v>1761500</v>
      </c>
      <c r="DG72" s="54">
        <v>1761500</v>
      </c>
      <c r="DH72" s="54">
        <v>2312630</v>
      </c>
      <c r="DI72" s="54">
        <v>2900</v>
      </c>
      <c r="DJ72" s="54">
        <v>0</v>
      </c>
      <c r="DK72" s="54">
        <v>453650</v>
      </c>
      <c r="DL72" s="54">
        <v>785100</v>
      </c>
      <c r="DM72" s="54">
        <v>3554280</v>
      </c>
      <c r="DN72" s="54">
        <v>0</v>
      </c>
      <c r="DO72" s="54">
        <v>0</v>
      </c>
      <c r="DP72" s="54">
        <v>0</v>
      </c>
      <c r="DQ72" s="54">
        <v>0</v>
      </c>
      <c r="DR72" s="54">
        <v>3068423</v>
      </c>
      <c r="DS72" s="54">
        <v>3068423</v>
      </c>
      <c r="DT72" s="54">
        <v>0</v>
      </c>
      <c r="DU72" s="54">
        <v>0</v>
      </c>
      <c r="DV72" s="54">
        <v>0</v>
      </c>
      <c r="DW72" s="54">
        <v>0</v>
      </c>
      <c r="DX72" s="54">
        <v>96598</v>
      </c>
      <c r="DY72" s="54">
        <v>96598</v>
      </c>
      <c r="DZ72" s="54">
        <v>0</v>
      </c>
      <c r="EA72" s="54">
        <v>0</v>
      </c>
      <c r="EB72" s="54">
        <v>0</v>
      </c>
      <c r="EC72" s="54">
        <v>0</v>
      </c>
      <c r="ED72" s="54">
        <v>777875</v>
      </c>
      <c r="EE72" s="54">
        <v>777875</v>
      </c>
      <c r="EF72" s="54">
        <v>9930</v>
      </c>
      <c r="EG72" s="54">
        <v>0</v>
      </c>
      <c r="EH72" s="54">
        <v>0</v>
      </c>
      <c r="EI72" s="54">
        <v>15870</v>
      </c>
      <c r="EJ72" s="54">
        <v>3196148</v>
      </c>
      <c r="EK72" s="54">
        <v>3221948</v>
      </c>
      <c r="EL72" s="54">
        <v>46349009</v>
      </c>
      <c r="EM72" s="54">
        <v>7399818</v>
      </c>
      <c r="EN72" s="54">
        <v>445550</v>
      </c>
      <c r="EO72" s="54">
        <v>3018391</v>
      </c>
      <c r="EP72" s="54">
        <v>26600458</v>
      </c>
      <c r="EQ72" s="54">
        <v>83813226</v>
      </c>
      <c r="ER72" s="54">
        <v>2813340</v>
      </c>
      <c r="ES72" s="54">
        <v>453514</v>
      </c>
      <c r="ET72" s="54">
        <v>470795</v>
      </c>
      <c r="EU72" s="54">
        <v>4729264</v>
      </c>
      <c r="EV72" s="54">
        <v>1773</v>
      </c>
      <c r="EW72" s="54">
        <v>8468686</v>
      </c>
      <c r="EX72" s="54">
        <v>1880000</v>
      </c>
      <c r="EY72" s="54">
        <v>547523</v>
      </c>
      <c r="EZ72" s="54">
        <v>64696</v>
      </c>
      <c r="FA72" s="54">
        <v>79017</v>
      </c>
      <c r="FB72" s="54">
        <v>0</v>
      </c>
      <c r="FC72" s="54">
        <v>2571236</v>
      </c>
      <c r="FD72" s="54">
        <v>3971968</v>
      </c>
      <c r="FE72" s="54">
        <v>1336281</v>
      </c>
      <c r="FF72" s="54">
        <v>705976</v>
      </c>
      <c r="FG72" s="54">
        <v>4078070</v>
      </c>
      <c r="FH72" s="54">
        <v>0</v>
      </c>
      <c r="FI72" s="54">
        <v>10092295</v>
      </c>
      <c r="FJ72" s="54">
        <v>1917500</v>
      </c>
      <c r="FK72" s="54">
        <v>650000</v>
      </c>
      <c r="FL72" s="54">
        <v>400000</v>
      </c>
      <c r="FM72" s="54">
        <v>230000</v>
      </c>
      <c r="FN72" s="54">
        <v>0</v>
      </c>
      <c r="FO72" s="54">
        <v>3197500</v>
      </c>
      <c r="FP72" s="54">
        <v>1181873</v>
      </c>
      <c r="FQ72" s="54">
        <v>289504</v>
      </c>
      <c r="FR72" s="54">
        <v>187384</v>
      </c>
      <c r="FS72" s="54">
        <v>384542</v>
      </c>
      <c r="FT72" s="54">
        <v>11446387</v>
      </c>
      <c r="FU72" s="54">
        <v>13489690</v>
      </c>
      <c r="FV72" s="54">
        <v>0</v>
      </c>
      <c r="FW72" s="54">
        <v>0</v>
      </c>
      <c r="FX72" s="54">
        <v>0</v>
      </c>
      <c r="FY72" s="54">
        <v>0</v>
      </c>
      <c r="FZ72" s="54">
        <v>56000</v>
      </c>
      <c r="GA72" s="54">
        <v>56000</v>
      </c>
      <c r="GB72" s="54">
        <v>0</v>
      </c>
      <c r="GC72" s="54">
        <v>0</v>
      </c>
      <c r="GD72" s="54">
        <v>0</v>
      </c>
      <c r="GE72" s="54">
        <v>0</v>
      </c>
      <c r="GF72" s="54">
        <v>0</v>
      </c>
      <c r="GG72" s="54">
        <v>0</v>
      </c>
      <c r="GH72" s="54">
        <v>248333</v>
      </c>
      <c r="GI72" s="54">
        <v>100158</v>
      </c>
      <c r="GJ72" s="54">
        <v>114393</v>
      </c>
      <c r="GK72" s="54">
        <v>396179</v>
      </c>
      <c r="GL72" s="54">
        <v>0</v>
      </c>
      <c r="GM72" s="54">
        <v>859063</v>
      </c>
      <c r="GN72" s="54">
        <v>1483922</v>
      </c>
      <c r="GO72" s="54">
        <v>400874</v>
      </c>
      <c r="GP72" s="54">
        <v>392524</v>
      </c>
      <c r="GQ72" s="54">
        <v>2365478</v>
      </c>
      <c r="GR72" s="54">
        <v>113169</v>
      </c>
      <c r="GS72" s="54">
        <v>4755967</v>
      </c>
      <c r="GT72" s="54">
        <v>898229</v>
      </c>
      <c r="GU72" s="54">
        <v>145504</v>
      </c>
      <c r="GV72" s="54">
        <v>140898</v>
      </c>
      <c r="GW72" s="54">
        <v>922772</v>
      </c>
      <c r="GX72" s="54">
        <v>115319</v>
      </c>
      <c r="GY72" s="54">
        <v>2222722</v>
      </c>
      <c r="GZ72" s="54">
        <v>4384749</v>
      </c>
      <c r="HA72" s="54">
        <v>539777</v>
      </c>
      <c r="HB72" s="54">
        <v>347136</v>
      </c>
      <c r="HC72" s="54">
        <v>1548109</v>
      </c>
      <c r="HD72" s="54">
        <v>232979</v>
      </c>
      <c r="HE72" s="54">
        <v>7052750</v>
      </c>
      <c r="HF72" s="54">
        <v>168740</v>
      </c>
      <c r="HG72" s="54">
        <v>17982</v>
      </c>
      <c r="HH72" s="54">
        <v>11677</v>
      </c>
      <c r="HI72" s="54">
        <v>34090</v>
      </c>
      <c r="HJ72" s="54">
        <v>2158184</v>
      </c>
      <c r="HK72" s="54">
        <v>2390673</v>
      </c>
      <c r="HL72" s="54">
        <v>0</v>
      </c>
      <c r="HM72" s="54">
        <v>0</v>
      </c>
      <c r="HN72" s="54">
        <v>0</v>
      </c>
      <c r="HO72" s="54">
        <v>0</v>
      </c>
      <c r="HP72" s="54">
        <v>100887</v>
      </c>
      <c r="HQ72" s="54">
        <v>100887</v>
      </c>
      <c r="HR72" s="54">
        <v>3258856</v>
      </c>
      <c r="HS72" s="54">
        <v>70175</v>
      </c>
      <c r="HT72" s="54">
        <v>68441</v>
      </c>
      <c r="HU72" s="54">
        <v>1791989</v>
      </c>
      <c r="HV72" s="54">
        <v>10556315</v>
      </c>
      <c r="HW72" s="54">
        <v>15745776</v>
      </c>
      <c r="HX72" s="54">
        <v>0</v>
      </c>
      <c r="HY72" s="54">
        <v>0</v>
      </c>
      <c r="HZ72" s="54">
        <v>0</v>
      </c>
      <c r="IA72" s="54">
        <v>0</v>
      </c>
      <c r="IB72" s="54">
        <v>281246</v>
      </c>
      <c r="IC72" s="54">
        <v>281246</v>
      </c>
      <c r="ID72" s="54">
        <v>0</v>
      </c>
      <c r="IE72" s="54">
        <v>0</v>
      </c>
      <c r="IF72" s="54">
        <v>0</v>
      </c>
      <c r="IG72" s="54">
        <v>0</v>
      </c>
      <c r="IH72" s="54">
        <v>0</v>
      </c>
      <c r="II72" s="54">
        <v>0</v>
      </c>
      <c r="IJ72" s="54">
        <v>19504</v>
      </c>
      <c r="IK72" s="54">
        <v>280</v>
      </c>
      <c r="IL72" s="54">
        <v>0</v>
      </c>
      <c r="IM72" s="54">
        <v>17475</v>
      </c>
      <c r="IN72" s="54">
        <v>1037749</v>
      </c>
      <c r="IO72" s="54">
        <v>1075008</v>
      </c>
      <c r="IP72" s="54">
        <v>1672</v>
      </c>
      <c r="IQ72" s="54">
        <v>534</v>
      </c>
      <c r="IR72" s="54">
        <v>913</v>
      </c>
      <c r="IS72" s="54">
        <v>40392</v>
      </c>
      <c r="IT72" s="54">
        <v>30422</v>
      </c>
      <c r="IU72" s="54">
        <v>73933</v>
      </c>
      <c r="IV72" s="54">
        <v>253793</v>
      </c>
      <c r="IW72" s="54">
        <v>66458</v>
      </c>
      <c r="IX72" s="54">
        <v>88568</v>
      </c>
      <c r="IY72" s="54">
        <v>464769</v>
      </c>
      <c r="IZ72" s="54">
        <v>7218691</v>
      </c>
      <c r="JA72" s="54">
        <v>8092279</v>
      </c>
      <c r="JB72" s="54">
        <v>22482479</v>
      </c>
      <c r="JC72" s="54">
        <v>4618564</v>
      </c>
      <c r="JD72" s="54">
        <v>2993401</v>
      </c>
      <c r="JE72" s="54">
        <v>17082146</v>
      </c>
      <c r="JF72" s="54">
        <v>33349121</v>
      </c>
      <c r="JG72" s="54">
        <v>80525711</v>
      </c>
      <c r="JH72" s="54">
        <v>0</v>
      </c>
      <c r="JI72" s="54">
        <v>0</v>
      </c>
      <c r="JJ72" s="54">
        <v>0</v>
      </c>
      <c r="JK72" s="54">
        <v>0</v>
      </c>
      <c r="JL72" s="54">
        <v>2416230</v>
      </c>
      <c r="JM72" s="54">
        <v>2416230</v>
      </c>
      <c r="JN72" s="54">
        <v>22482479</v>
      </c>
      <c r="JO72" s="54">
        <v>4618564</v>
      </c>
      <c r="JP72" s="54">
        <v>2993401</v>
      </c>
      <c r="JQ72" s="54">
        <v>17082146</v>
      </c>
      <c r="JR72" s="54">
        <v>35765351</v>
      </c>
      <c r="JS72" s="54">
        <v>82941941</v>
      </c>
      <c r="JU72" s="5">
        <f t="shared" si="80"/>
        <v>19763502</v>
      </c>
      <c r="JV72" s="26">
        <f t="shared" si="81"/>
        <v>0</v>
      </c>
      <c r="JW72" s="5">
        <f t="shared" si="82"/>
        <v>2248275</v>
      </c>
      <c r="JX72" s="26">
        <f t="shared" si="83"/>
        <v>0</v>
      </c>
      <c r="JY72" s="5">
        <f t="shared" si="84"/>
        <v>328500</v>
      </c>
      <c r="JZ72" s="26">
        <f t="shared" si="85"/>
        <v>0</v>
      </c>
      <c r="KA72" s="5">
        <f t="shared" si="86"/>
        <v>24393202</v>
      </c>
      <c r="KB72" s="26">
        <f t="shared" si="87"/>
        <v>0</v>
      </c>
      <c r="KC72" s="5">
        <f t="shared" si="88"/>
        <v>3253500</v>
      </c>
      <c r="KD72" s="26">
        <f t="shared" si="89"/>
        <v>0</v>
      </c>
      <c r="KE72" s="5">
        <f t="shared" si="90"/>
        <v>0</v>
      </c>
      <c r="KF72" s="26">
        <f t="shared" si="91"/>
        <v>0</v>
      </c>
      <c r="KG72" s="5">
        <f t="shared" si="92"/>
        <v>0</v>
      </c>
      <c r="KH72" s="26">
        <f t="shared" si="93"/>
        <v>0</v>
      </c>
      <c r="KI72" s="5">
        <f t="shared" si="94"/>
        <v>0</v>
      </c>
      <c r="KJ72" s="26">
        <f t="shared" si="95"/>
        <v>0</v>
      </c>
      <c r="KK72" s="5">
        <f t="shared" si="96"/>
        <v>21345623</v>
      </c>
      <c r="KL72" s="26">
        <f t="shared" si="97"/>
        <v>0</v>
      </c>
      <c r="KM72" s="5">
        <f t="shared" si="98"/>
        <v>1761500</v>
      </c>
      <c r="KN72" s="26">
        <f t="shared" si="99"/>
        <v>0</v>
      </c>
      <c r="KO72" s="5">
        <f t="shared" si="100"/>
        <v>3554280</v>
      </c>
      <c r="KP72" s="26">
        <f t="shared" si="101"/>
        <v>0</v>
      </c>
      <c r="KQ72" s="5">
        <f t="shared" si="102"/>
        <v>3068423</v>
      </c>
      <c r="KR72" s="26">
        <f t="shared" si="103"/>
        <v>0</v>
      </c>
      <c r="KS72" s="5">
        <f t="shared" si="104"/>
        <v>96598</v>
      </c>
      <c r="KT72" s="26">
        <f t="shared" si="105"/>
        <v>0</v>
      </c>
      <c r="KU72" s="5">
        <f t="shared" si="106"/>
        <v>777875</v>
      </c>
      <c r="KV72" s="26">
        <f t="shared" si="107"/>
        <v>0</v>
      </c>
      <c r="KW72" s="5">
        <f t="shared" si="108"/>
        <v>3221948</v>
      </c>
      <c r="KX72" s="26">
        <f t="shared" si="109"/>
        <v>0</v>
      </c>
      <c r="KY72" s="5">
        <f t="shared" si="110"/>
        <v>83813226</v>
      </c>
      <c r="KZ72" s="26">
        <f t="shared" si="111"/>
        <v>0</v>
      </c>
      <c r="LA72" s="5">
        <f t="shared" si="112"/>
        <v>8468686</v>
      </c>
      <c r="LB72" s="26">
        <f t="shared" si="113"/>
        <v>0</v>
      </c>
      <c r="LC72" s="5">
        <f t="shared" si="114"/>
        <v>2571236</v>
      </c>
      <c r="LD72" s="26">
        <f t="shared" si="115"/>
        <v>0</v>
      </c>
      <c r="LE72" s="5">
        <f t="shared" si="116"/>
        <v>10092295</v>
      </c>
      <c r="LF72" s="26">
        <f t="shared" si="117"/>
        <v>0</v>
      </c>
      <c r="LG72" s="5">
        <f t="shared" si="118"/>
        <v>3197500</v>
      </c>
      <c r="LH72" s="26">
        <f t="shared" si="119"/>
        <v>0</v>
      </c>
      <c r="LI72" s="5">
        <f t="shared" si="120"/>
        <v>13489690</v>
      </c>
      <c r="LJ72" s="26">
        <f t="shared" si="121"/>
        <v>0</v>
      </c>
      <c r="LK72" s="5">
        <f t="shared" si="122"/>
        <v>56000</v>
      </c>
      <c r="LL72" s="26">
        <f t="shared" si="123"/>
        <v>0</v>
      </c>
      <c r="LM72" s="5">
        <f t="shared" si="124"/>
        <v>0</v>
      </c>
      <c r="LN72" s="26">
        <f t="shared" si="125"/>
        <v>0</v>
      </c>
      <c r="LO72" s="5">
        <f t="shared" si="126"/>
        <v>859063</v>
      </c>
      <c r="LP72" s="26">
        <f t="shared" si="127"/>
        <v>0</v>
      </c>
      <c r="LQ72" s="5">
        <f t="shared" si="128"/>
        <v>4755967</v>
      </c>
      <c r="LR72" s="26">
        <f t="shared" si="129"/>
        <v>0</v>
      </c>
      <c r="LS72" s="5">
        <f t="shared" si="130"/>
        <v>2222722</v>
      </c>
      <c r="LT72" s="26">
        <f t="shared" si="131"/>
        <v>0</v>
      </c>
      <c r="LU72" s="5">
        <f t="shared" si="132"/>
        <v>7052750</v>
      </c>
      <c r="LV72" s="26">
        <f t="shared" si="133"/>
        <v>0</v>
      </c>
      <c r="LW72" s="5">
        <f t="shared" si="134"/>
        <v>2390673</v>
      </c>
      <c r="LX72" s="26">
        <f t="shared" si="135"/>
        <v>0</v>
      </c>
      <c r="LY72" s="5">
        <f t="shared" si="136"/>
        <v>100887</v>
      </c>
      <c r="LZ72" s="26">
        <f t="shared" si="137"/>
        <v>0</v>
      </c>
      <c r="MA72" s="5">
        <f t="shared" si="138"/>
        <v>15745776</v>
      </c>
      <c r="MB72" s="26">
        <f t="shared" si="139"/>
        <v>0</v>
      </c>
      <c r="MC72" s="5">
        <f t="shared" si="140"/>
        <v>281246</v>
      </c>
      <c r="MD72" s="26">
        <f t="shared" si="141"/>
        <v>0</v>
      </c>
      <c r="ME72" s="5">
        <f t="shared" si="142"/>
        <v>0</v>
      </c>
      <c r="MF72" s="26">
        <f t="shared" si="143"/>
        <v>0</v>
      </c>
      <c r="MG72" s="5">
        <f t="shared" si="144"/>
        <v>1075008</v>
      </c>
      <c r="MH72" s="26">
        <f t="shared" si="145"/>
        <v>0</v>
      </c>
      <c r="MI72" s="5">
        <f t="shared" si="146"/>
        <v>73933</v>
      </c>
      <c r="MJ72" s="26">
        <f t="shared" si="147"/>
        <v>0</v>
      </c>
      <c r="MK72" s="5">
        <f t="shared" si="148"/>
        <v>8092279</v>
      </c>
      <c r="ML72" s="26">
        <f t="shared" si="149"/>
        <v>0</v>
      </c>
      <c r="MM72" s="5">
        <f t="shared" si="150"/>
        <v>80525711</v>
      </c>
      <c r="MN72" s="26">
        <f t="shared" si="151"/>
        <v>0</v>
      </c>
      <c r="MO72" s="5">
        <f t="shared" si="152"/>
        <v>2416230</v>
      </c>
      <c r="MP72" s="26">
        <f t="shared" si="153"/>
        <v>0</v>
      </c>
      <c r="MQ72" s="5">
        <f t="shared" si="154"/>
        <v>82941941</v>
      </c>
      <c r="MR72" s="26">
        <f t="shared" si="155"/>
        <v>0</v>
      </c>
      <c r="MT72" s="5">
        <f t="shared" si="158"/>
        <v>0</v>
      </c>
      <c r="MV72" s="4">
        <f t="shared" si="159"/>
        <v>0</v>
      </c>
    </row>
    <row r="73" spans="1:371" x14ac:dyDescent="0.15">
      <c r="A73" s="157" t="s">
        <v>350</v>
      </c>
      <c r="B73" s="25" t="s">
        <v>475</v>
      </c>
      <c r="C73" s="109">
        <v>187985</v>
      </c>
      <c r="D73" s="105">
        <v>2011</v>
      </c>
      <c r="E73" s="106">
        <v>1</v>
      </c>
      <c r="F73" s="106">
        <v>6</v>
      </c>
      <c r="G73" s="107">
        <v>9940</v>
      </c>
      <c r="H73" s="107">
        <v>13249</v>
      </c>
      <c r="I73" s="108">
        <v>1078442521</v>
      </c>
      <c r="J73" s="108"/>
      <c r="K73" s="108">
        <v>2015183</v>
      </c>
      <c r="L73" s="108"/>
      <c r="M73" s="108">
        <v>32683085</v>
      </c>
      <c r="N73" s="108"/>
      <c r="O73" s="108">
        <v>33194668</v>
      </c>
      <c r="P73" s="108"/>
      <c r="Q73" s="108">
        <v>491188605</v>
      </c>
      <c r="R73" s="108"/>
      <c r="S73" s="112">
        <v>851256296</v>
      </c>
      <c r="T73" s="112"/>
      <c r="U73" s="112">
        <v>15700</v>
      </c>
      <c r="V73" s="112"/>
      <c r="W73" s="112">
        <v>26510</v>
      </c>
      <c r="X73" s="112"/>
      <c r="Y73" s="112">
        <v>19800</v>
      </c>
      <c r="Z73" s="112"/>
      <c r="AA73" s="112">
        <v>30610</v>
      </c>
      <c r="AB73" s="108"/>
      <c r="AC73" s="129">
        <v>9</v>
      </c>
      <c r="AD73" s="129">
        <v>10</v>
      </c>
      <c r="AE73" s="129">
        <v>0</v>
      </c>
      <c r="AF73" s="26">
        <v>3025188</v>
      </c>
      <c r="AG73" s="26">
        <v>1882832</v>
      </c>
      <c r="AH73" s="26">
        <v>423029</v>
      </c>
      <c r="AI73" s="26">
        <v>174280</v>
      </c>
      <c r="AJ73" s="26">
        <v>487645.69</v>
      </c>
      <c r="AK73" s="36">
        <v>6.5</v>
      </c>
      <c r="AL73" s="26">
        <v>452813.86</v>
      </c>
      <c r="AM73" s="36">
        <v>7</v>
      </c>
      <c r="AN73" s="26">
        <v>105114</v>
      </c>
      <c r="AO73" s="36">
        <v>7.5</v>
      </c>
      <c r="AP73" s="26">
        <v>98544.38</v>
      </c>
      <c r="AQ73" s="36">
        <v>8</v>
      </c>
      <c r="AR73" s="26">
        <v>147350.07999999999</v>
      </c>
      <c r="AS73" s="36">
        <v>18.690000000000001</v>
      </c>
      <c r="AT73" s="26">
        <v>137698.65</v>
      </c>
      <c r="AU73" s="36">
        <v>20</v>
      </c>
      <c r="AV73" s="26">
        <v>55955.6</v>
      </c>
      <c r="AW73" s="36">
        <v>11.78</v>
      </c>
      <c r="AX73" s="26">
        <v>54929.75</v>
      </c>
      <c r="AY73" s="36">
        <v>12</v>
      </c>
      <c r="AZ73" s="54">
        <v>4976326</v>
      </c>
      <c r="BA73" s="54">
        <v>712582</v>
      </c>
      <c r="BB73" s="54">
        <v>47315</v>
      </c>
      <c r="BC73" s="54">
        <v>91825</v>
      </c>
      <c r="BD73" s="54">
        <v>0</v>
      </c>
      <c r="BE73" s="54">
        <v>5828048</v>
      </c>
      <c r="BF73" s="54">
        <v>0</v>
      </c>
      <c r="BG73" s="54">
        <v>0</v>
      </c>
      <c r="BH73" s="54">
        <v>0</v>
      </c>
      <c r="BI73" s="54">
        <v>0</v>
      </c>
      <c r="BJ73" s="54">
        <v>15231708</v>
      </c>
      <c r="BK73" s="54">
        <v>15231708</v>
      </c>
      <c r="BL73" s="54">
        <v>1675000</v>
      </c>
      <c r="BM73" s="54">
        <v>0</v>
      </c>
      <c r="BN73" s="54">
        <v>0</v>
      </c>
      <c r="BO73" s="54">
        <v>29000</v>
      </c>
      <c r="BP73" s="54">
        <v>0</v>
      </c>
      <c r="BQ73" s="54">
        <v>1704000</v>
      </c>
      <c r="BR73" s="54">
        <v>2155948</v>
      </c>
      <c r="BS73" s="54">
        <v>256384</v>
      </c>
      <c r="BT73" s="54">
        <v>0</v>
      </c>
      <c r="BU73" s="54">
        <v>94378</v>
      </c>
      <c r="BV73" s="54">
        <v>228293</v>
      </c>
      <c r="BW73" s="54">
        <v>2735003</v>
      </c>
      <c r="BX73" s="54">
        <v>37800</v>
      </c>
      <c r="BY73" s="54">
        <v>9600</v>
      </c>
      <c r="BZ73" s="54">
        <v>4200</v>
      </c>
      <c r="CA73" s="54">
        <v>23550</v>
      </c>
      <c r="CB73" s="54">
        <v>20400</v>
      </c>
      <c r="CC73" s="54">
        <v>95550</v>
      </c>
      <c r="CD73" s="54">
        <v>0</v>
      </c>
      <c r="CE73" s="54">
        <v>0</v>
      </c>
      <c r="CF73" s="54">
        <v>0</v>
      </c>
      <c r="CG73" s="54">
        <v>0</v>
      </c>
      <c r="CH73" s="54">
        <v>0</v>
      </c>
      <c r="CI73" s="54">
        <v>0</v>
      </c>
      <c r="CJ73" s="54">
        <v>113969</v>
      </c>
      <c r="CK73" s="54">
        <v>91897</v>
      </c>
      <c r="CL73" s="54">
        <v>67739</v>
      </c>
      <c r="CM73" s="54">
        <v>227667</v>
      </c>
      <c r="CN73" s="54">
        <v>828637</v>
      </c>
      <c r="CO73" s="54">
        <v>1329909</v>
      </c>
      <c r="CP73" s="54">
        <v>0</v>
      </c>
      <c r="CQ73" s="54">
        <v>0</v>
      </c>
      <c r="CR73" s="54">
        <v>0</v>
      </c>
      <c r="CS73" s="54">
        <v>0</v>
      </c>
      <c r="CT73" s="54">
        <v>0</v>
      </c>
      <c r="CU73" s="54">
        <v>0</v>
      </c>
      <c r="CV73" s="54">
        <v>5154363</v>
      </c>
      <c r="CW73" s="54">
        <v>2516452</v>
      </c>
      <c r="CX73" s="54">
        <v>43329</v>
      </c>
      <c r="CY73" s="54">
        <v>87847</v>
      </c>
      <c r="CZ73" s="54">
        <v>1071407</v>
      </c>
      <c r="DA73" s="54">
        <v>8873398</v>
      </c>
      <c r="DB73" s="54">
        <v>289319</v>
      </c>
      <c r="DC73" s="54">
        <v>131970</v>
      </c>
      <c r="DD73" s="54">
        <v>30455</v>
      </c>
      <c r="DE73" s="54">
        <v>15227</v>
      </c>
      <c r="DF73" s="54">
        <v>40606</v>
      </c>
      <c r="DG73" s="54">
        <v>507577</v>
      </c>
      <c r="DH73" s="54">
        <v>346950</v>
      </c>
      <c r="DI73" s="54">
        <v>3181</v>
      </c>
      <c r="DJ73" s="54">
        <v>0</v>
      </c>
      <c r="DK73" s="54">
        <v>0</v>
      </c>
      <c r="DL73" s="54">
        <v>11453</v>
      </c>
      <c r="DM73" s="54">
        <v>361584</v>
      </c>
      <c r="DN73" s="54">
        <v>2082589</v>
      </c>
      <c r="DO73" s="54">
        <v>924040</v>
      </c>
      <c r="DP73" s="54">
        <v>208863</v>
      </c>
      <c r="DQ73" s="54">
        <v>383007</v>
      </c>
      <c r="DR73" s="54">
        <v>1287286</v>
      </c>
      <c r="DS73" s="54">
        <v>4885785</v>
      </c>
      <c r="DT73" s="54">
        <v>0</v>
      </c>
      <c r="DU73" s="54">
        <v>0</v>
      </c>
      <c r="DV73" s="54">
        <v>0</v>
      </c>
      <c r="DW73" s="54">
        <v>0</v>
      </c>
      <c r="DX73" s="54">
        <v>0</v>
      </c>
      <c r="DY73" s="54">
        <v>0</v>
      </c>
      <c r="DZ73" s="54">
        <v>189958</v>
      </c>
      <c r="EA73" s="54">
        <v>16702</v>
      </c>
      <c r="EB73" s="54">
        <v>0</v>
      </c>
      <c r="EC73" s="54">
        <v>26075</v>
      </c>
      <c r="ED73" s="54">
        <v>6388</v>
      </c>
      <c r="EE73" s="54">
        <v>239123</v>
      </c>
      <c r="EF73" s="54">
        <v>33400</v>
      </c>
      <c r="EG73" s="54">
        <v>0</v>
      </c>
      <c r="EH73" s="54">
        <v>0</v>
      </c>
      <c r="EI73" s="54">
        <v>56598</v>
      </c>
      <c r="EJ73" s="54">
        <v>66440</v>
      </c>
      <c r="EK73" s="54">
        <v>156438</v>
      </c>
      <c r="EL73" s="54">
        <v>17055622</v>
      </c>
      <c r="EM73" s="54">
        <v>4662808</v>
      </c>
      <c r="EN73" s="54">
        <v>401901</v>
      </c>
      <c r="EO73" s="54">
        <v>1035174</v>
      </c>
      <c r="EP73" s="54">
        <v>18792618</v>
      </c>
      <c r="EQ73" s="54">
        <v>41948123</v>
      </c>
      <c r="ER73" s="54">
        <v>1803069</v>
      </c>
      <c r="ES73" s="54">
        <v>361571</v>
      </c>
      <c r="ET73" s="54">
        <v>375444</v>
      </c>
      <c r="EU73" s="54">
        <v>2367936</v>
      </c>
      <c r="EV73" s="54">
        <v>195142</v>
      </c>
      <c r="EW73" s="54">
        <v>5103162</v>
      </c>
      <c r="EX73" s="54">
        <v>1400000</v>
      </c>
      <c r="EY73" s="54">
        <v>301340</v>
      </c>
      <c r="EZ73" s="54">
        <v>84270</v>
      </c>
      <c r="FA73" s="54">
        <v>115443</v>
      </c>
      <c r="FB73" s="54">
        <v>0</v>
      </c>
      <c r="FC73" s="54">
        <v>1901053</v>
      </c>
      <c r="FD73" s="54">
        <v>3709320</v>
      </c>
      <c r="FE73" s="54">
        <v>1356139</v>
      </c>
      <c r="FF73" s="54">
        <v>510224</v>
      </c>
      <c r="FG73" s="54">
        <v>1795499</v>
      </c>
      <c r="FH73" s="54">
        <v>0</v>
      </c>
      <c r="FI73" s="54">
        <v>7371182</v>
      </c>
      <c r="FJ73" s="54">
        <v>32400</v>
      </c>
      <c r="FK73" s="54">
        <v>9600</v>
      </c>
      <c r="FL73" s="54">
        <v>4200</v>
      </c>
      <c r="FM73" s="54">
        <v>23550</v>
      </c>
      <c r="FN73" s="54">
        <v>0</v>
      </c>
      <c r="FO73" s="54">
        <v>69750</v>
      </c>
      <c r="FP73" s="54">
        <v>465205</v>
      </c>
      <c r="FQ73" s="54">
        <v>152152</v>
      </c>
      <c r="FR73" s="54">
        <v>138229</v>
      </c>
      <c r="FS73" s="54">
        <v>21912</v>
      </c>
      <c r="FT73" s="54">
        <v>6092766</v>
      </c>
      <c r="FU73" s="54">
        <v>6870264</v>
      </c>
      <c r="FV73" s="54">
        <v>5400</v>
      </c>
      <c r="FW73" s="54">
        <v>0</v>
      </c>
      <c r="FX73" s="54">
        <v>0</v>
      </c>
      <c r="FY73" s="54">
        <v>0</v>
      </c>
      <c r="FZ73" s="54">
        <v>20400</v>
      </c>
      <c r="GA73" s="54">
        <v>25800</v>
      </c>
      <c r="GB73" s="54">
        <v>0</v>
      </c>
      <c r="GC73" s="54">
        <v>0</v>
      </c>
      <c r="GD73" s="54">
        <v>0</v>
      </c>
      <c r="GE73" s="54">
        <v>0</v>
      </c>
      <c r="GF73" s="54">
        <v>2788219</v>
      </c>
      <c r="GG73" s="54">
        <v>2788219</v>
      </c>
      <c r="GH73" s="54">
        <v>184280</v>
      </c>
      <c r="GI73" s="54">
        <v>160190</v>
      </c>
      <c r="GJ73" s="54">
        <v>101263</v>
      </c>
      <c r="GK73" s="54">
        <v>151576</v>
      </c>
      <c r="GL73" s="54">
        <v>30000</v>
      </c>
      <c r="GM73" s="54">
        <v>627309</v>
      </c>
      <c r="GN73" s="54">
        <v>1643441</v>
      </c>
      <c r="GO73" s="54">
        <v>484611</v>
      </c>
      <c r="GP73" s="54">
        <v>385953</v>
      </c>
      <c r="GQ73" s="54">
        <v>1790840</v>
      </c>
      <c r="GR73" s="54">
        <v>0</v>
      </c>
      <c r="GS73" s="54">
        <v>4304845</v>
      </c>
      <c r="GT73" s="54">
        <v>700241</v>
      </c>
      <c r="GU73" s="54">
        <v>141325</v>
      </c>
      <c r="GV73" s="54">
        <v>72396</v>
      </c>
      <c r="GW73" s="54">
        <v>538670</v>
      </c>
      <c r="GX73" s="54">
        <v>25927</v>
      </c>
      <c r="GY73" s="54">
        <v>1478559</v>
      </c>
      <c r="GZ73" s="54">
        <v>584388</v>
      </c>
      <c r="HA73" s="54">
        <v>265777</v>
      </c>
      <c r="HB73" s="54">
        <v>142282</v>
      </c>
      <c r="HC73" s="54">
        <v>169362</v>
      </c>
      <c r="HD73" s="54">
        <v>125583</v>
      </c>
      <c r="HE73" s="54">
        <v>1287392</v>
      </c>
      <c r="HF73" s="54">
        <v>0</v>
      </c>
      <c r="HG73" s="54">
        <v>0</v>
      </c>
      <c r="HH73" s="54">
        <v>0</v>
      </c>
      <c r="HI73" s="54">
        <v>0</v>
      </c>
      <c r="HJ73" s="54">
        <v>1619688</v>
      </c>
      <c r="HK73" s="54">
        <v>1619688</v>
      </c>
      <c r="HL73" s="54">
        <v>0</v>
      </c>
      <c r="HM73" s="54">
        <v>0</v>
      </c>
      <c r="HN73" s="54">
        <v>0</v>
      </c>
      <c r="HO73" s="54">
        <v>0</v>
      </c>
      <c r="HP73" s="54">
        <v>0</v>
      </c>
      <c r="HQ73" s="54">
        <v>0</v>
      </c>
      <c r="HR73" s="54">
        <v>945000</v>
      </c>
      <c r="HS73" s="54">
        <v>76500</v>
      </c>
      <c r="HT73" s="54">
        <v>67500</v>
      </c>
      <c r="HU73" s="54">
        <v>5000</v>
      </c>
      <c r="HV73" s="54">
        <v>3645374</v>
      </c>
      <c r="HW73" s="54">
        <v>4739374</v>
      </c>
      <c r="HX73" s="54">
        <v>0</v>
      </c>
      <c r="HY73" s="54">
        <v>0</v>
      </c>
      <c r="HZ73" s="54">
        <v>0</v>
      </c>
      <c r="IA73" s="54">
        <v>0</v>
      </c>
      <c r="IB73" s="54">
        <v>324351</v>
      </c>
      <c r="IC73" s="54">
        <v>324351</v>
      </c>
      <c r="ID73" s="54">
        <v>0</v>
      </c>
      <c r="IE73" s="54">
        <v>0</v>
      </c>
      <c r="IF73" s="54">
        <v>0</v>
      </c>
      <c r="IG73" s="54">
        <v>0</v>
      </c>
      <c r="IH73" s="54">
        <v>0</v>
      </c>
      <c r="II73" s="54">
        <v>0</v>
      </c>
      <c r="IJ73" s="54">
        <v>0</v>
      </c>
      <c r="IK73" s="54">
        <v>0</v>
      </c>
      <c r="IL73" s="54">
        <v>0</v>
      </c>
      <c r="IM73" s="54">
        <v>0</v>
      </c>
      <c r="IN73" s="54">
        <v>1109844</v>
      </c>
      <c r="IO73" s="54">
        <v>1109844</v>
      </c>
      <c r="IP73" s="54">
        <v>1827</v>
      </c>
      <c r="IQ73" s="54">
        <v>7018</v>
      </c>
      <c r="IR73" s="54">
        <v>7940</v>
      </c>
      <c r="IS73" s="54">
        <v>6493</v>
      </c>
      <c r="IT73" s="54">
        <v>22815</v>
      </c>
      <c r="IU73" s="54">
        <v>46093</v>
      </c>
      <c r="IV73" s="54">
        <v>1220751</v>
      </c>
      <c r="IW73" s="54">
        <v>281521</v>
      </c>
      <c r="IX73" s="54">
        <v>73642</v>
      </c>
      <c r="IY73" s="54">
        <v>141385</v>
      </c>
      <c r="IZ73" s="54">
        <v>2110062</v>
      </c>
      <c r="JA73" s="54">
        <v>3827361</v>
      </c>
      <c r="JB73" s="54">
        <v>12695322</v>
      </c>
      <c r="JC73" s="54">
        <v>3597744</v>
      </c>
      <c r="JD73" s="54">
        <v>1963343</v>
      </c>
      <c r="JE73" s="54">
        <v>7127666</v>
      </c>
      <c r="JF73" s="54">
        <v>18110171</v>
      </c>
      <c r="JG73" s="54">
        <v>43494246</v>
      </c>
      <c r="JH73" s="54">
        <v>0</v>
      </c>
      <c r="JI73" s="54">
        <v>0</v>
      </c>
      <c r="JJ73" s="54">
        <v>0</v>
      </c>
      <c r="JK73" s="54">
        <v>0</v>
      </c>
      <c r="JL73" s="54">
        <v>0</v>
      </c>
      <c r="JM73" s="54">
        <v>0</v>
      </c>
      <c r="JN73" s="54">
        <v>12695322</v>
      </c>
      <c r="JO73" s="54">
        <v>3597744</v>
      </c>
      <c r="JP73" s="54">
        <v>1963343</v>
      </c>
      <c r="JQ73" s="54">
        <v>7127666</v>
      </c>
      <c r="JR73" s="54">
        <v>18110171</v>
      </c>
      <c r="JS73" s="54">
        <v>43494246</v>
      </c>
      <c r="JU73" s="5">
        <f t="shared" si="80"/>
        <v>5828048</v>
      </c>
      <c r="JV73" s="26">
        <f t="shared" si="81"/>
        <v>0</v>
      </c>
      <c r="JW73" s="5">
        <f t="shared" si="82"/>
        <v>15231708</v>
      </c>
      <c r="JX73" s="26">
        <f t="shared" si="83"/>
        <v>0</v>
      </c>
      <c r="JY73" s="5">
        <f t="shared" si="84"/>
        <v>1704000</v>
      </c>
      <c r="JZ73" s="26">
        <f t="shared" si="85"/>
        <v>0</v>
      </c>
      <c r="KA73" s="5">
        <f t="shared" si="86"/>
        <v>2735003</v>
      </c>
      <c r="KB73" s="26">
        <f t="shared" si="87"/>
        <v>0</v>
      </c>
      <c r="KC73" s="5">
        <f t="shared" si="88"/>
        <v>95550</v>
      </c>
      <c r="KD73" s="26">
        <f t="shared" si="89"/>
        <v>0</v>
      </c>
      <c r="KE73" s="5">
        <f t="shared" si="90"/>
        <v>0</v>
      </c>
      <c r="KF73" s="26">
        <f t="shared" si="91"/>
        <v>0</v>
      </c>
      <c r="KG73" s="5">
        <f t="shared" si="92"/>
        <v>1329909</v>
      </c>
      <c r="KH73" s="26">
        <f t="shared" si="93"/>
        <v>0</v>
      </c>
      <c r="KI73" s="5">
        <f t="shared" si="94"/>
        <v>0</v>
      </c>
      <c r="KJ73" s="26">
        <f t="shared" si="95"/>
        <v>0</v>
      </c>
      <c r="KK73" s="5">
        <f t="shared" si="96"/>
        <v>8873398</v>
      </c>
      <c r="KL73" s="26">
        <f t="shared" si="97"/>
        <v>0</v>
      </c>
      <c r="KM73" s="5">
        <f t="shared" si="98"/>
        <v>507577</v>
      </c>
      <c r="KN73" s="26">
        <f t="shared" si="99"/>
        <v>0</v>
      </c>
      <c r="KO73" s="5">
        <f t="shared" si="100"/>
        <v>361584</v>
      </c>
      <c r="KP73" s="26">
        <f t="shared" si="101"/>
        <v>0</v>
      </c>
      <c r="KQ73" s="5">
        <f t="shared" si="102"/>
        <v>4885785</v>
      </c>
      <c r="KR73" s="26">
        <f t="shared" si="103"/>
        <v>0</v>
      </c>
      <c r="KS73" s="5">
        <f t="shared" si="104"/>
        <v>0</v>
      </c>
      <c r="KT73" s="26">
        <f t="shared" si="105"/>
        <v>0</v>
      </c>
      <c r="KU73" s="5">
        <f t="shared" si="106"/>
        <v>239123</v>
      </c>
      <c r="KV73" s="26">
        <f t="shared" si="107"/>
        <v>0</v>
      </c>
      <c r="KW73" s="5">
        <f t="shared" si="108"/>
        <v>156438</v>
      </c>
      <c r="KX73" s="26">
        <f t="shared" si="109"/>
        <v>0</v>
      </c>
      <c r="KY73" s="5">
        <f t="shared" si="110"/>
        <v>41948123</v>
      </c>
      <c r="KZ73" s="26">
        <f t="shared" si="111"/>
        <v>0</v>
      </c>
      <c r="LA73" s="5">
        <f t="shared" si="112"/>
        <v>5103162</v>
      </c>
      <c r="LB73" s="26">
        <f t="shared" si="113"/>
        <v>0</v>
      </c>
      <c r="LC73" s="5">
        <f t="shared" si="114"/>
        <v>1901053</v>
      </c>
      <c r="LD73" s="26">
        <f t="shared" si="115"/>
        <v>0</v>
      </c>
      <c r="LE73" s="5">
        <f t="shared" si="116"/>
        <v>7371182</v>
      </c>
      <c r="LF73" s="26">
        <f t="shared" si="117"/>
        <v>0</v>
      </c>
      <c r="LG73" s="5">
        <f t="shared" si="118"/>
        <v>69750</v>
      </c>
      <c r="LH73" s="26">
        <f t="shared" si="119"/>
        <v>0</v>
      </c>
      <c r="LI73" s="5">
        <f t="shared" si="120"/>
        <v>6870264</v>
      </c>
      <c r="LJ73" s="26">
        <f t="shared" si="121"/>
        <v>0</v>
      </c>
      <c r="LK73" s="5">
        <f t="shared" si="122"/>
        <v>25800</v>
      </c>
      <c r="LL73" s="26">
        <f t="shared" si="123"/>
        <v>0</v>
      </c>
      <c r="LM73" s="5">
        <f t="shared" si="124"/>
        <v>2788219</v>
      </c>
      <c r="LN73" s="26">
        <f t="shared" si="125"/>
        <v>0</v>
      </c>
      <c r="LO73" s="5">
        <f t="shared" si="126"/>
        <v>627309</v>
      </c>
      <c r="LP73" s="26">
        <f t="shared" si="127"/>
        <v>0</v>
      </c>
      <c r="LQ73" s="5">
        <f t="shared" si="128"/>
        <v>4304845</v>
      </c>
      <c r="LR73" s="26">
        <f t="shared" si="129"/>
        <v>0</v>
      </c>
      <c r="LS73" s="5">
        <f t="shared" si="130"/>
        <v>1478559</v>
      </c>
      <c r="LT73" s="26">
        <f t="shared" si="131"/>
        <v>0</v>
      </c>
      <c r="LU73" s="5">
        <f t="shared" si="132"/>
        <v>1287392</v>
      </c>
      <c r="LV73" s="26">
        <f t="shared" si="133"/>
        <v>0</v>
      </c>
      <c r="LW73" s="5">
        <f t="shared" si="134"/>
        <v>1619688</v>
      </c>
      <c r="LX73" s="26">
        <f t="shared" si="135"/>
        <v>0</v>
      </c>
      <c r="LY73" s="5">
        <f t="shared" si="136"/>
        <v>0</v>
      </c>
      <c r="LZ73" s="26">
        <f t="shared" si="137"/>
        <v>0</v>
      </c>
      <c r="MA73" s="5">
        <f t="shared" si="138"/>
        <v>4739374</v>
      </c>
      <c r="MB73" s="26">
        <f t="shared" si="139"/>
        <v>0</v>
      </c>
      <c r="MC73" s="5">
        <f t="shared" si="140"/>
        <v>324351</v>
      </c>
      <c r="MD73" s="26">
        <f t="shared" si="141"/>
        <v>0</v>
      </c>
      <c r="ME73" s="5">
        <f t="shared" si="142"/>
        <v>0</v>
      </c>
      <c r="MF73" s="26">
        <f t="shared" si="143"/>
        <v>0</v>
      </c>
      <c r="MG73" s="5">
        <f t="shared" si="144"/>
        <v>1109844</v>
      </c>
      <c r="MH73" s="26">
        <f t="shared" si="145"/>
        <v>0</v>
      </c>
      <c r="MI73" s="5">
        <f t="shared" si="146"/>
        <v>46093</v>
      </c>
      <c r="MJ73" s="26">
        <f t="shared" si="147"/>
        <v>0</v>
      </c>
      <c r="MK73" s="5">
        <f t="shared" si="148"/>
        <v>3827361</v>
      </c>
      <c r="ML73" s="26">
        <f t="shared" si="149"/>
        <v>0</v>
      </c>
      <c r="MM73" s="5">
        <f t="shared" si="150"/>
        <v>43494246</v>
      </c>
      <c r="MN73" s="26">
        <f t="shared" si="151"/>
        <v>0</v>
      </c>
      <c r="MO73" s="5">
        <f t="shared" si="152"/>
        <v>0</v>
      </c>
      <c r="MP73" s="26">
        <f t="shared" si="153"/>
        <v>0</v>
      </c>
      <c r="MQ73" s="5">
        <f t="shared" si="154"/>
        <v>43494246</v>
      </c>
      <c r="MR73" s="26">
        <f t="shared" si="155"/>
        <v>0</v>
      </c>
      <c r="MT73" s="5">
        <f t="shared" si="158"/>
        <v>0</v>
      </c>
      <c r="MV73" s="4">
        <f t="shared" si="159"/>
        <v>0</v>
      </c>
    </row>
    <row r="74" spans="1:371" x14ac:dyDescent="0.15">
      <c r="A74" s="155" t="s">
        <v>349</v>
      </c>
      <c r="B74" s="25" t="s">
        <v>461</v>
      </c>
      <c r="C74" s="105">
        <v>176372</v>
      </c>
      <c r="D74" s="105">
        <v>2011</v>
      </c>
      <c r="E74" s="106">
        <v>1</v>
      </c>
      <c r="F74" s="106">
        <v>8</v>
      </c>
      <c r="G74" s="107">
        <v>4263</v>
      </c>
      <c r="H74" s="107">
        <v>6753</v>
      </c>
      <c r="I74" s="108">
        <v>309485353</v>
      </c>
      <c r="J74" s="108"/>
      <c r="K74" s="108">
        <v>1916755</v>
      </c>
      <c r="L74" s="108"/>
      <c r="M74" s="108">
        <v>6781896</v>
      </c>
      <c r="N74" s="108"/>
      <c r="O74" s="108">
        <v>29104384</v>
      </c>
      <c r="P74" s="108"/>
      <c r="Q74" s="108">
        <v>139412945</v>
      </c>
      <c r="R74" s="108"/>
      <c r="S74" s="108">
        <v>181558253</v>
      </c>
      <c r="T74" s="108"/>
      <c r="U74" s="108">
        <v>13070</v>
      </c>
      <c r="V74" s="108"/>
      <c r="W74" s="108">
        <v>21320</v>
      </c>
      <c r="X74" s="108"/>
      <c r="Y74" s="108">
        <v>18426</v>
      </c>
      <c r="Z74" s="108"/>
      <c r="AA74" s="108">
        <v>26382</v>
      </c>
      <c r="AB74" s="108"/>
      <c r="AC74" s="130">
        <v>7</v>
      </c>
      <c r="AD74" s="130">
        <v>9</v>
      </c>
      <c r="AE74" s="130">
        <v>0</v>
      </c>
      <c r="AF74" s="26">
        <v>2515119</v>
      </c>
      <c r="AG74" s="26">
        <v>1564591</v>
      </c>
      <c r="AH74" s="26">
        <v>285437</v>
      </c>
      <c r="AI74" s="26">
        <v>121741</v>
      </c>
      <c r="AJ74" s="26">
        <v>301010.36</v>
      </c>
      <c r="AK74" s="36">
        <v>5.5</v>
      </c>
      <c r="AL74" s="26">
        <v>275926.17</v>
      </c>
      <c r="AM74" s="36">
        <v>6</v>
      </c>
      <c r="AN74" s="26">
        <v>79404.460000000006</v>
      </c>
      <c r="AO74" s="36">
        <v>6.5</v>
      </c>
      <c r="AP74" s="26">
        <v>73732.710000000006</v>
      </c>
      <c r="AQ74" s="36">
        <v>7</v>
      </c>
      <c r="AR74" s="26">
        <v>121332.91</v>
      </c>
      <c r="AS74" s="36">
        <v>16.5</v>
      </c>
      <c r="AT74" s="26">
        <v>111221.83</v>
      </c>
      <c r="AU74" s="36">
        <v>18</v>
      </c>
      <c r="AV74" s="26">
        <v>50682.35</v>
      </c>
      <c r="AW74" s="36">
        <v>8.5</v>
      </c>
      <c r="AX74" s="26">
        <v>43080</v>
      </c>
      <c r="AY74" s="36">
        <v>10</v>
      </c>
      <c r="AZ74" s="89">
        <v>2161450</v>
      </c>
      <c r="BA74" s="89">
        <v>284723</v>
      </c>
      <c r="BB74" s="89">
        <v>12665</v>
      </c>
      <c r="BC74" s="89">
        <v>368287</v>
      </c>
      <c r="BD74" s="89">
        <v>0</v>
      </c>
      <c r="BE74" s="89">
        <v>2827125</v>
      </c>
      <c r="BF74" s="89">
        <v>0</v>
      </c>
      <c r="BG74" s="89">
        <v>0</v>
      </c>
      <c r="BH74" s="89">
        <v>0</v>
      </c>
      <c r="BI74" s="89">
        <v>0</v>
      </c>
      <c r="BJ74" s="89">
        <v>6084813</v>
      </c>
      <c r="BK74" s="89">
        <v>6084813</v>
      </c>
      <c r="BL74" s="89">
        <v>1119570</v>
      </c>
      <c r="BM74" s="89">
        <v>80000</v>
      </c>
      <c r="BN74" s="89">
        <v>8000</v>
      </c>
      <c r="BO74" s="89">
        <v>40000</v>
      </c>
      <c r="BP74" s="89">
        <v>0</v>
      </c>
      <c r="BQ74" s="89">
        <v>1247570</v>
      </c>
      <c r="BR74" s="89">
        <v>1090</v>
      </c>
      <c r="BS74" s="89">
        <v>10000</v>
      </c>
      <c r="BT74" s="89">
        <v>8000</v>
      </c>
      <c r="BU74" s="89">
        <v>48822</v>
      </c>
      <c r="BV74" s="89">
        <v>3127701</v>
      </c>
      <c r="BW74" s="89">
        <v>3195613</v>
      </c>
      <c r="BX74" s="54">
        <v>0</v>
      </c>
      <c r="BY74" s="54">
        <v>0</v>
      </c>
      <c r="BZ74" s="54">
        <v>0</v>
      </c>
      <c r="CA74" s="54">
        <v>0</v>
      </c>
      <c r="CB74" s="54">
        <v>0</v>
      </c>
      <c r="CC74" s="54">
        <v>0</v>
      </c>
      <c r="CD74" s="54">
        <v>0</v>
      </c>
      <c r="CE74" s="54">
        <v>0</v>
      </c>
      <c r="CF74" s="54">
        <v>0</v>
      </c>
      <c r="CG74" s="54">
        <v>0</v>
      </c>
      <c r="CH74" s="54">
        <v>0</v>
      </c>
      <c r="CI74" s="54">
        <v>0</v>
      </c>
      <c r="CJ74" s="89">
        <v>0</v>
      </c>
      <c r="CK74" s="89">
        <v>0</v>
      </c>
      <c r="CL74" s="89">
        <v>0</v>
      </c>
      <c r="CM74" s="89">
        <v>0</v>
      </c>
      <c r="CN74" s="89">
        <v>1870604</v>
      </c>
      <c r="CO74" s="89">
        <v>1870604</v>
      </c>
      <c r="CP74" s="54">
        <v>0</v>
      </c>
      <c r="CQ74" s="54">
        <v>0</v>
      </c>
      <c r="CR74" s="54">
        <v>0</v>
      </c>
      <c r="CS74" s="54">
        <v>0</v>
      </c>
      <c r="CT74" s="54">
        <v>60000</v>
      </c>
      <c r="CU74" s="54">
        <v>60000</v>
      </c>
      <c r="CV74" s="89">
        <v>1767711</v>
      </c>
      <c r="CW74" s="89">
        <v>679742</v>
      </c>
      <c r="CX74" s="89">
        <v>10000</v>
      </c>
      <c r="CY74" s="89">
        <v>24278</v>
      </c>
      <c r="CZ74" s="89">
        <v>626142</v>
      </c>
      <c r="DA74" s="89">
        <v>3107873</v>
      </c>
      <c r="DB74" s="54">
        <v>0</v>
      </c>
      <c r="DC74" s="54">
        <v>0</v>
      </c>
      <c r="DD74" s="54">
        <v>0</v>
      </c>
      <c r="DE74" s="54">
        <v>0</v>
      </c>
      <c r="DF74" s="54">
        <v>0</v>
      </c>
      <c r="DG74" s="54">
        <v>0</v>
      </c>
      <c r="DH74" s="89">
        <v>156828</v>
      </c>
      <c r="DI74" s="55">
        <v>24523</v>
      </c>
      <c r="DJ74" s="89">
        <v>3524</v>
      </c>
      <c r="DK74" s="55">
        <v>46538</v>
      </c>
      <c r="DL74" s="89">
        <v>23249</v>
      </c>
      <c r="DM74" s="89">
        <v>254662</v>
      </c>
      <c r="DN74" s="89">
        <v>0</v>
      </c>
      <c r="DO74" s="89">
        <v>0</v>
      </c>
      <c r="DP74" s="89">
        <v>0</v>
      </c>
      <c r="DQ74" s="89">
        <v>0</v>
      </c>
      <c r="DR74" s="89">
        <v>1556296</v>
      </c>
      <c r="DS74" s="89">
        <v>1556296</v>
      </c>
      <c r="DT74" s="89">
        <v>0</v>
      </c>
      <c r="DU74" s="89">
        <v>16812</v>
      </c>
      <c r="DV74" s="89">
        <v>21922</v>
      </c>
      <c r="DW74" s="89">
        <v>150545</v>
      </c>
      <c r="DX74" s="89">
        <v>12636</v>
      </c>
      <c r="DY74" s="89">
        <v>201915</v>
      </c>
      <c r="DZ74" s="89">
        <v>0</v>
      </c>
      <c r="EA74" s="89">
        <v>0</v>
      </c>
      <c r="EB74" s="89">
        <v>0</v>
      </c>
      <c r="EC74" s="89">
        <v>0</v>
      </c>
      <c r="ED74" s="89">
        <v>51367</v>
      </c>
      <c r="EE74" s="89">
        <v>51367</v>
      </c>
      <c r="EF74" s="89">
        <v>0</v>
      </c>
      <c r="EG74" s="89">
        <v>0</v>
      </c>
      <c r="EH74" s="89">
        <v>0</v>
      </c>
      <c r="EI74" s="89">
        <v>0</v>
      </c>
      <c r="EJ74" s="89">
        <v>215759</v>
      </c>
      <c r="EK74" s="89">
        <v>215759</v>
      </c>
      <c r="EL74" s="89">
        <v>5206649</v>
      </c>
      <c r="EM74" s="89">
        <v>1095800</v>
      </c>
      <c r="EN74" s="89">
        <v>64111</v>
      </c>
      <c r="EO74" s="89">
        <v>678470</v>
      </c>
      <c r="EP74" s="89">
        <v>13628567</v>
      </c>
      <c r="EQ74" s="89">
        <v>20673597</v>
      </c>
      <c r="ER74" s="89">
        <v>1685469</v>
      </c>
      <c r="ES74" s="89">
        <v>264448</v>
      </c>
      <c r="ET74" s="89">
        <v>307986</v>
      </c>
      <c r="EU74" s="89">
        <v>1821807</v>
      </c>
      <c r="EV74" s="55">
        <v>318655</v>
      </c>
      <c r="EW74" s="89">
        <v>4398365</v>
      </c>
      <c r="EX74" s="89">
        <v>400000</v>
      </c>
      <c r="EY74" s="89">
        <v>119260</v>
      </c>
      <c r="EZ74" s="89">
        <v>26812</v>
      </c>
      <c r="FA74" s="89">
        <v>31100</v>
      </c>
      <c r="FB74" s="89">
        <v>0</v>
      </c>
      <c r="FC74" s="89">
        <v>577172</v>
      </c>
      <c r="FD74" s="55">
        <v>2258350</v>
      </c>
      <c r="FE74" s="89">
        <v>819856</v>
      </c>
      <c r="FF74" s="89">
        <v>388913</v>
      </c>
      <c r="FG74" s="89">
        <v>1137360</v>
      </c>
      <c r="FH74" s="89">
        <v>0</v>
      </c>
      <c r="FI74" s="89">
        <v>4604479</v>
      </c>
      <c r="FJ74" s="54">
        <v>0</v>
      </c>
      <c r="FK74" s="54">
        <v>0</v>
      </c>
      <c r="FL74" s="54">
        <v>0</v>
      </c>
      <c r="FM74" s="54">
        <v>0</v>
      </c>
      <c r="FN74" s="54">
        <v>0</v>
      </c>
      <c r="FO74" s="54">
        <v>0</v>
      </c>
      <c r="FP74" s="89">
        <v>232952</v>
      </c>
      <c r="FQ74" s="90">
        <v>99627</v>
      </c>
      <c r="FR74" s="61">
        <v>65455</v>
      </c>
      <c r="FS74" s="61">
        <v>0</v>
      </c>
      <c r="FT74" s="61">
        <v>2400536</v>
      </c>
      <c r="FU74" s="90">
        <v>2798570</v>
      </c>
      <c r="FV74" s="54">
        <v>0</v>
      </c>
      <c r="FW74" s="54">
        <v>0</v>
      </c>
      <c r="FX74" s="54">
        <v>0</v>
      </c>
      <c r="FY74" s="54">
        <v>0</v>
      </c>
      <c r="FZ74" s="54">
        <v>0</v>
      </c>
      <c r="GA74" s="54">
        <v>0</v>
      </c>
      <c r="GB74" s="54">
        <v>0</v>
      </c>
      <c r="GC74" s="54">
        <v>0</v>
      </c>
      <c r="GD74" s="54">
        <v>0</v>
      </c>
      <c r="GE74" s="54">
        <v>0</v>
      </c>
      <c r="GF74" s="54">
        <v>0</v>
      </c>
      <c r="GG74" s="54">
        <v>0</v>
      </c>
      <c r="GH74" s="89">
        <v>177641</v>
      </c>
      <c r="GI74" s="89">
        <v>77089</v>
      </c>
      <c r="GJ74" s="89">
        <v>64170</v>
      </c>
      <c r="GK74" s="89">
        <v>88278</v>
      </c>
      <c r="GL74" s="89">
        <v>0</v>
      </c>
      <c r="GM74" s="89">
        <v>407178</v>
      </c>
      <c r="GN74" s="89">
        <v>1192492</v>
      </c>
      <c r="GO74" s="89">
        <v>279109</v>
      </c>
      <c r="GP74" s="89">
        <v>172005</v>
      </c>
      <c r="GQ74" s="89">
        <v>691266</v>
      </c>
      <c r="GR74" s="89">
        <v>0</v>
      </c>
      <c r="GS74" s="90">
        <v>2334872</v>
      </c>
      <c r="GT74" s="90">
        <v>222989</v>
      </c>
      <c r="GU74" s="89">
        <v>24818</v>
      </c>
      <c r="GV74" s="89">
        <v>23498</v>
      </c>
      <c r="GW74" s="89">
        <v>184392</v>
      </c>
      <c r="GX74" s="89">
        <v>0</v>
      </c>
      <c r="GY74" s="89">
        <v>455697</v>
      </c>
      <c r="GZ74" s="89">
        <v>437358</v>
      </c>
      <c r="HA74" s="89">
        <v>149539</v>
      </c>
      <c r="HB74" s="89">
        <v>82457</v>
      </c>
      <c r="HC74" s="89">
        <v>120268</v>
      </c>
      <c r="HD74" s="89">
        <v>0</v>
      </c>
      <c r="HE74" s="89">
        <v>789622</v>
      </c>
      <c r="HF74" s="89">
        <v>0</v>
      </c>
      <c r="HG74" s="89">
        <v>0</v>
      </c>
      <c r="HH74" s="89">
        <v>0</v>
      </c>
      <c r="HI74" s="89">
        <v>0</v>
      </c>
      <c r="HJ74" s="89">
        <v>244756</v>
      </c>
      <c r="HK74" s="89">
        <v>244756</v>
      </c>
      <c r="HL74" s="89">
        <v>0</v>
      </c>
      <c r="HM74" s="89">
        <v>8483</v>
      </c>
      <c r="HN74" s="90">
        <v>18213</v>
      </c>
      <c r="HO74" s="89">
        <v>66744</v>
      </c>
      <c r="HP74" s="90">
        <v>3142</v>
      </c>
      <c r="HQ74" s="89">
        <v>96582</v>
      </c>
      <c r="HR74" s="89">
        <v>5442</v>
      </c>
      <c r="HS74" s="89">
        <v>298</v>
      </c>
      <c r="HT74" s="90">
        <v>287</v>
      </c>
      <c r="HU74" s="90">
        <v>1233</v>
      </c>
      <c r="HV74" s="89">
        <v>2474721</v>
      </c>
      <c r="HW74" s="89">
        <v>2481981</v>
      </c>
      <c r="HX74" s="89">
        <v>46235</v>
      </c>
      <c r="HY74" s="89">
        <v>0</v>
      </c>
      <c r="HZ74" s="89">
        <v>0</v>
      </c>
      <c r="IA74" s="89">
        <v>0</v>
      </c>
      <c r="IB74" s="89">
        <v>0</v>
      </c>
      <c r="IC74" s="89">
        <v>46235</v>
      </c>
      <c r="ID74" s="54">
        <v>0</v>
      </c>
      <c r="IE74" s="54">
        <v>0</v>
      </c>
      <c r="IF74" s="54">
        <v>0</v>
      </c>
      <c r="IG74" s="54">
        <v>0</v>
      </c>
      <c r="IH74" s="54">
        <v>60000</v>
      </c>
      <c r="II74" s="54">
        <v>60000</v>
      </c>
      <c r="IJ74" s="89">
        <v>0</v>
      </c>
      <c r="IK74" s="89">
        <v>0</v>
      </c>
      <c r="IL74" s="89">
        <v>0</v>
      </c>
      <c r="IM74" s="89">
        <v>0</v>
      </c>
      <c r="IN74" s="89">
        <v>160629</v>
      </c>
      <c r="IO74" s="90">
        <v>160629</v>
      </c>
      <c r="IP74" s="89">
        <v>1500</v>
      </c>
      <c r="IQ74" s="89">
        <v>320</v>
      </c>
      <c r="IR74" s="89">
        <v>528</v>
      </c>
      <c r="IS74" s="89">
        <v>3960</v>
      </c>
      <c r="IT74" s="90">
        <v>309908</v>
      </c>
      <c r="IU74" s="89">
        <v>316216</v>
      </c>
      <c r="IV74" s="89">
        <v>220514</v>
      </c>
      <c r="IW74" s="89">
        <v>51240</v>
      </c>
      <c r="IX74" s="90">
        <v>35597</v>
      </c>
      <c r="IY74" s="89">
        <v>71660</v>
      </c>
      <c r="IZ74" s="89">
        <v>550672</v>
      </c>
      <c r="JA74" s="89">
        <v>929683</v>
      </c>
      <c r="JB74" s="89">
        <v>6880942</v>
      </c>
      <c r="JC74" s="90">
        <v>1894087</v>
      </c>
      <c r="JD74" s="89">
        <v>1185921</v>
      </c>
      <c r="JE74" s="89">
        <v>4218068</v>
      </c>
      <c r="JF74" s="89">
        <v>6523019</v>
      </c>
      <c r="JG74" s="89">
        <v>20702037</v>
      </c>
      <c r="JH74" s="54">
        <v>0</v>
      </c>
      <c r="JI74" s="54">
        <v>0</v>
      </c>
      <c r="JJ74" s="54">
        <v>0</v>
      </c>
      <c r="JK74" s="54">
        <v>0</v>
      </c>
      <c r="JL74" s="54">
        <v>0</v>
      </c>
      <c r="JM74" s="54">
        <v>0</v>
      </c>
      <c r="JN74" s="89">
        <v>6880942</v>
      </c>
      <c r="JO74" s="90">
        <v>1894087</v>
      </c>
      <c r="JP74" s="89">
        <v>1185921</v>
      </c>
      <c r="JQ74" s="89">
        <v>4218068</v>
      </c>
      <c r="JR74" s="89">
        <v>6523019</v>
      </c>
      <c r="JS74" s="90">
        <v>20702037</v>
      </c>
      <c r="JU74" s="5">
        <f t="shared" si="80"/>
        <v>2827125</v>
      </c>
      <c r="JV74" s="26">
        <f t="shared" si="81"/>
        <v>0</v>
      </c>
      <c r="JW74" s="5">
        <f t="shared" si="82"/>
        <v>6084813</v>
      </c>
      <c r="JX74" s="26">
        <f t="shared" si="83"/>
        <v>0</v>
      </c>
      <c r="JY74" s="5">
        <f t="shared" si="84"/>
        <v>1247570</v>
      </c>
      <c r="JZ74" s="26">
        <f t="shared" si="85"/>
        <v>0</v>
      </c>
      <c r="KA74" s="5">
        <f t="shared" si="86"/>
        <v>3195613</v>
      </c>
      <c r="KB74" s="26">
        <f t="shared" si="87"/>
        <v>0</v>
      </c>
      <c r="KC74" s="5">
        <f t="shared" si="88"/>
        <v>0</v>
      </c>
      <c r="KD74" s="26">
        <f t="shared" si="89"/>
        <v>0</v>
      </c>
      <c r="KE74" s="5">
        <f t="shared" si="90"/>
        <v>0</v>
      </c>
      <c r="KF74" s="26">
        <f t="shared" si="91"/>
        <v>0</v>
      </c>
      <c r="KG74" s="5">
        <f t="shared" si="92"/>
        <v>1870604</v>
      </c>
      <c r="KH74" s="26">
        <f t="shared" si="93"/>
        <v>0</v>
      </c>
      <c r="KI74" s="5">
        <f t="shared" si="94"/>
        <v>60000</v>
      </c>
      <c r="KJ74" s="26">
        <f t="shared" si="95"/>
        <v>0</v>
      </c>
      <c r="KK74" s="5">
        <f t="shared" si="96"/>
        <v>3107873</v>
      </c>
      <c r="KL74" s="26">
        <f t="shared" si="97"/>
        <v>0</v>
      </c>
      <c r="KM74" s="5">
        <f t="shared" si="98"/>
        <v>0</v>
      </c>
      <c r="KN74" s="26">
        <f t="shared" si="99"/>
        <v>0</v>
      </c>
      <c r="KO74" s="5">
        <f t="shared" si="100"/>
        <v>254662</v>
      </c>
      <c r="KP74" s="26">
        <f t="shared" si="101"/>
        <v>0</v>
      </c>
      <c r="KQ74" s="5">
        <f t="shared" si="102"/>
        <v>1556296</v>
      </c>
      <c r="KR74" s="26">
        <f t="shared" si="103"/>
        <v>0</v>
      </c>
      <c r="KS74" s="5">
        <f t="shared" si="104"/>
        <v>201915</v>
      </c>
      <c r="KT74" s="26">
        <f t="shared" si="105"/>
        <v>0</v>
      </c>
      <c r="KU74" s="5">
        <f t="shared" si="106"/>
        <v>51367</v>
      </c>
      <c r="KV74" s="26">
        <f t="shared" si="107"/>
        <v>0</v>
      </c>
      <c r="KW74" s="5">
        <f t="shared" si="108"/>
        <v>215759</v>
      </c>
      <c r="KX74" s="26">
        <f t="shared" si="109"/>
        <v>0</v>
      </c>
      <c r="KY74" s="5">
        <f t="shared" si="110"/>
        <v>20673597</v>
      </c>
      <c r="KZ74" s="26">
        <f t="shared" si="111"/>
        <v>0</v>
      </c>
      <c r="LA74" s="5">
        <f t="shared" si="112"/>
        <v>4398365</v>
      </c>
      <c r="LB74" s="26">
        <f t="shared" si="113"/>
        <v>0</v>
      </c>
      <c r="LC74" s="5">
        <f t="shared" si="114"/>
        <v>577172</v>
      </c>
      <c r="LD74" s="26">
        <f t="shared" si="115"/>
        <v>0</v>
      </c>
      <c r="LE74" s="5">
        <f t="shared" si="116"/>
        <v>4604479</v>
      </c>
      <c r="LF74" s="26">
        <f t="shared" si="117"/>
        <v>0</v>
      </c>
      <c r="LG74" s="5">
        <f t="shared" si="118"/>
        <v>0</v>
      </c>
      <c r="LH74" s="26">
        <f t="shared" si="119"/>
        <v>0</v>
      </c>
      <c r="LI74" s="5">
        <f t="shared" si="120"/>
        <v>2798570</v>
      </c>
      <c r="LJ74" s="26">
        <f t="shared" si="121"/>
        <v>0</v>
      </c>
      <c r="LK74" s="5">
        <f t="shared" si="122"/>
        <v>0</v>
      </c>
      <c r="LL74" s="26">
        <f t="shared" si="123"/>
        <v>0</v>
      </c>
      <c r="LM74" s="5">
        <f t="shared" si="124"/>
        <v>0</v>
      </c>
      <c r="LN74" s="26">
        <f t="shared" si="125"/>
        <v>0</v>
      </c>
      <c r="LO74" s="5">
        <f t="shared" si="126"/>
        <v>407178</v>
      </c>
      <c r="LP74" s="26">
        <f t="shared" si="127"/>
        <v>0</v>
      </c>
      <c r="LQ74" s="5">
        <f t="shared" si="128"/>
        <v>2334872</v>
      </c>
      <c r="LR74" s="26">
        <f t="shared" si="129"/>
        <v>0</v>
      </c>
      <c r="LS74" s="5">
        <f t="shared" si="130"/>
        <v>455697</v>
      </c>
      <c r="LT74" s="26">
        <f t="shared" si="131"/>
        <v>0</v>
      </c>
      <c r="LU74" s="5">
        <f t="shared" si="132"/>
        <v>789622</v>
      </c>
      <c r="LV74" s="26">
        <f t="shared" si="133"/>
        <v>0</v>
      </c>
      <c r="LW74" s="5">
        <f t="shared" si="134"/>
        <v>244756</v>
      </c>
      <c r="LX74" s="26">
        <f t="shared" si="135"/>
        <v>0</v>
      </c>
      <c r="LY74" s="5">
        <f t="shared" si="136"/>
        <v>96582</v>
      </c>
      <c r="LZ74" s="26">
        <f t="shared" si="137"/>
        <v>0</v>
      </c>
      <c r="MA74" s="5">
        <f t="shared" si="138"/>
        <v>2481981</v>
      </c>
      <c r="MB74" s="26">
        <f t="shared" si="139"/>
        <v>0</v>
      </c>
      <c r="MC74" s="5">
        <f t="shared" si="140"/>
        <v>46235</v>
      </c>
      <c r="MD74" s="26">
        <f t="shared" si="141"/>
        <v>0</v>
      </c>
      <c r="ME74" s="5">
        <f t="shared" si="142"/>
        <v>60000</v>
      </c>
      <c r="MF74" s="26">
        <f t="shared" si="143"/>
        <v>0</v>
      </c>
      <c r="MG74" s="5">
        <f t="shared" si="144"/>
        <v>160629</v>
      </c>
      <c r="MH74" s="26">
        <f t="shared" si="145"/>
        <v>0</v>
      </c>
      <c r="MI74" s="5">
        <f t="shared" si="146"/>
        <v>316216</v>
      </c>
      <c r="MJ74" s="26">
        <f t="shared" si="147"/>
        <v>0</v>
      </c>
      <c r="MK74" s="5">
        <f t="shared" si="148"/>
        <v>929683</v>
      </c>
      <c r="ML74" s="26">
        <f t="shared" si="149"/>
        <v>0</v>
      </c>
      <c r="MM74" s="5">
        <f t="shared" si="150"/>
        <v>20702037</v>
      </c>
      <c r="MN74" s="26">
        <f t="shared" si="151"/>
        <v>0</v>
      </c>
      <c r="MO74" s="5">
        <f t="shared" si="152"/>
        <v>0</v>
      </c>
      <c r="MP74" s="26">
        <f t="shared" si="153"/>
        <v>0</v>
      </c>
      <c r="MQ74" s="5">
        <f t="shared" si="154"/>
        <v>20702037</v>
      </c>
      <c r="MR74" s="26">
        <f t="shared" si="155"/>
        <v>0</v>
      </c>
      <c r="MT74" s="5">
        <f t="shared" si="158"/>
        <v>0</v>
      </c>
      <c r="MV74" s="4">
        <f t="shared" si="159"/>
        <v>0</v>
      </c>
    </row>
    <row r="75" spans="1:371" x14ac:dyDescent="0.15">
      <c r="A75" s="18" t="s">
        <v>351</v>
      </c>
      <c r="B75" s="25" t="s">
        <v>405</v>
      </c>
      <c r="C75" s="105">
        <v>147703</v>
      </c>
      <c r="D75" s="105">
        <v>2011</v>
      </c>
      <c r="E75" s="106">
        <v>1</v>
      </c>
      <c r="F75" s="106">
        <v>2</v>
      </c>
      <c r="G75" s="107">
        <v>17012</v>
      </c>
      <c r="H75" s="107">
        <v>18225</v>
      </c>
      <c r="I75" s="108">
        <v>2199782759</v>
      </c>
      <c r="J75" s="108"/>
      <c r="K75" s="108">
        <v>17529538</v>
      </c>
      <c r="L75" s="108"/>
      <c r="M75" s="108">
        <v>101816173</v>
      </c>
      <c r="N75" s="108"/>
      <c r="O75" s="108">
        <v>226527000</v>
      </c>
      <c r="P75" s="108"/>
      <c r="Q75" s="108">
        <v>1148239000</v>
      </c>
      <c r="R75" s="108"/>
      <c r="S75" s="108">
        <v>1592587171</v>
      </c>
      <c r="T75" s="108"/>
      <c r="U75" s="108">
        <v>19950</v>
      </c>
      <c r="V75" s="108"/>
      <c r="W75" s="108">
        <v>41832</v>
      </c>
      <c r="X75" s="108"/>
      <c r="Y75" s="108">
        <v>24048</v>
      </c>
      <c r="Z75" s="108"/>
      <c r="AA75" s="108">
        <v>45930</v>
      </c>
      <c r="AB75" s="108"/>
      <c r="AC75" s="130">
        <v>9</v>
      </c>
      <c r="AD75" s="130">
        <v>11</v>
      </c>
      <c r="AE75" s="130"/>
      <c r="AF75" s="26">
        <v>5079042</v>
      </c>
      <c r="AG75" s="26">
        <v>3820501</v>
      </c>
      <c r="AH75" s="26">
        <v>989370</v>
      </c>
      <c r="AI75" s="26">
        <v>481019</v>
      </c>
      <c r="AJ75" s="26">
        <v>1610196.71</v>
      </c>
      <c r="AK75" s="36">
        <v>7</v>
      </c>
      <c r="AL75" s="26">
        <v>1610196.71</v>
      </c>
      <c r="AM75" s="36">
        <v>7</v>
      </c>
      <c r="AN75" s="26">
        <v>388615.78</v>
      </c>
      <c r="AO75" s="36">
        <v>9</v>
      </c>
      <c r="AP75" s="26">
        <v>388615.78</v>
      </c>
      <c r="AQ75" s="36">
        <v>9</v>
      </c>
      <c r="AR75" s="26">
        <v>259953.77</v>
      </c>
      <c r="AS75" s="36">
        <v>21.5</v>
      </c>
      <c r="AT75" s="26">
        <v>199607.36</v>
      </c>
      <c r="AU75" s="36">
        <v>28</v>
      </c>
      <c r="AV75" s="26">
        <v>113503.03</v>
      </c>
      <c r="AW75" s="36">
        <v>16.5</v>
      </c>
      <c r="AX75" s="26">
        <v>58525</v>
      </c>
      <c r="AY75" s="36">
        <v>32</v>
      </c>
      <c r="AZ75" s="92">
        <v>35567527</v>
      </c>
      <c r="BA75" s="93">
        <v>4140669</v>
      </c>
      <c r="BB75" s="94">
        <v>439391</v>
      </c>
      <c r="BC75" s="93">
        <v>1642942</v>
      </c>
      <c r="BD75" s="92">
        <v>19406160</v>
      </c>
      <c r="BE75" s="54">
        <v>61196689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94">
        <v>400000</v>
      </c>
      <c r="BM75" s="92">
        <v>100000</v>
      </c>
      <c r="BN75" s="92">
        <v>0</v>
      </c>
      <c r="BO75" s="93">
        <v>31020</v>
      </c>
      <c r="BP75" s="54">
        <v>0</v>
      </c>
      <c r="BQ75" s="54">
        <v>531020</v>
      </c>
      <c r="BR75" s="95">
        <v>30237978</v>
      </c>
      <c r="BS75" s="92">
        <v>3470639</v>
      </c>
      <c r="BT75" s="92">
        <v>495325</v>
      </c>
      <c r="BU75" s="93">
        <v>3093262</v>
      </c>
      <c r="BV75" s="54">
        <v>39922</v>
      </c>
      <c r="BW75" s="54">
        <v>37337126</v>
      </c>
      <c r="BX75" s="54">
        <v>0</v>
      </c>
      <c r="BY75" s="54">
        <v>0</v>
      </c>
      <c r="BZ75" s="54">
        <v>0</v>
      </c>
      <c r="CA75" s="54">
        <v>0</v>
      </c>
      <c r="CB75" s="54">
        <v>0</v>
      </c>
      <c r="CC75" s="54">
        <v>0</v>
      </c>
      <c r="CD75" s="54">
        <v>0</v>
      </c>
      <c r="CE75" s="54">
        <v>0</v>
      </c>
      <c r="CF75" s="54">
        <v>0</v>
      </c>
      <c r="CG75" s="54">
        <v>0</v>
      </c>
      <c r="CH75" s="54">
        <v>0</v>
      </c>
      <c r="CI75" s="54">
        <v>0</v>
      </c>
      <c r="CJ75" s="61">
        <v>0</v>
      </c>
      <c r="CK75" s="61">
        <v>0</v>
      </c>
      <c r="CL75" s="61">
        <v>0</v>
      </c>
      <c r="CM75" s="61">
        <v>0</v>
      </c>
      <c r="CN75" s="61">
        <v>0</v>
      </c>
      <c r="CO75" s="61">
        <v>0</v>
      </c>
      <c r="CP75" s="54">
        <v>0</v>
      </c>
      <c r="CQ75" s="54">
        <v>0</v>
      </c>
      <c r="CR75" s="54">
        <v>0</v>
      </c>
      <c r="CS75" s="54">
        <v>0</v>
      </c>
      <c r="CT75" s="54">
        <v>0</v>
      </c>
      <c r="CU75" s="54">
        <v>0</v>
      </c>
      <c r="CV75" s="61">
        <v>8463400</v>
      </c>
      <c r="CW75" s="61">
        <v>5916839</v>
      </c>
      <c r="CX75" s="61">
        <v>0</v>
      </c>
      <c r="CY75" s="61">
        <v>444090</v>
      </c>
      <c r="CZ75" s="61">
        <v>0</v>
      </c>
      <c r="DA75" s="61">
        <v>14824329</v>
      </c>
      <c r="DB75" s="61">
        <v>39075</v>
      </c>
      <c r="DC75" s="61">
        <v>0</v>
      </c>
      <c r="DD75" s="61">
        <v>0</v>
      </c>
      <c r="DE75" s="61">
        <v>10775</v>
      </c>
      <c r="DF75" s="61">
        <v>0</v>
      </c>
      <c r="DG75" s="61">
        <v>49850</v>
      </c>
      <c r="DH75" s="61">
        <v>2007693</v>
      </c>
      <c r="DI75" s="61">
        <v>463656</v>
      </c>
      <c r="DJ75" s="61">
        <v>147687</v>
      </c>
      <c r="DK75" s="61">
        <v>591747</v>
      </c>
      <c r="DL75" s="61">
        <v>1310707</v>
      </c>
      <c r="DM75" s="61">
        <v>4521490</v>
      </c>
      <c r="DN75" s="61">
        <v>17243313</v>
      </c>
      <c r="DO75" s="61">
        <v>1901722</v>
      </c>
      <c r="DP75" s="61">
        <v>382545</v>
      </c>
      <c r="DQ75" s="61">
        <v>1848370</v>
      </c>
      <c r="DR75" s="61">
        <v>1464241</v>
      </c>
      <c r="DS75" s="61">
        <v>22840191</v>
      </c>
      <c r="DT75" s="61">
        <v>357461</v>
      </c>
      <c r="DU75" s="61">
        <v>294498</v>
      </c>
      <c r="DV75" s="61">
        <v>157277</v>
      </c>
      <c r="DW75" s="61">
        <v>3453914</v>
      </c>
      <c r="DX75" s="61">
        <v>957861</v>
      </c>
      <c r="DY75" s="61">
        <v>5221011</v>
      </c>
      <c r="DZ75" s="54">
        <v>627888</v>
      </c>
      <c r="EA75" s="54">
        <v>135532</v>
      </c>
      <c r="EB75" s="54">
        <v>44082</v>
      </c>
      <c r="EC75" s="54">
        <v>543907</v>
      </c>
      <c r="ED75" s="54">
        <v>33800</v>
      </c>
      <c r="EE75" s="54">
        <v>1385209</v>
      </c>
      <c r="EF75" s="61">
        <v>805353</v>
      </c>
      <c r="EG75" s="61">
        <v>14150</v>
      </c>
      <c r="EH75" s="61">
        <v>88016</v>
      </c>
      <c r="EI75" s="61">
        <v>89799</v>
      </c>
      <c r="EJ75" s="61">
        <v>1391693</v>
      </c>
      <c r="EK75" s="61">
        <v>2389011</v>
      </c>
      <c r="EL75" s="61">
        <v>95749688</v>
      </c>
      <c r="EM75" s="61">
        <v>16437705</v>
      </c>
      <c r="EN75" s="61">
        <v>1754323</v>
      </c>
      <c r="EO75" s="61">
        <v>11749826</v>
      </c>
      <c r="EP75" s="61">
        <v>24604384</v>
      </c>
      <c r="EQ75" s="61">
        <v>150295926</v>
      </c>
      <c r="ER75" s="61">
        <v>3233292</v>
      </c>
      <c r="ES75" s="61">
        <v>504359</v>
      </c>
      <c r="ET75" s="61">
        <v>456658</v>
      </c>
      <c r="EU75" s="61">
        <v>4705234</v>
      </c>
      <c r="EV75" s="61">
        <v>58275</v>
      </c>
      <c r="EW75" s="61">
        <v>8957818</v>
      </c>
      <c r="EX75" s="61">
        <v>1400000</v>
      </c>
      <c r="EY75" s="61">
        <v>470500</v>
      </c>
      <c r="EZ75" s="61">
        <v>130794</v>
      </c>
      <c r="FA75" s="61">
        <v>111163</v>
      </c>
      <c r="FB75" s="61">
        <v>0</v>
      </c>
      <c r="FC75" s="61">
        <v>2112457</v>
      </c>
      <c r="FD75" s="61">
        <v>9992129</v>
      </c>
      <c r="FE75" s="61">
        <v>3674022</v>
      </c>
      <c r="FF75" s="61">
        <v>1783106</v>
      </c>
      <c r="FG75" s="61">
        <v>6781468</v>
      </c>
      <c r="FH75" s="61">
        <v>0</v>
      </c>
      <c r="FI75" s="61">
        <v>22230725</v>
      </c>
      <c r="FJ75" s="54">
        <v>0</v>
      </c>
      <c r="FK75" s="54">
        <v>0</v>
      </c>
      <c r="FL75" s="54">
        <v>0</v>
      </c>
      <c r="FM75" s="54">
        <v>0</v>
      </c>
      <c r="FN75" s="54">
        <v>0</v>
      </c>
      <c r="FO75" s="54">
        <v>0</v>
      </c>
      <c r="FP75" s="61">
        <v>1896203</v>
      </c>
      <c r="FQ75" s="61">
        <v>624201</v>
      </c>
      <c r="FR75" s="61">
        <v>373508</v>
      </c>
      <c r="FS75" s="61">
        <v>1449811</v>
      </c>
      <c r="FT75" s="61">
        <v>23337392</v>
      </c>
      <c r="FU75" s="61">
        <v>27681115</v>
      </c>
      <c r="FV75" s="54">
        <v>0</v>
      </c>
      <c r="FW75" s="54">
        <v>0</v>
      </c>
      <c r="FX75" s="54">
        <v>0</v>
      </c>
      <c r="FY75" s="54">
        <v>0</v>
      </c>
      <c r="FZ75" s="54">
        <v>0</v>
      </c>
      <c r="GA75" s="54">
        <v>0</v>
      </c>
      <c r="GB75" s="54">
        <v>0</v>
      </c>
      <c r="GC75" s="54">
        <v>0</v>
      </c>
      <c r="GD75" s="54">
        <v>0</v>
      </c>
      <c r="GE75" s="54">
        <v>0</v>
      </c>
      <c r="GF75" s="54">
        <v>0</v>
      </c>
      <c r="GG75" s="54">
        <v>0</v>
      </c>
      <c r="GH75" s="61">
        <v>577976</v>
      </c>
      <c r="GI75" s="61">
        <v>172257</v>
      </c>
      <c r="GJ75" s="61">
        <v>124470</v>
      </c>
      <c r="GK75" s="61">
        <v>595686</v>
      </c>
      <c r="GL75" s="61">
        <v>0</v>
      </c>
      <c r="GM75" s="61">
        <v>1470389</v>
      </c>
      <c r="GN75" s="61">
        <v>1396893</v>
      </c>
      <c r="GO75" s="61">
        <v>1279842</v>
      </c>
      <c r="GP75" s="61">
        <v>957953</v>
      </c>
      <c r="GQ75" s="61">
        <v>3485878</v>
      </c>
      <c r="GR75" s="61">
        <v>0</v>
      </c>
      <c r="GS75" s="61">
        <v>7120566</v>
      </c>
      <c r="GT75" s="61">
        <v>247421</v>
      </c>
      <c r="GU75" s="61">
        <v>68782</v>
      </c>
      <c r="GV75" s="61">
        <v>52869</v>
      </c>
      <c r="GW75" s="61">
        <v>619585</v>
      </c>
      <c r="GX75" s="61">
        <v>1313886</v>
      </c>
      <c r="GY75" s="61">
        <v>2302543</v>
      </c>
      <c r="GZ75" s="61">
        <v>4696353</v>
      </c>
      <c r="HA75" s="61">
        <v>987051</v>
      </c>
      <c r="HB75" s="61">
        <v>612779</v>
      </c>
      <c r="HC75" s="61">
        <v>2430137</v>
      </c>
      <c r="HD75" s="61">
        <v>14885212</v>
      </c>
      <c r="HE75" s="61">
        <v>23611532</v>
      </c>
      <c r="HF75" s="61">
        <v>131925</v>
      </c>
      <c r="HG75" s="61">
        <v>5118</v>
      </c>
      <c r="HH75" s="61">
        <v>5176</v>
      </c>
      <c r="HI75" s="61">
        <v>152459</v>
      </c>
      <c r="HJ75" s="61">
        <v>6041667</v>
      </c>
      <c r="HK75" s="61">
        <v>6336345</v>
      </c>
      <c r="HL75" s="61">
        <v>219524</v>
      </c>
      <c r="HM75" s="61">
        <v>153619</v>
      </c>
      <c r="HN75" s="61">
        <v>117864</v>
      </c>
      <c r="HO75" s="61">
        <v>1680665</v>
      </c>
      <c r="HP75" s="61">
        <v>340408</v>
      </c>
      <c r="HQ75" s="61">
        <v>2512080</v>
      </c>
      <c r="HR75" s="61">
        <v>169956</v>
      </c>
      <c r="HS75" s="61">
        <v>28682</v>
      </c>
      <c r="HT75" s="61">
        <v>26455</v>
      </c>
      <c r="HU75" s="61">
        <v>212148</v>
      </c>
      <c r="HV75" s="61">
        <v>22913797</v>
      </c>
      <c r="HW75" s="61">
        <v>23351038</v>
      </c>
      <c r="HX75" s="61">
        <v>675246</v>
      </c>
      <c r="HY75" s="61">
        <v>72845</v>
      </c>
      <c r="HZ75" s="61">
        <v>72845</v>
      </c>
      <c r="IA75" s="61">
        <v>9500</v>
      </c>
      <c r="IB75" s="61">
        <v>152036</v>
      </c>
      <c r="IC75" s="61">
        <v>982472</v>
      </c>
      <c r="ID75" s="54">
        <v>0</v>
      </c>
      <c r="IE75" s="54">
        <v>0</v>
      </c>
      <c r="IF75" s="54">
        <v>0</v>
      </c>
      <c r="IG75" s="54">
        <v>0</v>
      </c>
      <c r="IH75" s="54">
        <v>0</v>
      </c>
      <c r="II75" s="54">
        <v>0</v>
      </c>
      <c r="IJ75" s="61">
        <v>32313</v>
      </c>
      <c r="IK75" s="61">
        <v>13444</v>
      </c>
      <c r="IL75" s="61">
        <v>21953</v>
      </c>
      <c r="IM75" s="61">
        <v>105714</v>
      </c>
      <c r="IN75" s="61">
        <v>1446178</v>
      </c>
      <c r="IO75" s="61">
        <v>1619602</v>
      </c>
      <c r="IP75" s="61">
        <v>2217</v>
      </c>
      <c r="IQ75" s="61">
        <v>410</v>
      </c>
      <c r="IR75" s="61">
        <v>945</v>
      </c>
      <c r="IS75" s="61">
        <v>23321</v>
      </c>
      <c r="IT75" s="61">
        <v>305884</v>
      </c>
      <c r="IU75" s="61">
        <v>332777</v>
      </c>
      <c r="IV75" s="61">
        <v>192714</v>
      </c>
      <c r="IW75" s="61">
        <v>5400</v>
      </c>
      <c r="IX75" s="61">
        <v>22</v>
      </c>
      <c r="IY75" s="61">
        <v>18158</v>
      </c>
      <c r="IZ75" s="61">
        <v>2849062</v>
      </c>
      <c r="JA75" s="61">
        <v>3065356</v>
      </c>
      <c r="JB75" s="61">
        <v>24864162</v>
      </c>
      <c r="JC75" s="61">
        <v>8060532</v>
      </c>
      <c r="JD75" s="61">
        <v>4737397</v>
      </c>
      <c r="JE75" s="61">
        <v>22380927</v>
      </c>
      <c r="JF75" s="61">
        <v>73643797</v>
      </c>
      <c r="JG75" s="61">
        <v>133686815</v>
      </c>
      <c r="JH75" s="54">
        <v>0</v>
      </c>
      <c r="JI75" s="54">
        <v>0</v>
      </c>
      <c r="JJ75" s="54">
        <v>0</v>
      </c>
      <c r="JK75" s="54">
        <v>0</v>
      </c>
      <c r="JL75" s="54">
        <v>9026363</v>
      </c>
      <c r="JM75" s="54">
        <v>9026363</v>
      </c>
      <c r="JN75" s="61">
        <v>24864162</v>
      </c>
      <c r="JO75" s="61">
        <v>8060532</v>
      </c>
      <c r="JP75" s="61">
        <v>4737397</v>
      </c>
      <c r="JQ75" s="61">
        <v>22380927</v>
      </c>
      <c r="JR75" s="61">
        <v>82670160</v>
      </c>
      <c r="JS75" s="61">
        <v>142713178</v>
      </c>
      <c r="JU75" s="5">
        <f t="shared" ref="JU75:JU91" si="160">SUM(AZ75:BD75)</f>
        <v>61196689</v>
      </c>
      <c r="JV75" s="26">
        <f t="shared" ref="JV75:JV91" si="161">BE75-JU75</f>
        <v>0</v>
      </c>
      <c r="JW75" s="5">
        <f t="shared" ref="JW75:JW92" si="162">SUM(BF75:BJ75)</f>
        <v>0</v>
      </c>
      <c r="JX75" s="26">
        <f t="shared" ref="JX75:JX92" si="163">BK75-JW75</f>
        <v>0</v>
      </c>
      <c r="JY75" s="5">
        <f t="shared" ref="JY75:JY92" si="164">SUM(BL75:BP75)</f>
        <v>531020</v>
      </c>
      <c r="JZ75" s="26">
        <f t="shared" ref="JZ75:JZ92" si="165">BQ75-JY75</f>
        <v>0</v>
      </c>
      <c r="KA75" s="5">
        <f t="shared" ref="KA75:KA92" si="166">SUM(BR75:BV75)</f>
        <v>37337126</v>
      </c>
      <c r="KB75" s="26">
        <f t="shared" ref="KB75:KB92" si="167">BW75-KA75</f>
        <v>0</v>
      </c>
      <c r="KC75" s="5">
        <f t="shared" ref="KC75:KC92" si="168">SUM(BX75:CB75)</f>
        <v>0</v>
      </c>
      <c r="KD75" s="26">
        <f t="shared" ref="KD75:KD92" si="169">CC75-KC75</f>
        <v>0</v>
      </c>
      <c r="KE75" s="5">
        <f t="shared" ref="KE75:KE92" si="170">SUM(CD75:CH75)</f>
        <v>0</v>
      </c>
      <c r="KF75" s="26">
        <f t="shared" ref="KF75:KF92" si="171">CI75-KE75</f>
        <v>0</v>
      </c>
      <c r="KG75" s="5">
        <f t="shared" ref="KG75:KG92" si="172">SUM(CJ75:CN75)</f>
        <v>0</v>
      </c>
      <c r="KH75" s="26">
        <f t="shared" ref="KH75:KH92" si="173">CO75-KG75</f>
        <v>0</v>
      </c>
      <c r="KI75" s="5">
        <f t="shared" ref="KI75:KI92" si="174">SUM(CP75:CT75)</f>
        <v>0</v>
      </c>
      <c r="KJ75" s="26">
        <f t="shared" ref="KJ75:KJ92" si="175">CU75-KI75</f>
        <v>0</v>
      </c>
      <c r="KK75" s="5">
        <f t="shared" ref="KK75:KK92" si="176">SUM(CV75:CZ75)</f>
        <v>14824329</v>
      </c>
      <c r="KL75" s="26">
        <f t="shared" ref="KL75:KL92" si="177">DA75-KK75</f>
        <v>0</v>
      </c>
      <c r="KM75" s="5">
        <f t="shared" ref="KM75:KM92" si="178">SUM(DB75:DF75)</f>
        <v>49850</v>
      </c>
      <c r="KN75" s="26">
        <f t="shared" ref="KN75:KN92" si="179">DG75-KM75</f>
        <v>0</v>
      </c>
      <c r="KO75" s="5">
        <f t="shared" ref="KO75:KO92" si="180">SUM(DH75:DL75)</f>
        <v>4521490</v>
      </c>
      <c r="KP75" s="26">
        <f t="shared" ref="KP75:KP92" si="181">DM75-KO75</f>
        <v>0</v>
      </c>
      <c r="KQ75" s="5">
        <f t="shared" ref="KQ75:KQ92" si="182">SUM(DN75:DR75)</f>
        <v>22840191</v>
      </c>
      <c r="KR75" s="26">
        <f t="shared" ref="KR75:KR92" si="183">DS75-KQ75</f>
        <v>0</v>
      </c>
      <c r="KS75" s="5">
        <f t="shared" ref="KS75:KS92" si="184">SUM(DT75:DX75)</f>
        <v>5221011</v>
      </c>
      <c r="KT75" s="26">
        <f t="shared" ref="KT75:KT92" si="185">DY75-KS75</f>
        <v>0</v>
      </c>
      <c r="KU75" s="5">
        <f t="shared" ref="KU75:KU92" si="186">SUM(DZ75:ED75)</f>
        <v>1385209</v>
      </c>
      <c r="KV75" s="26">
        <f t="shared" ref="KV75:KV92" si="187">EE75-KU75</f>
        <v>0</v>
      </c>
      <c r="KW75" s="5">
        <f t="shared" ref="KW75:KW92" si="188">SUM(EF75:EJ75)</f>
        <v>2389011</v>
      </c>
      <c r="KX75" s="26">
        <f t="shared" ref="KX75:KX92" si="189">EK75-KW75</f>
        <v>0</v>
      </c>
      <c r="KY75" s="5">
        <f t="shared" ref="KY75:KY91" si="190">SUM(EL75:EP75)</f>
        <v>150295926</v>
      </c>
      <c r="KZ75" s="26">
        <f t="shared" ref="KZ75:KZ91" si="191">EQ75-KY75</f>
        <v>0</v>
      </c>
      <c r="LA75" s="5">
        <f>SUM(ER75:EV75)</f>
        <v>8957818</v>
      </c>
      <c r="LB75" s="26">
        <f>EW75-LA75</f>
        <v>0</v>
      </c>
      <c r="LC75" s="5">
        <f>SUM(EX75:FB75)</f>
        <v>2112457</v>
      </c>
      <c r="LD75" s="26">
        <f t="shared" ref="LD75:LD92" si="192">FC75-LC75</f>
        <v>0</v>
      </c>
      <c r="LE75" s="5">
        <f t="shared" ref="LE75:LE92" si="193">SUM(FD75:FH75)</f>
        <v>22230725</v>
      </c>
      <c r="LF75" s="26">
        <f t="shared" ref="LF75:LF92" si="194">FI75-LE75</f>
        <v>0</v>
      </c>
      <c r="LG75" s="5">
        <f t="shared" ref="LG75:LG92" si="195">SUM(FJ75:FN75)</f>
        <v>0</v>
      </c>
      <c r="LH75" s="26">
        <f t="shared" ref="LH75:LH92" si="196">FO75-LG75</f>
        <v>0</v>
      </c>
      <c r="LI75" s="5">
        <f t="shared" ref="LI75:LI92" si="197">SUM(FP75:FT75)</f>
        <v>27681115</v>
      </c>
      <c r="LJ75" s="26">
        <f t="shared" ref="LJ75:LJ92" si="198">FU75-LI75</f>
        <v>0</v>
      </c>
      <c r="LK75" s="5">
        <f t="shared" ref="LK75:LK92" si="199">SUM(FV75:FZ75)</f>
        <v>0</v>
      </c>
      <c r="LL75" s="26">
        <f t="shared" ref="LL75:LL92" si="200">GA75-LK75</f>
        <v>0</v>
      </c>
      <c r="LM75" s="5">
        <f t="shared" ref="LM75:LM92" si="201">SUM(GB75:GF75)</f>
        <v>0</v>
      </c>
      <c r="LN75" s="26">
        <f t="shared" ref="LN75:LN92" si="202">GG75-LM75</f>
        <v>0</v>
      </c>
      <c r="LO75" s="5">
        <f t="shared" ref="LO75:LO92" si="203">SUM(GH75:GL75)</f>
        <v>1470389</v>
      </c>
      <c r="LP75" s="26">
        <f t="shared" ref="LP75:LP92" si="204">GM75-LO75</f>
        <v>0</v>
      </c>
      <c r="LQ75" s="5">
        <f t="shared" ref="LQ75:LQ92" si="205">SUM(GN75:GR75)</f>
        <v>7120566</v>
      </c>
      <c r="LR75" s="26">
        <f t="shared" ref="LR75:LR92" si="206">GS75-LQ75</f>
        <v>0</v>
      </c>
      <c r="LS75" s="5">
        <f t="shared" ref="LS75:LS92" si="207">SUM(GT75:GX75)</f>
        <v>2302543</v>
      </c>
      <c r="LT75" s="26">
        <f t="shared" ref="LT75:LT92" si="208">GY75-LS75</f>
        <v>0</v>
      </c>
      <c r="LU75" s="5">
        <f t="shared" ref="LU75:LU92" si="209">SUM(GZ75:HD75)</f>
        <v>23611532</v>
      </c>
      <c r="LV75" s="26">
        <f t="shared" ref="LV75:LV92" si="210">HE75-LU75</f>
        <v>0</v>
      </c>
      <c r="LW75" s="5">
        <f t="shared" ref="LW75:LW92" si="211">SUM(HF75:HJ75)</f>
        <v>6336345</v>
      </c>
      <c r="LX75" s="26">
        <f t="shared" ref="LX75:LX92" si="212">HK75-LW75</f>
        <v>0</v>
      </c>
      <c r="LY75" s="5">
        <f t="shared" ref="LY75:LY92" si="213">SUM(HL75:HP75)</f>
        <v>2512080</v>
      </c>
      <c r="LZ75" s="26">
        <f t="shared" ref="LZ75:LZ92" si="214">HQ75-LY75</f>
        <v>0</v>
      </c>
      <c r="MA75" s="5">
        <f t="shared" ref="MA75:MA92" si="215">SUM(HR75:HV75)</f>
        <v>23351038</v>
      </c>
      <c r="MB75" s="26">
        <f t="shared" ref="MB75:MB92" si="216">HW75-MA75</f>
        <v>0</v>
      </c>
      <c r="MC75" s="5">
        <f t="shared" ref="MC75:MC92" si="217">SUM(HX75:IB75)</f>
        <v>982472</v>
      </c>
      <c r="MD75" s="26">
        <f t="shared" ref="MD75:MD92" si="218">IC75-MC75</f>
        <v>0</v>
      </c>
      <c r="ME75" s="5">
        <f t="shared" ref="ME75:ME92" si="219">SUM(ID75:IH75)</f>
        <v>0</v>
      </c>
      <c r="MF75" s="26">
        <f t="shared" ref="MF75:MF92" si="220">II75-ME75</f>
        <v>0</v>
      </c>
      <c r="MG75" s="5">
        <f t="shared" ref="MG75:MG92" si="221">SUM(IJ75:IN75)</f>
        <v>1619602</v>
      </c>
      <c r="MH75" s="26">
        <f t="shared" ref="MH75:MH92" si="222">IO75-MG75</f>
        <v>0</v>
      </c>
      <c r="MI75" s="5">
        <f t="shared" ref="MI75:MI92" si="223">SUM(IP75:IT75)</f>
        <v>332777</v>
      </c>
      <c r="MJ75" s="26">
        <f t="shared" ref="MJ75:MJ92" si="224">IU75-MI75</f>
        <v>0</v>
      </c>
      <c r="MK75" s="5">
        <f t="shared" ref="MK75:MK92" si="225">SUM(IV75:IZ75)</f>
        <v>3065356</v>
      </c>
      <c r="ML75" s="26">
        <f t="shared" ref="ML75:ML92" si="226">JA75-MK75</f>
        <v>0</v>
      </c>
      <c r="MM75" s="5">
        <f t="shared" ref="MM75:MM92" si="227">SUM(JB75:JF75)</f>
        <v>133686815</v>
      </c>
      <c r="MN75" s="26">
        <f t="shared" ref="MN75:MN92" si="228">JG75-MM75</f>
        <v>0</v>
      </c>
      <c r="MO75" s="5">
        <f t="shared" ref="MO75:MO92" si="229">SUM(JH75:JL75)</f>
        <v>9026363</v>
      </c>
      <c r="MP75" s="26">
        <f t="shared" ref="MP75:MP92" si="230">JM75-MO75</f>
        <v>0</v>
      </c>
      <c r="MQ75" s="5">
        <f t="shared" ref="MQ75:MQ92" si="231">SUM(JN75:JR75)</f>
        <v>142713178</v>
      </c>
      <c r="MR75" s="26">
        <f t="shared" ref="MR75:MR92" si="232">JS75-MQ75</f>
        <v>0</v>
      </c>
      <c r="MT75" s="5">
        <f t="shared" si="158"/>
        <v>0</v>
      </c>
      <c r="MV75" s="4">
        <f t="shared" si="159"/>
        <v>0</v>
      </c>
    </row>
    <row r="76" spans="1:371" x14ac:dyDescent="0.15">
      <c r="A76" s="100" t="s">
        <v>352</v>
      </c>
      <c r="B76" s="25" t="s">
        <v>406</v>
      </c>
      <c r="C76" s="105">
        <v>228723</v>
      </c>
      <c r="D76" s="105">
        <v>2011</v>
      </c>
      <c r="E76" s="106">
        <v>1</v>
      </c>
      <c r="F76" s="106">
        <v>5</v>
      </c>
      <c r="G76" s="107">
        <v>18707</v>
      </c>
      <c r="H76" s="107">
        <v>17105</v>
      </c>
      <c r="I76" s="108">
        <v>1264498511</v>
      </c>
      <c r="J76" s="108"/>
      <c r="K76" s="108">
        <v>6610911</v>
      </c>
      <c r="L76" s="108"/>
      <c r="M76" s="108">
        <v>70433673</v>
      </c>
      <c r="N76" s="108"/>
      <c r="O76" s="108">
        <v>45810059</v>
      </c>
      <c r="P76" s="108"/>
      <c r="Q76" s="108">
        <v>559864862</v>
      </c>
      <c r="R76" s="108"/>
      <c r="S76" s="108">
        <v>891563960</v>
      </c>
      <c r="T76" s="108"/>
      <c r="U76" s="108">
        <v>16990</v>
      </c>
      <c r="V76" s="108"/>
      <c r="W76" s="108">
        <v>32290</v>
      </c>
      <c r="X76" s="108"/>
      <c r="Y76" s="108">
        <v>20614</v>
      </c>
      <c r="Z76" s="108"/>
      <c r="AA76" s="108">
        <v>36564</v>
      </c>
      <c r="AB76" s="108"/>
      <c r="AC76" s="130">
        <v>9</v>
      </c>
      <c r="AD76" s="130">
        <v>11</v>
      </c>
      <c r="AE76" s="130">
        <v>0</v>
      </c>
      <c r="AF76" s="26">
        <v>3698310</v>
      </c>
      <c r="AG76" s="26">
        <v>3174397</v>
      </c>
      <c r="AH76" s="26">
        <v>555564</v>
      </c>
      <c r="AI76" s="26">
        <v>300225</v>
      </c>
      <c r="AJ76" s="26">
        <v>751464</v>
      </c>
      <c r="AK76" s="36">
        <v>6.5</v>
      </c>
      <c r="AL76" s="26">
        <v>697788</v>
      </c>
      <c r="AM76" s="36">
        <v>7</v>
      </c>
      <c r="AN76" s="26">
        <v>303393.88</v>
      </c>
      <c r="AO76" s="36">
        <v>8.5</v>
      </c>
      <c r="AP76" s="26">
        <v>286538.67</v>
      </c>
      <c r="AQ76" s="36">
        <v>9</v>
      </c>
      <c r="AR76" s="26">
        <v>204480.85</v>
      </c>
      <c r="AS76" s="36">
        <v>20</v>
      </c>
      <c r="AT76" s="26">
        <v>177809.43</v>
      </c>
      <c r="AU76" s="36">
        <v>23</v>
      </c>
      <c r="AV76" s="26">
        <v>115881</v>
      </c>
      <c r="AW76" s="36">
        <v>17</v>
      </c>
      <c r="AX76" s="26">
        <v>98498.85</v>
      </c>
      <c r="AY76" s="36">
        <v>23</v>
      </c>
      <c r="AZ76" s="54">
        <v>27167945</v>
      </c>
      <c r="BA76" s="54">
        <v>3051641</v>
      </c>
      <c r="BB76" s="54">
        <v>568092</v>
      </c>
      <c r="BC76" s="54">
        <v>1984319</v>
      </c>
      <c r="BD76" s="54">
        <v>0</v>
      </c>
      <c r="BE76" s="54">
        <v>32771997</v>
      </c>
      <c r="BF76" s="54">
        <v>0</v>
      </c>
      <c r="BG76" s="54">
        <v>0</v>
      </c>
      <c r="BH76" s="54">
        <v>0</v>
      </c>
      <c r="BI76" s="54">
        <v>0</v>
      </c>
      <c r="BJ76" s="54">
        <v>0</v>
      </c>
      <c r="BK76" s="54">
        <v>0</v>
      </c>
      <c r="BL76" s="54">
        <v>0</v>
      </c>
      <c r="BM76" s="54">
        <v>40000</v>
      </c>
      <c r="BN76" s="54">
        <v>0</v>
      </c>
      <c r="BO76" s="54">
        <v>14000</v>
      </c>
      <c r="BP76" s="54">
        <v>0</v>
      </c>
      <c r="BQ76" s="54">
        <v>54000</v>
      </c>
      <c r="BR76" s="54">
        <v>5667868</v>
      </c>
      <c r="BS76" s="54">
        <v>1160409</v>
      </c>
      <c r="BT76" s="54">
        <v>19605</v>
      </c>
      <c r="BU76" s="54">
        <v>743507</v>
      </c>
      <c r="BV76" s="54">
        <v>10467626</v>
      </c>
      <c r="BW76" s="54">
        <v>18059015</v>
      </c>
      <c r="BX76" s="54">
        <v>0</v>
      </c>
      <c r="BY76" s="54">
        <v>0</v>
      </c>
      <c r="BZ76" s="54">
        <v>0</v>
      </c>
      <c r="CA76" s="54">
        <v>0</v>
      </c>
      <c r="CB76" s="54">
        <v>0</v>
      </c>
      <c r="CC76" s="54">
        <v>0</v>
      </c>
      <c r="CD76" s="54">
        <v>0</v>
      </c>
      <c r="CE76" s="54">
        <v>0</v>
      </c>
      <c r="CF76" s="54">
        <v>0</v>
      </c>
      <c r="CG76" s="54">
        <v>0</v>
      </c>
      <c r="CH76" s="54">
        <v>0</v>
      </c>
      <c r="CI76" s="54">
        <v>0</v>
      </c>
      <c r="CJ76" s="54">
        <v>0</v>
      </c>
      <c r="CK76" s="54">
        <v>0</v>
      </c>
      <c r="CL76" s="54">
        <v>0</v>
      </c>
      <c r="CM76" s="54">
        <v>0</v>
      </c>
      <c r="CN76" s="54">
        <v>9856</v>
      </c>
      <c r="CO76" s="54">
        <v>9856</v>
      </c>
      <c r="CP76" s="54">
        <v>0</v>
      </c>
      <c r="CQ76" s="54">
        <v>0</v>
      </c>
      <c r="CR76" s="54">
        <v>0</v>
      </c>
      <c r="CS76" s="54">
        <v>0</v>
      </c>
      <c r="CT76" s="54">
        <v>0</v>
      </c>
      <c r="CU76" s="54">
        <v>0</v>
      </c>
      <c r="CV76" s="54">
        <v>9215667</v>
      </c>
      <c r="CW76" s="54">
        <v>4288827</v>
      </c>
      <c r="CX76" s="54">
        <v>293670</v>
      </c>
      <c r="CY76" s="54">
        <v>741884</v>
      </c>
      <c r="CZ76" s="54">
        <v>1583776</v>
      </c>
      <c r="DA76" s="54">
        <v>16123824</v>
      </c>
      <c r="DB76" s="54">
        <v>0</v>
      </c>
      <c r="DC76" s="54">
        <v>0</v>
      </c>
      <c r="DD76" s="54">
        <v>0</v>
      </c>
      <c r="DE76" s="54">
        <v>0</v>
      </c>
      <c r="DF76" s="54">
        <v>0</v>
      </c>
      <c r="DG76" s="54">
        <v>0</v>
      </c>
      <c r="DH76" s="54">
        <v>1930199</v>
      </c>
      <c r="DI76" s="54">
        <v>335578</v>
      </c>
      <c r="DJ76" s="54">
        <v>123048</v>
      </c>
      <c r="DK76" s="54">
        <v>480958</v>
      </c>
      <c r="DL76" s="54">
        <v>227610</v>
      </c>
      <c r="DM76" s="54">
        <v>3097393</v>
      </c>
      <c r="DN76" s="54">
        <v>614945</v>
      </c>
      <c r="DO76" s="54">
        <v>96081</v>
      </c>
      <c r="DP76" s="54">
        <v>297600</v>
      </c>
      <c r="DQ76" s="54">
        <v>760743</v>
      </c>
      <c r="DR76" s="54">
        <v>8994093</v>
      </c>
      <c r="DS76" s="54">
        <v>10763462</v>
      </c>
      <c r="DT76" s="54">
        <v>474930</v>
      </c>
      <c r="DU76" s="54">
        <v>357448</v>
      </c>
      <c r="DV76" s="54">
        <v>397464</v>
      </c>
      <c r="DW76" s="54">
        <v>3531042</v>
      </c>
      <c r="DX76" s="54">
        <v>85194</v>
      </c>
      <c r="DY76" s="54">
        <v>4846078</v>
      </c>
      <c r="DZ76" s="54">
        <v>0</v>
      </c>
      <c r="EA76" s="54">
        <v>0</v>
      </c>
      <c r="EB76" s="54">
        <v>0</v>
      </c>
      <c r="EC76" s="54">
        <v>0</v>
      </c>
      <c r="ED76" s="54">
        <v>197750</v>
      </c>
      <c r="EE76" s="54">
        <v>197750</v>
      </c>
      <c r="EF76" s="54">
        <v>342463</v>
      </c>
      <c r="EG76" s="54">
        <v>250857</v>
      </c>
      <c r="EH76" s="54">
        <v>15205</v>
      </c>
      <c r="EI76" s="54">
        <v>143407</v>
      </c>
      <c r="EJ76" s="54">
        <v>621225</v>
      </c>
      <c r="EK76" s="54">
        <v>1373157</v>
      </c>
      <c r="EL76" s="54">
        <v>45414017</v>
      </c>
      <c r="EM76" s="54">
        <v>9580841</v>
      </c>
      <c r="EN76" s="54">
        <v>1714684</v>
      </c>
      <c r="EO76" s="91">
        <v>8399860</v>
      </c>
      <c r="EP76" s="54">
        <v>22187130</v>
      </c>
      <c r="EQ76" s="54">
        <v>87296532</v>
      </c>
      <c r="ER76" s="54">
        <v>2119772</v>
      </c>
      <c r="ES76" s="54">
        <v>334685</v>
      </c>
      <c r="ET76" s="54">
        <v>395442</v>
      </c>
      <c r="EU76" s="54">
        <v>4022808</v>
      </c>
      <c r="EV76" s="54">
        <v>0</v>
      </c>
      <c r="EW76" s="54">
        <v>6872707</v>
      </c>
      <c r="EX76" s="54">
        <v>1575000</v>
      </c>
      <c r="EY76" s="54">
        <v>513990</v>
      </c>
      <c r="EZ76" s="54">
        <v>47924</v>
      </c>
      <c r="FA76" s="54">
        <v>109318</v>
      </c>
      <c r="FB76" s="54">
        <v>0</v>
      </c>
      <c r="FC76" s="54">
        <v>2246232</v>
      </c>
      <c r="FD76" s="54">
        <v>4523951</v>
      </c>
      <c r="FE76" s="54">
        <v>2143536</v>
      </c>
      <c r="FF76" s="54">
        <v>1458115</v>
      </c>
      <c r="FG76" s="54">
        <v>5397356</v>
      </c>
      <c r="FH76" s="54">
        <v>0</v>
      </c>
      <c r="FI76" s="54">
        <v>13522958</v>
      </c>
      <c r="FJ76" s="54">
        <v>0</v>
      </c>
      <c r="FK76" s="54">
        <v>0</v>
      </c>
      <c r="FL76" s="54">
        <v>0</v>
      </c>
      <c r="FM76" s="54">
        <v>0</v>
      </c>
      <c r="FN76" s="54">
        <v>0</v>
      </c>
      <c r="FO76" s="54">
        <v>0</v>
      </c>
      <c r="FP76" s="54">
        <v>1753753</v>
      </c>
      <c r="FQ76" s="54">
        <v>551718</v>
      </c>
      <c r="FR76" s="54">
        <v>537528</v>
      </c>
      <c r="FS76" s="54">
        <v>1938049</v>
      </c>
      <c r="FT76" s="54">
        <v>10106449</v>
      </c>
      <c r="FU76" s="54">
        <v>14887497</v>
      </c>
      <c r="FV76" s="54">
        <v>0</v>
      </c>
      <c r="FW76" s="54">
        <v>0</v>
      </c>
      <c r="FX76" s="54">
        <v>0</v>
      </c>
      <c r="FY76" s="54">
        <v>0</v>
      </c>
      <c r="FZ76" s="54">
        <v>0</v>
      </c>
      <c r="GA76" s="54">
        <v>0</v>
      </c>
      <c r="GB76" s="54">
        <v>233778</v>
      </c>
      <c r="GC76" s="54">
        <v>31250</v>
      </c>
      <c r="GD76" s="54">
        <v>0</v>
      </c>
      <c r="GE76" s="54">
        <v>28412</v>
      </c>
      <c r="GF76" s="54">
        <v>0</v>
      </c>
      <c r="GG76" s="54">
        <v>293440</v>
      </c>
      <c r="GH76" s="54">
        <v>240619</v>
      </c>
      <c r="GI76" s="54">
        <v>145538</v>
      </c>
      <c r="GJ76" s="54">
        <v>64776</v>
      </c>
      <c r="GK76" s="54">
        <v>404856</v>
      </c>
      <c r="GL76" s="54">
        <v>0</v>
      </c>
      <c r="GM76" s="54">
        <v>855789</v>
      </c>
      <c r="GN76" s="54">
        <v>985329</v>
      </c>
      <c r="GO76" s="54">
        <v>835937</v>
      </c>
      <c r="GP76" s="54">
        <v>820691</v>
      </c>
      <c r="GQ76" s="54">
        <v>2931231</v>
      </c>
      <c r="GR76" s="54">
        <v>0</v>
      </c>
      <c r="GS76" s="54">
        <v>5573188</v>
      </c>
      <c r="GT76" s="54">
        <v>692334</v>
      </c>
      <c r="GU76" s="54">
        <v>96283</v>
      </c>
      <c r="GV76" s="54">
        <v>49290</v>
      </c>
      <c r="GW76" s="54">
        <v>739570</v>
      </c>
      <c r="GX76" s="54">
        <v>248653</v>
      </c>
      <c r="GY76" s="54">
        <v>1826130</v>
      </c>
      <c r="GZ76" s="54">
        <v>1078344</v>
      </c>
      <c r="HA76" s="54">
        <v>258100</v>
      </c>
      <c r="HB76" s="54">
        <v>121817</v>
      </c>
      <c r="HC76" s="54">
        <v>483586</v>
      </c>
      <c r="HD76" s="54">
        <v>2222</v>
      </c>
      <c r="HE76" s="54">
        <v>1944069</v>
      </c>
      <c r="HF76" s="54">
        <v>134</v>
      </c>
      <c r="HG76" s="54">
        <v>2955</v>
      </c>
      <c r="HH76" s="54">
        <v>3369</v>
      </c>
      <c r="HI76" s="54">
        <v>3092</v>
      </c>
      <c r="HJ76" s="54">
        <v>1029</v>
      </c>
      <c r="HK76" s="54">
        <v>10579</v>
      </c>
      <c r="HL76" s="54">
        <v>342996</v>
      </c>
      <c r="HM76" s="54">
        <v>238004</v>
      </c>
      <c r="HN76" s="54">
        <v>200964</v>
      </c>
      <c r="HO76" s="54">
        <v>2080240</v>
      </c>
      <c r="HP76" s="54">
        <v>79668</v>
      </c>
      <c r="HQ76" s="54">
        <v>2941872</v>
      </c>
      <c r="HR76" s="54">
        <v>28039</v>
      </c>
      <c r="HS76" s="54">
        <v>536299</v>
      </c>
      <c r="HT76" s="54">
        <v>287270</v>
      </c>
      <c r="HU76" s="54">
        <v>1400126</v>
      </c>
      <c r="HV76" s="54">
        <v>11353469</v>
      </c>
      <c r="HW76" s="54">
        <v>13605203</v>
      </c>
      <c r="HX76" s="54">
        <v>50000</v>
      </c>
      <c r="HY76" s="54">
        <v>0</v>
      </c>
      <c r="HZ76" s="54">
        <v>0</v>
      </c>
      <c r="IA76" s="54">
        <v>0</v>
      </c>
      <c r="IB76" s="54">
        <v>110891</v>
      </c>
      <c r="IC76" s="54">
        <v>160891</v>
      </c>
      <c r="ID76" s="54">
        <v>0</v>
      </c>
      <c r="IE76" s="54">
        <v>0</v>
      </c>
      <c r="IF76" s="54">
        <v>0</v>
      </c>
      <c r="IG76" s="54">
        <v>0</v>
      </c>
      <c r="IH76" s="54">
        <v>0</v>
      </c>
      <c r="II76" s="54">
        <v>0</v>
      </c>
      <c r="IJ76" s="54">
        <v>158533</v>
      </c>
      <c r="IK76" s="54">
        <v>10551</v>
      </c>
      <c r="IL76" s="54">
        <v>31480</v>
      </c>
      <c r="IM76" s="54">
        <v>179278</v>
      </c>
      <c r="IN76" s="54">
        <v>249189</v>
      </c>
      <c r="IO76" s="54">
        <v>629031</v>
      </c>
      <c r="IP76" s="54">
        <v>9054</v>
      </c>
      <c r="IQ76" s="54">
        <v>9835</v>
      </c>
      <c r="IR76" s="54">
        <v>3655</v>
      </c>
      <c r="IS76" s="54">
        <v>33034</v>
      </c>
      <c r="IT76" s="54">
        <v>36775</v>
      </c>
      <c r="IU76" s="54">
        <v>92353</v>
      </c>
      <c r="IV76" s="54">
        <v>1768579</v>
      </c>
      <c r="IW76" s="54">
        <v>631390</v>
      </c>
      <c r="IX76" s="54">
        <v>351801</v>
      </c>
      <c r="IY76" s="54">
        <v>1945162</v>
      </c>
      <c r="IZ76" s="54">
        <v>8151934</v>
      </c>
      <c r="JA76" s="54">
        <v>12848866</v>
      </c>
      <c r="JB76" s="54">
        <v>15560215</v>
      </c>
      <c r="JC76" s="54">
        <v>6340071</v>
      </c>
      <c r="JD76" s="54">
        <v>4374122</v>
      </c>
      <c r="JE76" s="54">
        <v>21696118</v>
      </c>
      <c r="JF76" s="54">
        <v>30340279</v>
      </c>
      <c r="JG76" s="54">
        <v>78310805</v>
      </c>
      <c r="JH76" s="54">
        <v>0</v>
      </c>
      <c r="JI76" s="54">
        <v>0</v>
      </c>
      <c r="JJ76" s="54">
        <v>0</v>
      </c>
      <c r="JK76" s="54">
        <v>0</v>
      </c>
      <c r="JL76" s="54">
        <v>0</v>
      </c>
      <c r="JM76" s="54">
        <v>0</v>
      </c>
      <c r="JN76" s="54">
        <v>15560215</v>
      </c>
      <c r="JO76" s="54">
        <v>6340071</v>
      </c>
      <c r="JP76" s="54">
        <v>4374122</v>
      </c>
      <c r="JQ76" s="54">
        <v>21696118</v>
      </c>
      <c r="JR76" s="54">
        <v>30340279</v>
      </c>
      <c r="JS76" s="54">
        <v>78310805</v>
      </c>
      <c r="JU76" s="5">
        <f t="shared" si="160"/>
        <v>32771997</v>
      </c>
      <c r="JV76" s="26">
        <f t="shared" si="161"/>
        <v>0</v>
      </c>
      <c r="JW76" s="5">
        <f t="shared" si="162"/>
        <v>0</v>
      </c>
      <c r="JX76" s="26">
        <f t="shared" si="163"/>
        <v>0</v>
      </c>
      <c r="JY76" s="5">
        <f t="shared" si="164"/>
        <v>54000</v>
      </c>
      <c r="JZ76" s="26">
        <f t="shared" si="165"/>
        <v>0</v>
      </c>
      <c r="KA76" s="5">
        <f t="shared" si="166"/>
        <v>18059015</v>
      </c>
      <c r="KB76" s="26">
        <f t="shared" si="167"/>
        <v>0</v>
      </c>
      <c r="KC76" s="5">
        <f t="shared" si="168"/>
        <v>0</v>
      </c>
      <c r="KD76" s="26">
        <f t="shared" si="169"/>
        <v>0</v>
      </c>
      <c r="KE76" s="5">
        <f t="shared" si="170"/>
        <v>0</v>
      </c>
      <c r="KF76" s="26">
        <f t="shared" si="171"/>
        <v>0</v>
      </c>
      <c r="KG76" s="5">
        <f t="shared" si="172"/>
        <v>9856</v>
      </c>
      <c r="KH76" s="26">
        <f t="shared" si="173"/>
        <v>0</v>
      </c>
      <c r="KI76" s="5">
        <f t="shared" si="174"/>
        <v>0</v>
      </c>
      <c r="KJ76" s="26">
        <f t="shared" si="175"/>
        <v>0</v>
      </c>
      <c r="KK76" s="5">
        <f t="shared" si="176"/>
        <v>16123824</v>
      </c>
      <c r="KL76" s="26">
        <f t="shared" si="177"/>
        <v>0</v>
      </c>
      <c r="KM76" s="5">
        <f t="shared" si="178"/>
        <v>0</v>
      </c>
      <c r="KN76" s="26">
        <f t="shared" si="179"/>
        <v>0</v>
      </c>
      <c r="KO76" s="5">
        <f t="shared" si="180"/>
        <v>3097393</v>
      </c>
      <c r="KP76" s="26">
        <f t="shared" si="181"/>
        <v>0</v>
      </c>
      <c r="KQ76" s="5">
        <f t="shared" si="182"/>
        <v>10763462</v>
      </c>
      <c r="KR76" s="26">
        <f t="shared" si="183"/>
        <v>0</v>
      </c>
      <c r="KS76" s="5">
        <f t="shared" si="184"/>
        <v>4846078</v>
      </c>
      <c r="KT76" s="26">
        <f t="shared" si="185"/>
        <v>0</v>
      </c>
      <c r="KU76" s="5">
        <f t="shared" si="186"/>
        <v>197750</v>
      </c>
      <c r="KV76" s="26">
        <f t="shared" si="187"/>
        <v>0</v>
      </c>
      <c r="KW76" s="5">
        <f t="shared" si="188"/>
        <v>1373157</v>
      </c>
      <c r="KX76" s="26">
        <f t="shared" si="189"/>
        <v>0</v>
      </c>
      <c r="KY76" s="5">
        <f t="shared" si="190"/>
        <v>87296532</v>
      </c>
      <c r="KZ76" s="26">
        <f t="shared" si="191"/>
        <v>0</v>
      </c>
      <c r="LA76" s="5">
        <f t="shared" ref="LA76:LA92" si="233">SUM(ER76:EV76)</f>
        <v>6872707</v>
      </c>
      <c r="LB76" s="26">
        <f t="shared" ref="LB76:LB92" si="234">EW76-LA76</f>
        <v>0</v>
      </c>
      <c r="LC76" s="5">
        <f t="shared" ref="LC76:LC92" si="235">SUM(EX76:FB76)</f>
        <v>2246232</v>
      </c>
      <c r="LD76" s="26">
        <f t="shared" si="192"/>
        <v>0</v>
      </c>
      <c r="LE76" s="5">
        <f t="shared" si="193"/>
        <v>13522958</v>
      </c>
      <c r="LF76" s="26">
        <f t="shared" si="194"/>
        <v>0</v>
      </c>
      <c r="LG76" s="5">
        <f t="shared" si="195"/>
        <v>0</v>
      </c>
      <c r="LH76" s="26">
        <f t="shared" si="196"/>
        <v>0</v>
      </c>
      <c r="LI76" s="5">
        <f t="shared" si="197"/>
        <v>14887497</v>
      </c>
      <c r="LJ76" s="26">
        <f t="shared" si="198"/>
        <v>0</v>
      </c>
      <c r="LK76" s="5">
        <f t="shared" si="199"/>
        <v>0</v>
      </c>
      <c r="LL76" s="26">
        <f t="shared" si="200"/>
        <v>0</v>
      </c>
      <c r="LM76" s="5">
        <f t="shared" si="201"/>
        <v>293440</v>
      </c>
      <c r="LN76" s="26">
        <f t="shared" si="202"/>
        <v>0</v>
      </c>
      <c r="LO76" s="5">
        <f t="shared" si="203"/>
        <v>855789</v>
      </c>
      <c r="LP76" s="26">
        <f t="shared" si="204"/>
        <v>0</v>
      </c>
      <c r="LQ76" s="5">
        <f t="shared" si="205"/>
        <v>5573188</v>
      </c>
      <c r="LR76" s="26">
        <f t="shared" si="206"/>
        <v>0</v>
      </c>
      <c r="LS76" s="5">
        <f t="shared" si="207"/>
        <v>1826130</v>
      </c>
      <c r="LT76" s="26">
        <f t="shared" si="208"/>
        <v>0</v>
      </c>
      <c r="LU76" s="5">
        <f t="shared" si="209"/>
        <v>1944069</v>
      </c>
      <c r="LV76" s="26">
        <f t="shared" si="210"/>
        <v>0</v>
      </c>
      <c r="LW76" s="5">
        <f t="shared" si="211"/>
        <v>10579</v>
      </c>
      <c r="LX76" s="26">
        <f t="shared" si="212"/>
        <v>0</v>
      </c>
      <c r="LY76" s="5">
        <f t="shared" si="213"/>
        <v>2941872</v>
      </c>
      <c r="LZ76" s="26">
        <f t="shared" si="214"/>
        <v>0</v>
      </c>
      <c r="MA76" s="5">
        <f t="shared" si="215"/>
        <v>13605203</v>
      </c>
      <c r="MB76" s="26">
        <f t="shared" si="216"/>
        <v>0</v>
      </c>
      <c r="MC76" s="5">
        <f t="shared" si="217"/>
        <v>160891</v>
      </c>
      <c r="MD76" s="26">
        <f t="shared" si="218"/>
        <v>0</v>
      </c>
      <c r="ME76" s="5">
        <f t="shared" si="219"/>
        <v>0</v>
      </c>
      <c r="MF76" s="26">
        <f t="shared" si="220"/>
        <v>0</v>
      </c>
      <c r="MG76" s="5">
        <f t="shared" si="221"/>
        <v>629031</v>
      </c>
      <c r="MH76" s="26">
        <f t="shared" si="222"/>
        <v>0</v>
      </c>
      <c r="MI76" s="5">
        <f t="shared" si="223"/>
        <v>92353</v>
      </c>
      <c r="MJ76" s="26">
        <f t="shared" si="224"/>
        <v>0</v>
      </c>
      <c r="MK76" s="5">
        <f t="shared" si="225"/>
        <v>12848866</v>
      </c>
      <c r="ML76" s="26">
        <f t="shared" si="226"/>
        <v>0</v>
      </c>
      <c r="MM76" s="5">
        <f t="shared" si="227"/>
        <v>78310805</v>
      </c>
      <c r="MN76" s="26">
        <f t="shared" si="228"/>
        <v>0</v>
      </c>
      <c r="MO76" s="5">
        <f t="shared" si="229"/>
        <v>0</v>
      </c>
      <c r="MP76" s="26">
        <f t="shared" si="230"/>
        <v>0</v>
      </c>
      <c r="MQ76" s="5">
        <f t="shared" si="231"/>
        <v>78310805</v>
      </c>
      <c r="MR76" s="26">
        <f t="shared" si="232"/>
        <v>0</v>
      </c>
      <c r="MT76" s="5">
        <f t="shared" si="158"/>
        <v>0</v>
      </c>
      <c r="MV76" s="4">
        <f t="shared" si="159"/>
        <v>0</v>
      </c>
    </row>
    <row r="77" spans="1:371" x14ac:dyDescent="0.15">
      <c r="A77" s="99" t="s">
        <v>353</v>
      </c>
      <c r="B77" s="25" t="s">
        <v>464</v>
      </c>
      <c r="C77" s="109">
        <v>229115</v>
      </c>
      <c r="D77" s="105">
        <v>2011</v>
      </c>
      <c r="E77" s="106">
        <v>1</v>
      </c>
      <c r="F77" s="106">
        <v>2</v>
      </c>
      <c r="G77" s="107">
        <v>14085</v>
      </c>
      <c r="H77" s="107">
        <v>11333</v>
      </c>
      <c r="I77" s="108">
        <v>625123311</v>
      </c>
      <c r="J77" s="108"/>
      <c r="K77" s="108">
        <v>8903925</v>
      </c>
      <c r="L77" s="108"/>
      <c r="M77" s="108">
        <v>30516368</v>
      </c>
      <c r="N77" s="108"/>
      <c r="O77" s="108">
        <v>114767259</v>
      </c>
      <c r="P77" s="108"/>
      <c r="Q77" s="108">
        <v>337321665</v>
      </c>
      <c r="R77" s="108"/>
      <c r="S77" s="108"/>
      <c r="T77" s="108"/>
      <c r="U77" s="108">
        <v>18180</v>
      </c>
      <c r="V77" s="108"/>
      <c r="W77" s="108">
        <v>27480</v>
      </c>
      <c r="X77" s="108"/>
      <c r="Y77" s="108">
        <v>20916</v>
      </c>
      <c r="Z77" s="108"/>
      <c r="AA77" s="108">
        <v>30216</v>
      </c>
      <c r="AB77" s="108"/>
      <c r="AC77" s="129">
        <v>8</v>
      </c>
      <c r="AD77" s="129">
        <v>9</v>
      </c>
      <c r="AE77" s="129">
        <v>0</v>
      </c>
      <c r="AF77" s="26">
        <v>3607925</v>
      </c>
      <c r="AG77" s="26">
        <v>2467572</v>
      </c>
      <c r="AH77" s="26">
        <v>892436</v>
      </c>
      <c r="AI77" s="26">
        <v>292363</v>
      </c>
      <c r="AJ77" s="26">
        <v>711680.36</v>
      </c>
      <c r="AK77" s="36">
        <v>5.5</v>
      </c>
      <c r="AL77" s="26">
        <v>652373.67000000004</v>
      </c>
      <c r="AM77" s="36">
        <v>6</v>
      </c>
      <c r="AN77" s="26">
        <v>248084.15</v>
      </c>
      <c r="AO77" s="36">
        <v>6.5</v>
      </c>
      <c r="AP77" s="26">
        <v>230363.86</v>
      </c>
      <c r="AQ77" s="36">
        <v>7</v>
      </c>
      <c r="AR77" s="26">
        <v>186446.97</v>
      </c>
      <c r="AS77" s="36">
        <v>18.5</v>
      </c>
      <c r="AT77" s="26">
        <v>164250.9</v>
      </c>
      <c r="AU77" s="36">
        <v>21</v>
      </c>
      <c r="AV77" s="26">
        <v>86033.48</v>
      </c>
      <c r="AW77" s="36">
        <v>13.5</v>
      </c>
      <c r="AX77" s="26">
        <v>72590.75</v>
      </c>
      <c r="AY77" s="36">
        <v>16</v>
      </c>
      <c r="AZ77" s="54">
        <v>13608849</v>
      </c>
      <c r="BA77" s="54">
        <v>878941</v>
      </c>
      <c r="BB77" s="54">
        <v>379628</v>
      </c>
      <c r="BC77" s="54">
        <v>181962</v>
      </c>
      <c r="BD77" s="54">
        <v>478458</v>
      </c>
      <c r="BE77" s="54">
        <v>15527838</v>
      </c>
      <c r="BF77" s="54">
        <v>1374569</v>
      </c>
      <c r="BG77" s="54">
        <v>687285</v>
      </c>
      <c r="BH77" s="54">
        <v>412371</v>
      </c>
      <c r="BI77" s="54">
        <v>274915</v>
      </c>
      <c r="BJ77" s="54">
        <v>0</v>
      </c>
      <c r="BK77" s="54">
        <v>2749140</v>
      </c>
      <c r="BL77" s="54">
        <v>250000</v>
      </c>
      <c r="BM77" s="54">
        <v>0</v>
      </c>
      <c r="BN77" s="54">
        <v>0</v>
      </c>
      <c r="BO77" s="54">
        <v>0</v>
      </c>
      <c r="BP77" s="54">
        <v>0</v>
      </c>
      <c r="BQ77" s="54">
        <v>250000</v>
      </c>
      <c r="BR77" s="54">
        <v>7516439</v>
      </c>
      <c r="BS77" s="54">
        <v>1092665</v>
      </c>
      <c r="BT77" s="54">
        <v>643157</v>
      </c>
      <c r="BU77" s="54">
        <v>1523657</v>
      </c>
      <c r="BV77" s="54">
        <v>7929000</v>
      </c>
      <c r="BW77" s="54">
        <v>18704918</v>
      </c>
      <c r="BX77" s="54">
        <v>0</v>
      </c>
      <c r="BY77" s="54">
        <v>0</v>
      </c>
      <c r="BZ77" s="54">
        <v>0</v>
      </c>
      <c r="CA77" s="54">
        <v>0</v>
      </c>
      <c r="CB77" s="54">
        <v>0</v>
      </c>
      <c r="CC77" s="54">
        <v>0</v>
      </c>
      <c r="CD77" s="54">
        <v>0</v>
      </c>
      <c r="CE77" s="54">
        <v>0</v>
      </c>
      <c r="CF77" s="54">
        <v>0</v>
      </c>
      <c r="CG77" s="54">
        <v>0</v>
      </c>
      <c r="CH77" s="54">
        <v>0</v>
      </c>
      <c r="CI77" s="54">
        <v>0</v>
      </c>
      <c r="CJ77" s="54">
        <v>236290</v>
      </c>
      <c r="CK77" s="54">
        <v>41850</v>
      </c>
      <c r="CL77" s="54">
        <v>12090</v>
      </c>
      <c r="CM77" s="54">
        <v>498810</v>
      </c>
      <c r="CN77" s="54">
        <v>2250000</v>
      </c>
      <c r="CO77" s="54">
        <v>3039040</v>
      </c>
      <c r="CP77" s="54">
        <v>0</v>
      </c>
      <c r="CQ77" s="54">
        <v>0</v>
      </c>
      <c r="CR77" s="54">
        <v>0</v>
      </c>
      <c r="CS77" s="54">
        <v>0</v>
      </c>
      <c r="CT77" s="54">
        <v>0</v>
      </c>
      <c r="CU77" s="54">
        <v>0</v>
      </c>
      <c r="CV77" s="54">
        <v>7357903</v>
      </c>
      <c r="CW77" s="54">
        <v>2929545</v>
      </c>
      <c r="CX77" s="54">
        <v>0</v>
      </c>
      <c r="CY77" s="54">
        <v>0</v>
      </c>
      <c r="CZ77" s="54">
        <v>1669254</v>
      </c>
      <c r="DA77" s="54">
        <v>11956702</v>
      </c>
      <c r="DB77" s="54">
        <v>0</v>
      </c>
      <c r="DC77" s="54">
        <v>0</v>
      </c>
      <c r="DD77" s="54">
        <v>0</v>
      </c>
      <c r="DE77" s="54">
        <v>0</v>
      </c>
      <c r="DF77" s="54">
        <v>0</v>
      </c>
      <c r="DG77" s="54">
        <v>0</v>
      </c>
      <c r="DH77" s="54">
        <v>842309</v>
      </c>
      <c r="DI77" s="54">
        <v>33755</v>
      </c>
      <c r="DJ77" s="54">
        <v>20020</v>
      </c>
      <c r="DK77" s="54">
        <v>78625</v>
      </c>
      <c r="DL77" s="54">
        <v>288255</v>
      </c>
      <c r="DM77" s="54">
        <v>1262964</v>
      </c>
      <c r="DN77" s="54">
        <v>88157</v>
      </c>
      <c r="DO77" s="54">
        <v>20279</v>
      </c>
      <c r="DP77" s="54">
        <v>28978</v>
      </c>
      <c r="DQ77" s="54">
        <v>77024</v>
      </c>
      <c r="DR77" s="54">
        <v>5066679</v>
      </c>
      <c r="DS77" s="62">
        <v>5281117</v>
      </c>
      <c r="DT77" s="62">
        <v>0</v>
      </c>
      <c r="DU77" s="54">
        <v>0</v>
      </c>
      <c r="DV77" s="54">
        <v>0</v>
      </c>
      <c r="DW77" s="54">
        <v>0</v>
      </c>
      <c r="DX77" s="54">
        <v>0</v>
      </c>
      <c r="DY77" s="54">
        <v>0</v>
      </c>
      <c r="DZ77" s="54">
        <v>120640</v>
      </c>
      <c r="EA77" s="54">
        <v>34515</v>
      </c>
      <c r="EB77" s="54">
        <v>41595</v>
      </c>
      <c r="EC77" s="54">
        <v>122644</v>
      </c>
      <c r="ED77" s="54">
        <v>97327</v>
      </c>
      <c r="EE77" s="54">
        <v>416721</v>
      </c>
      <c r="EF77" s="54">
        <v>14337</v>
      </c>
      <c r="EG77" s="54">
        <v>50</v>
      </c>
      <c r="EH77" s="54">
        <v>0</v>
      </c>
      <c r="EI77" s="54">
        <v>75521</v>
      </c>
      <c r="EJ77" s="54">
        <v>256547</v>
      </c>
      <c r="EK77" s="54">
        <v>346455</v>
      </c>
      <c r="EL77" s="54">
        <v>31409493</v>
      </c>
      <c r="EM77" s="54">
        <v>5718885</v>
      </c>
      <c r="EN77" s="54">
        <v>1537839</v>
      </c>
      <c r="EO77" s="54">
        <v>2833158</v>
      </c>
      <c r="EP77" s="54">
        <v>18035520</v>
      </c>
      <c r="EQ77" s="54">
        <v>59534895</v>
      </c>
      <c r="ER77" s="54">
        <v>2403318</v>
      </c>
      <c r="ES77" s="54">
        <v>228361</v>
      </c>
      <c r="ET77" s="54">
        <v>436950</v>
      </c>
      <c r="EU77" s="54">
        <v>3006868</v>
      </c>
      <c r="EV77" s="54">
        <v>20524</v>
      </c>
      <c r="EW77" s="54">
        <v>6096021</v>
      </c>
      <c r="EX77" s="54">
        <v>750000</v>
      </c>
      <c r="EY77" s="54">
        <v>379500</v>
      </c>
      <c r="EZ77" s="54">
        <v>197000</v>
      </c>
      <c r="FA77" s="54">
        <v>60000</v>
      </c>
      <c r="FB77" s="54">
        <v>0</v>
      </c>
      <c r="FC77" s="54">
        <v>1386500</v>
      </c>
      <c r="FD77" s="54">
        <v>4508734</v>
      </c>
      <c r="FE77" s="54">
        <v>1543442</v>
      </c>
      <c r="FF77" s="54">
        <v>1109412</v>
      </c>
      <c r="FG77" s="54">
        <v>2975922</v>
      </c>
      <c r="FH77" s="54">
        <v>0</v>
      </c>
      <c r="FI77" s="54">
        <v>10137510</v>
      </c>
      <c r="FJ77" s="54">
        <v>0</v>
      </c>
      <c r="FK77" s="54">
        <v>0</v>
      </c>
      <c r="FL77" s="54">
        <v>0</v>
      </c>
      <c r="FM77" s="54">
        <v>0</v>
      </c>
      <c r="FN77" s="54">
        <v>0</v>
      </c>
      <c r="FO77" s="54">
        <v>0</v>
      </c>
      <c r="FP77" s="54">
        <v>2125847</v>
      </c>
      <c r="FQ77" s="54">
        <v>532054</v>
      </c>
      <c r="FR77" s="54">
        <v>217020</v>
      </c>
      <c r="FS77" s="54">
        <v>406327</v>
      </c>
      <c r="FT77" s="54">
        <v>8495946</v>
      </c>
      <c r="FU77" s="54">
        <v>11777194</v>
      </c>
      <c r="FV77" s="54">
        <v>0</v>
      </c>
      <c r="FW77" s="54">
        <v>0</v>
      </c>
      <c r="FX77" s="54">
        <v>0</v>
      </c>
      <c r="FY77" s="54">
        <v>0</v>
      </c>
      <c r="FZ77" s="54">
        <v>0</v>
      </c>
      <c r="GA77" s="54">
        <v>0</v>
      </c>
      <c r="GB77" s="54">
        <v>50000</v>
      </c>
      <c r="GC77" s="54">
        <v>500000</v>
      </c>
      <c r="GD77" s="54">
        <v>0</v>
      </c>
      <c r="GE77" s="54">
        <v>115000</v>
      </c>
      <c r="GF77" s="54">
        <v>0</v>
      </c>
      <c r="GG77" s="54">
        <v>665000</v>
      </c>
      <c r="GH77" s="54">
        <v>611910</v>
      </c>
      <c r="GI77" s="54">
        <v>116069</v>
      </c>
      <c r="GJ77" s="54">
        <v>97177</v>
      </c>
      <c r="GK77" s="54">
        <v>359643</v>
      </c>
      <c r="GL77" s="54">
        <v>0</v>
      </c>
      <c r="GM77" s="54">
        <v>1184799</v>
      </c>
      <c r="GN77" s="54">
        <v>1225819</v>
      </c>
      <c r="GO77" s="54">
        <v>626167</v>
      </c>
      <c r="GP77" s="54">
        <v>580331</v>
      </c>
      <c r="GQ77" s="54">
        <v>1512248</v>
      </c>
      <c r="GR77" s="54">
        <v>1246</v>
      </c>
      <c r="GS77" s="54">
        <v>3945811</v>
      </c>
      <c r="GT77" s="54">
        <v>707715</v>
      </c>
      <c r="GU77" s="54">
        <v>45385</v>
      </c>
      <c r="GV77" s="54">
        <v>32260</v>
      </c>
      <c r="GW77" s="54">
        <v>367726</v>
      </c>
      <c r="GX77" s="54">
        <v>3002</v>
      </c>
      <c r="GY77" s="54">
        <v>1156088</v>
      </c>
      <c r="GZ77" s="54">
        <v>1260597</v>
      </c>
      <c r="HA77" s="54">
        <v>317182</v>
      </c>
      <c r="HB77" s="54">
        <v>249602</v>
      </c>
      <c r="HC77" s="54">
        <v>366245</v>
      </c>
      <c r="HD77" s="54">
        <v>35178</v>
      </c>
      <c r="HE77" s="54">
        <v>2228804</v>
      </c>
      <c r="HF77" s="54">
        <v>213988</v>
      </c>
      <c r="HG77" s="54">
        <v>1218</v>
      </c>
      <c r="HH77" s="54">
        <v>1000</v>
      </c>
      <c r="HI77" s="54">
        <v>6371</v>
      </c>
      <c r="HJ77" s="54">
        <v>1349263</v>
      </c>
      <c r="HK77" s="54">
        <v>1571840</v>
      </c>
      <c r="HL77" s="54">
        <v>0</v>
      </c>
      <c r="HM77" s="54">
        <v>0</v>
      </c>
      <c r="HN77" s="54">
        <v>0</v>
      </c>
      <c r="HO77" s="54">
        <v>0</v>
      </c>
      <c r="HP77" s="54">
        <v>0</v>
      </c>
      <c r="HQ77" s="54">
        <v>0</v>
      </c>
      <c r="HR77" s="54">
        <v>5891169</v>
      </c>
      <c r="HS77" s="54">
        <v>1506937</v>
      </c>
      <c r="HT77" s="54">
        <v>1506876</v>
      </c>
      <c r="HU77" s="54">
        <v>1296298</v>
      </c>
      <c r="HV77" s="54">
        <v>2671723</v>
      </c>
      <c r="HW77" s="54">
        <v>12873003</v>
      </c>
      <c r="HX77" s="54">
        <v>113483</v>
      </c>
      <c r="HY77" s="54">
        <v>0</v>
      </c>
      <c r="HZ77" s="54">
        <v>0</v>
      </c>
      <c r="IA77" s="54">
        <v>0</v>
      </c>
      <c r="IB77" s="54">
        <v>51281</v>
      </c>
      <c r="IC77" s="54">
        <v>164764</v>
      </c>
      <c r="ID77" s="54">
        <v>0</v>
      </c>
      <c r="IE77" s="54">
        <v>0</v>
      </c>
      <c r="IF77" s="54">
        <v>0</v>
      </c>
      <c r="IG77" s="54">
        <v>0</v>
      </c>
      <c r="IH77" s="54">
        <v>0</v>
      </c>
      <c r="II77" s="54">
        <v>0</v>
      </c>
      <c r="IJ77" s="54">
        <v>358624</v>
      </c>
      <c r="IK77" s="54">
        <v>6474</v>
      </c>
      <c r="IL77" s="54">
        <v>11690</v>
      </c>
      <c r="IM77" s="54">
        <v>56498</v>
      </c>
      <c r="IN77" s="54">
        <v>270481</v>
      </c>
      <c r="IO77" s="54">
        <v>703767</v>
      </c>
      <c r="IP77" s="54">
        <v>13120</v>
      </c>
      <c r="IQ77" s="54">
        <v>3653</v>
      </c>
      <c r="IR77" s="54">
        <v>235</v>
      </c>
      <c r="IS77" s="54">
        <v>7800</v>
      </c>
      <c r="IT77" s="54">
        <v>26769</v>
      </c>
      <c r="IU77" s="54">
        <v>51577</v>
      </c>
      <c r="IV77" s="54">
        <v>710961</v>
      </c>
      <c r="IW77" s="54">
        <v>172545</v>
      </c>
      <c r="IX77" s="54">
        <v>106851</v>
      </c>
      <c r="IY77" s="54">
        <v>257405</v>
      </c>
      <c r="IZ77" s="54">
        <v>1780211</v>
      </c>
      <c r="JA77" s="54">
        <v>3027973</v>
      </c>
      <c r="JB77" s="54">
        <v>20945285</v>
      </c>
      <c r="JC77" s="54">
        <v>5978987</v>
      </c>
      <c r="JD77" s="54">
        <v>4546404</v>
      </c>
      <c r="JE77" s="54">
        <v>10794351</v>
      </c>
      <c r="JF77" s="54">
        <v>14705624</v>
      </c>
      <c r="JG77" s="54">
        <v>56970651</v>
      </c>
      <c r="JH77" s="54">
        <v>0</v>
      </c>
      <c r="JI77" s="54">
        <v>0</v>
      </c>
      <c r="JJ77" s="54">
        <v>0</v>
      </c>
      <c r="JK77" s="54">
        <v>0</v>
      </c>
      <c r="JL77" s="54">
        <v>0</v>
      </c>
      <c r="JM77" s="54">
        <v>0</v>
      </c>
      <c r="JN77" s="54">
        <v>20945285</v>
      </c>
      <c r="JO77" s="54">
        <v>5978987</v>
      </c>
      <c r="JP77" s="54">
        <v>4546404</v>
      </c>
      <c r="JQ77" s="54">
        <v>10794351</v>
      </c>
      <c r="JR77" s="54">
        <v>14705624</v>
      </c>
      <c r="JS77" s="54">
        <v>56970651</v>
      </c>
      <c r="JU77" s="5">
        <f t="shared" si="160"/>
        <v>15527838</v>
      </c>
      <c r="JV77" s="26">
        <f t="shared" si="161"/>
        <v>0</v>
      </c>
      <c r="JW77" s="5">
        <f t="shared" si="162"/>
        <v>2749140</v>
      </c>
      <c r="JX77" s="26">
        <f t="shared" si="163"/>
        <v>0</v>
      </c>
      <c r="JY77" s="5">
        <f t="shared" si="164"/>
        <v>250000</v>
      </c>
      <c r="JZ77" s="26">
        <f t="shared" si="165"/>
        <v>0</v>
      </c>
      <c r="KA77" s="5">
        <f t="shared" si="166"/>
        <v>18704918</v>
      </c>
      <c r="KB77" s="26">
        <f t="shared" si="167"/>
        <v>0</v>
      </c>
      <c r="KC77" s="5">
        <f t="shared" si="168"/>
        <v>0</v>
      </c>
      <c r="KD77" s="26">
        <f t="shared" si="169"/>
        <v>0</v>
      </c>
      <c r="KE77" s="5">
        <f t="shared" si="170"/>
        <v>0</v>
      </c>
      <c r="KF77" s="26">
        <f t="shared" si="171"/>
        <v>0</v>
      </c>
      <c r="KG77" s="5">
        <f t="shared" si="172"/>
        <v>3039040</v>
      </c>
      <c r="KH77" s="26">
        <f t="shared" si="173"/>
        <v>0</v>
      </c>
      <c r="KI77" s="5">
        <f t="shared" si="174"/>
        <v>0</v>
      </c>
      <c r="KJ77" s="26">
        <f t="shared" si="175"/>
        <v>0</v>
      </c>
      <c r="KK77" s="5">
        <f t="shared" si="176"/>
        <v>11956702</v>
      </c>
      <c r="KL77" s="26">
        <f t="shared" si="177"/>
        <v>0</v>
      </c>
      <c r="KM77" s="5">
        <f t="shared" si="178"/>
        <v>0</v>
      </c>
      <c r="KN77" s="26">
        <f t="shared" si="179"/>
        <v>0</v>
      </c>
      <c r="KO77" s="5">
        <f t="shared" si="180"/>
        <v>1262964</v>
      </c>
      <c r="KP77" s="26">
        <f t="shared" si="181"/>
        <v>0</v>
      </c>
      <c r="KQ77" s="5">
        <f t="shared" si="182"/>
        <v>5281117</v>
      </c>
      <c r="KR77" s="26">
        <f t="shared" si="183"/>
        <v>0</v>
      </c>
      <c r="KS77" s="5">
        <f t="shared" si="184"/>
        <v>0</v>
      </c>
      <c r="KT77" s="26">
        <f t="shared" si="185"/>
        <v>0</v>
      </c>
      <c r="KU77" s="5">
        <f t="shared" si="186"/>
        <v>416721</v>
      </c>
      <c r="KV77" s="26">
        <f t="shared" si="187"/>
        <v>0</v>
      </c>
      <c r="KW77" s="5">
        <f t="shared" si="188"/>
        <v>346455</v>
      </c>
      <c r="KX77" s="26">
        <f t="shared" si="189"/>
        <v>0</v>
      </c>
      <c r="KY77" s="5">
        <f t="shared" si="190"/>
        <v>59534895</v>
      </c>
      <c r="KZ77" s="26">
        <f t="shared" si="191"/>
        <v>0</v>
      </c>
      <c r="LA77" s="5">
        <f t="shared" si="233"/>
        <v>6096021</v>
      </c>
      <c r="LB77" s="26">
        <f t="shared" si="234"/>
        <v>0</v>
      </c>
      <c r="LC77" s="5">
        <f t="shared" si="235"/>
        <v>1386500</v>
      </c>
      <c r="LD77" s="26">
        <f t="shared" si="192"/>
        <v>0</v>
      </c>
      <c r="LE77" s="5">
        <f t="shared" si="193"/>
        <v>10137510</v>
      </c>
      <c r="LF77" s="26">
        <f t="shared" si="194"/>
        <v>0</v>
      </c>
      <c r="LG77" s="5">
        <f t="shared" si="195"/>
        <v>0</v>
      </c>
      <c r="LH77" s="26">
        <f t="shared" si="196"/>
        <v>0</v>
      </c>
      <c r="LI77" s="5">
        <f t="shared" si="197"/>
        <v>11777194</v>
      </c>
      <c r="LJ77" s="26">
        <f t="shared" si="198"/>
        <v>0</v>
      </c>
      <c r="LK77" s="5">
        <f t="shared" si="199"/>
        <v>0</v>
      </c>
      <c r="LL77" s="26">
        <f t="shared" si="200"/>
        <v>0</v>
      </c>
      <c r="LM77" s="5">
        <f t="shared" si="201"/>
        <v>665000</v>
      </c>
      <c r="LN77" s="26">
        <f t="shared" si="202"/>
        <v>0</v>
      </c>
      <c r="LO77" s="5">
        <f t="shared" si="203"/>
        <v>1184799</v>
      </c>
      <c r="LP77" s="26">
        <f t="shared" si="204"/>
        <v>0</v>
      </c>
      <c r="LQ77" s="5">
        <f t="shared" si="205"/>
        <v>3945811</v>
      </c>
      <c r="LR77" s="26">
        <f t="shared" si="206"/>
        <v>0</v>
      </c>
      <c r="LS77" s="5">
        <f t="shared" si="207"/>
        <v>1156088</v>
      </c>
      <c r="LT77" s="26">
        <f t="shared" si="208"/>
        <v>0</v>
      </c>
      <c r="LU77" s="5">
        <f t="shared" si="209"/>
        <v>2228804</v>
      </c>
      <c r="LV77" s="26">
        <f t="shared" si="210"/>
        <v>0</v>
      </c>
      <c r="LW77" s="5">
        <f t="shared" si="211"/>
        <v>1571840</v>
      </c>
      <c r="LX77" s="26">
        <f t="shared" si="212"/>
        <v>0</v>
      </c>
      <c r="LY77" s="5">
        <f t="shared" si="213"/>
        <v>0</v>
      </c>
      <c r="LZ77" s="26">
        <f t="shared" si="214"/>
        <v>0</v>
      </c>
      <c r="MA77" s="5">
        <f t="shared" si="215"/>
        <v>12873003</v>
      </c>
      <c r="MB77" s="26">
        <f t="shared" si="216"/>
        <v>0</v>
      </c>
      <c r="MC77" s="5">
        <f t="shared" si="217"/>
        <v>164764</v>
      </c>
      <c r="MD77" s="26">
        <f t="shared" si="218"/>
        <v>0</v>
      </c>
      <c r="ME77" s="5">
        <f t="shared" si="219"/>
        <v>0</v>
      </c>
      <c r="MF77" s="26">
        <f t="shared" si="220"/>
        <v>0</v>
      </c>
      <c r="MG77" s="5">
        <f t="shared" si="221"/>
        <v>703767</v>
      </c>
      <c r="MH77" s="26">
        <f t="shared" si="222"/>
        <v>0</v>
      </c>
      <c r="MI77" s="5">
        <f t="shared" si="223"/>
        <v>51577</v>
      </c>
      <c r="MJ77" s="26">
        <f t="shared" si="224"/>
        <v>0</v>
      </c>
      <c r="MK77" s="5">
        <f t="shared" si="225"/>
        <v>3027973</v>
      </c>
      <c r="ML77" s="26">
        <f t="shared" si="226"/>
        <v>0</v>
      </c>
      <c r="MM77" s="5">
        <f t="shared" si="227"/>
        <v>56970651</v>
      </c>
      <c r="MN77" s="26">
        <f t="shared" si="228"/>
        <v>0</v>
      </c>
      <c r="MO77" s="5">
        <f t="shared" si="229"/>
        <v>0</v>
      </c>
      <c r="MP77" s="26">
        <f t="shared" si="230"/>
        <v>0</v>
      </c>
      <c r="MQ77" s="5">
        <f t="shared" si="231"/>
        <v>56970651</v>
      </c>
      <c r="MR77" s="26">
        <f t="shared" si="232"/>
        <v>0</v>
      </c>
      <c r="MT77" s="5">
        <f t="shared" si="158"/>
        <v>0</v>
      </c>
      <c r="MV77" s="4">
        <f t="shared" si="159"/>
        <v>0</v>
      </c>
    </row>
    <row r="78" spans="1:371" x14ac:dyDescent="0.15">
      <c r="A78" s="155" t="s">
        <v>354</v>
      </c>
      <c r="B78" s="25" t="s">
        <v>475</v>
      </c>
      <c r="C78" s="109">
        <v>188030</v>
      </c>
      <c r="D78" s="105">
        <v>2011</v>
      </c>
      <c r="E78" s="106">
        <v>1</v>
      </c>
      <c r="F78" s="106">
        <v>9</v>
      </c>
      <c r="G78" s="107">
        <v>8151</v>
      </c>
      <c r="H78" s="107">
        <v>8001</v>
      </c>
      <c r="I78" s="108">
        <v>785681000</v>
      </c>
      <c r="J78" s="108">
        <v>790410000</v>
      </c>
      <c r="K78" s="108">
        <v>1730601</v>
      </c>
      <c r="L78" s="108"/>
      <c r="M78" s="108">
        <v>27009399</v>
      </c>
      <c r="N78" s="108"/>
      <c r="O78" s="108">
        <v>49622836</v>
      </c>
      <c r="P78" s="108"/>
      <c r="Q78" s="108">
        <v>267284165</v>
      </c>
      <c r="R78" s="108"/>
      <c r="S78" s="108">
        <v>587185000</v>
      </c>
      <c r="T78" s="108">
        <v>484270000</v>
      </c>
      <c r="U78" s="108">
        <v>19001</v>
      </c>
      <c r="V78" s="108">
        <v>18165</v>
      </c>
      <c r="W78" s="108">
        <v>28121</v>
      </c>
      <c r="X78" s="108">
        <v>26976</v>
      </c>
      <c r="Y78" s="108">
        <v>23152</v>
      </c>
      <c r="Z78" s="108">
        <v>21454</v>
      </c>
      <c r="AA78" s="108">
        <v>32272</v>
      </c>
      <c r="AB78" s="108">
        <v>30989</v>
      </c>
      <c r="AC78" s="129">
        <v>6</v>
      </c>
      <c r="AD78" s="129">
        <v>10</v>
      </c>
      <c r="AE78" s="129">
        <v>0</v>
      </c>
      <c r="AF78" s="26">
        <v>3098998</v>
      </c>
      <c r="AG78" s="26">
        <v>2583439</v>
      </c>
      <c r="AH78" s="26">
        <v>295871</v>
      </c>
      <c r="AI78" s="26">
        <v>96958</v>
      </c>
      <c r="AJ78" s="26">
        <v>254741</v>
      </c>
      <c r="AK78" s="36">
        <v>5.5</v>
      </c>
      <c r="AL78" s="26">
        <v>233513</v>
      </c>
      <c r="AM78" s="36">
        <v>6</v>
      </c>
      <c r="AN78" s="26">
        <v>125308</v>
      </c>
      <c r="AO78" s="36">
        <v>7.5</v>
      </c>
      <c r="AP78" s="26">
        <v>117476</v>
      </c>
      <c r="AQ78" s="36">
        <v>8</v>
      </c>
      <c r="AR78" s="26">
        <v>121143</v>
      </c>
      <c r="AS78" s="36">
        <v>13.5</v>
      </c>
      <c r="AT78" s="26">
        <v>116816</v>
      </c>
      <c r="AU78" s="36">
        <v>14</v>
      </c>
      <c r="AV78" s="26">
        <v>63070</v>
      </c>
      <c r="AW78" s="36">
        <v>10.3</v>
      </c>
      <c r="AX78" s="26">
        <v>59057</v>
      </c>
      <c r="AY78" s="36">
        <v>11</v>
      </c>
      <c r="AZ78" s="54">
        <v>936134</v>
      </c>
      <c r="BA78" s="65">
        <v>317181</v>
      </c>
      <c r="BB78" s="65">
        <v>353721</v>
      </c>
      <c r="BC78" s="65">
        <v>10821</v>
      </c>
      <c r="BD78" s="65">
        <v>107079</v>
      </c>
      <c r="BE78" s="65">
        <v>1724936</v>
      </c>
      <c r="BF78" s="65">
        <v>0</v>
      </c>
      <c r="BG78" s="65">
        <v>0</v>
      </c>
      <c r="BH78" s="65">
        <v>0</v>
      </c>
      <c r="BI78" s="65">
        <v>0</v>
      </c>
      <c r="BJ78" s="65">
        <v>10125436</v>
      </c>
      <c r="BK78" s="65">
        <v>10125436</v>
      </c>
      <c r="BL78" s="65">
        <v>600000</v>
      </c>
      <c r="BM78" s="65">
        <v>0</v>
      </c>
      <c r="BN78" s="65">
        <v>3500</v>
      </c>
      <c r="BO78" s="65">
        <v>7200</v>
      </c>
      <c r="BP78" s="65">
        <v>0</v>
      </c>
      <c r="BQ78" s="65">
        <v>610700</v>
      </c>
      <c r="BR78" s="65">
        <v>0</v>
      </c>
      <c r="BS78" s="65">
        <v>0</v>
      </c>
      <c r="BT78" s="65">
        <v>14000</v>
      </c>
      <c r="BU78" s="65">
        <v>0</v>
      </c>
      <c r="BV78" s="65">
        <v>3206632</v>
      </c>
      <c r="BW78" s="65">
        <v>3220632</v>
      </c>
      <c r="BX78" s="65">
        <v>0</v>
      </c>
      <c r="BY78" s="65">
        <v>0</v>
      </c>
      <c r="BZ78" s="65">
        <v>0</v>
      </c>
      <c r="CA78" s="65">
        <v>0</v>
      </c>
      <c r="CB78" s="65">
        <v>0</v>
      </c>
      <c r="CC78" s="65">
        <v>0</v>
      </c>
      <c r="CD78" s="65">
        <v>0</v>
      </c>
      <c r="CE78" s="54">
        <v>0</v>
      </c>
      <c r="CF78" s="54">
        <v>0</v>
      </c>
      <c r="CG78" s="54">
        <v>0</v>
      </c>
      <c r="CH78" s="54">
        <v>0</v>
      </c>
      <c r="CI78" s="54">
        <v>0</v>
      </c>
      <c r="CJ78" s="54">
        <v>0</v>
      </c>
      <c r="CK78" s="65">
        <v>0</v>
      </c>
      <c r="CL78" s="65">
        <v>0</v>
      </c>
      <c r="CM78" s="65">
        <v>0</v>
      </c>
      <c r="CN78" s="65">
        <v>0</v>
      </c>
      <c r="CO78" s="65">
        <v>0</v>
      </c>
      <c r="CP78" s="65">
        <v>0</v>
      </c>
      <c r="CQ78" s="65">
        <v>0</v>
      </c>
      <c r="CR78" s="65">
        <v>0</v>
      </c>
      <c r="CS78" s="65">
        <v>0</v>
      </c>
      <c r="CT78" s="65">
        <v>0</v>
      </c>
      <c r="CU78" s="65">
        <v>0</v>
      </c>
      <c r="CV78" s="65">
        <v>0</v>
      </c>
      <c r="CW78" s="65">
        <v>0</v>
      </c>
      <c r="CX78" s="65">
        <v>0</v>
      </c>
      <c r="CY78" s="65">
        <v>0</v>
      </c>
      <c r="CZ78" s="65">
        <v>1063541</v>
      </c>
      <c r="DA78" s="65">
        <v>1063541</v>
      </c>
      <c r="DB78" s="65">
        <v>0</v>
      </c>
      <c r="DC78" s="54">
        <v>0</v>
      </c>
      <c r="DD78" s="54">
        <v>0</v>
      </c>
      <c r="DE78" s="54">
        <v>0</v>
      </c>
      <c r="DF78" s="54">
        <v>0</v>
      </c>
      <c r="DG78" s="54">
        <v>0</v>
      </c>
      <c r="DH78" s="54">
        <v>74133</v>
      </c>
      <c r="DI78" s="65">
        <v>19128</v>
      </c>
      <c r="DJ78" s="65">
        <v>14612</v>
      </c>
      <c r="DK78" s="65">
        <v>2852</v>
      </c>
      <c r="DL78" s="65">
        <v>66806</v>
      </c>
      <c r="DM78" s="65">
        <v>177531</v>
      </c>
      <c r="DN78" s="65">
        <v>1903</v>
      </c>
      <c r="DO78" s="65">
        <v>0</v>
      </c>
      <c r="DP78" s="65">
        <v>0</v>
      </c>
      <c r="DQ78" s="65">
        <v>0</v>
      </c>
      <c r="DR78" s="65">
        <v>1494120</v>
      </c>
      <c r="DS78" s="65">
        <v>1496023</v>
      </c>
      <c r="DT78" s="65">
        <v>39100</v>
      </c>
      <c r="DU78" s="65">
        <v>47764</v>
      </c>
      <c r="DV78" s="65">
        <v>46761</v>
      </c>
      <c r="DW78" s="65">
        <v>96373</v>
      </c>
      <c r="DX78" s="65">
        <v>0</v>
      </c>
      <c r="DY78" s="65">
        <v>229998</v>
      </c>
      <c r="DZ78" s="65">
        <v>0</v>
      </c>
      <c r="EA78" s="65">
        <v>0</v>
      </c>
      <c r="EB78" s="65">
        <v>0</v>
      </c>
      <c r="EC78" s="65">
        <v>0</v>
      </c>
      <c r="ED78" s="65">
        <v>0</v>
      </c>
      <c r="EE78" s="65">
        <v>0</v>
      </c>
      <c r="EF78" s="65">
        <v>85096</v>
      </c>
      <c r="EG78" s="65">
        <v>86319</v>
      </c>
      <c r="EH78" s="65">
        <v>23001</v>
      </c>
      <c r="EI78" s="65">
        <v>54073</v>
      </c>
      <c r="EJ78" s="65">
        <v>588163</v>
      </c>
      <c r="EK78" s="65">
        <v>836652</v>
      </c>
      <c r="EL78" s="65">
        <v>1736366</v>
      </c>
      <c r="EM78" s="65">
        <v>470392</v>
      </c>
      <c r="EN78" s="65">
        <v>455595</v>
      </c>
      <c r="EO78" s="65">
        <v>171319</v>
      </c>
      <c r="EP78" s="65">
        <v>16651777</v>
      </c>
      <c r="EQ78" s="65">
        <v>19485449</v>
      </c>
      <c r="ER78" s="65">
        <v>2085403</v>
      </c>
      <c r="ES78" s="65">
        <v>394747</v>
      </c>
      <c r="ET78" s="65">
        <v>432467</v>
      </c>
      <c r="EU78" s="65">
        <v>2769820</v>
      </c>
      <c r="EV78" s="65">
        <v>1128541</v>
      </c>
      <c r="EW78" s="65">
        <v>6810978</v>
      </c>
      <c r="EX78" s="65">
        <v>700000</v>
      </c>
      <c r="EY78" s="65">
        <v>8000</v>
      </c>
      <c r="EZ78" s="65">
        <v>197430</v>
      </c>
      <c r="FA78" s="65">
        <v>0</v>
      </c>
      <c r="FB78" s="65">
        <v>0</v>
      </c>
      <c r="FC78" s="65">
        <v>905430</v>
      </c>
      <c r="FD78" s="65">
        <v>1772317</v>
      </c>
      <c r="FE78" s="65">
        <v>913740</v>
      </c>
      <c r="FF78" s="65">
        <v>750008</v>
      </c>
      <c r="FG78" s="65">
        <v>1189869</v>
      </c>
      <c r="FH78" s="65">
        <v>0</v>
      </c>
      <c r="FI78" s="65">
        <v>4625934</v>
      </c>
      <c r="FJ78" s="65">
        <v>0</v>
      </c>
      <c r="FK78" s="65">
        <v>0</v>
      </c>
      <c r="FL78" s="65">
        <v>0</v>
      </c>
      <c r="FM78" s="65">
        <v>0</v>
      </c>
      <c r="FN78" s="65">
        <v>0</v>
      </c>
      <c r="FO78" s="65">
        <v>0</v>
      </c>
      <c r="FP78" s="65">
        <v>317310</v>
      </c>
      <c r="FQ78" s="65">
        <v>44893</v>
      </c>
      <c r="FR78" s="65">
        <v>42304</v>
      </c>
      <c r="FS78" s="65">
        <v>0</v>
      </c>
      <c r="FT78" s="65">
        <v>2007439</v>
      </c>
      <c r="FU78" s="65">
        <v>2411946</v>
      </c>
      <c r="FV78" s="65">
        <v>0</v>
      </c>
      <c r="FW78" s="54">
        <v>0</v>
      </c>
      <c r="FX78" s="54">
        <v>0</v>
      </c>
      <c r="FY78" s="54">
        <v>0</v>
      </c>
      <c r="FZ78" s="54">
        <v>0</v>
      </c>
      <c r="GA78" s="54">
        <v>0</v>
      </c>
      <c r="GB78" s="54">
        <v>0</v>
      </c>
      <c r="GC78" s="65">
        <v>0</v>
      </c>
      <c r="GD78" s="65">
        <v>0</v>
      </c>
      <c r="GE78" s="65">
        <v>0</v>
      </c>
      <c r="GF78" s="65">
        <v>0</v>
      </c>
      <c r="GG78" s="65">
        <v>0</v>
      </c>
      <c r="GH78" s="65">
        <v>209143</v>
      </c>
      <c r="GI78" s="65">
        <v>64271</v>
      </c>
      <c r="GJ78" s="65">
        <v>47052</v>
      </c>
      <c r="GK78" s="65">
        <v>72363</v>
      </c>
      <c r="GL78" s="65">
        <v>0</v>
      </c>
      <c r="GM78" s="65">
        <v>392829</v>
      </c>
      <c r="GN78" s="65">
        <v>407446</v>
      </c>
      <c r="GO78" s="65">
        <v>122891</v>
      </c>
      <c r="GP78" s="65">
        <v>106063</v>
      </c>
      <c r="GQ78" s="65">
        <v>525998</v>
      </c>
      <c r="GR78" s="65">
        <v>103561</v>
      </c>
      <c r="GS78" s="65">
        <v>1265959</v>
      </c>
      <c r="GT78" s="65">
        <v>247939</v>
      </c>
      <c r="GU78" s="65">
        <v>52567</v>
      </c>
      <c r="GV78" s="65">
        <v>27330</v>
      </c>
      <c r="GW78" s="65">
        <v>206746</v>
      </c>
      <c r="GX78" s="65">
        <v>320541</v>
      </c>
      <c r="GY78" s="65">
        <v>855123</v>
      </c>
      <c r="GZ78" s="65">
        <v>293344</v>
      </c>
      <c r="HA78" s="65">
        <v>189055</v>
      </c>
      <c r="HB78" s="65">
        <v>79375</v>
      </c>
      <c r="HC78" s="65">
        <v>31377</v>
      </c>
      <c r="HD78" s="65">
        <v>103003</v>
      </c>
      <c r="HE78" s="65">
        <v>696154</v>
      </c>
      <c r="HF78" s="65">
        <v>0</v>
      </c>
      <c r="HG78" s="65">
        <v>0</v>
      </c>
      <c r="HH78" s="65">
        <v>0</v>
      </c>
      <c r="HI78" s="65">
        <v>0</v>
      </c>
      <c r="HJ78" s="65">
        <v>755373</v>
      </c>
      <c r="HK78" s="65">
        <v>755373</v>
      </c>
      <c r="HL78" s="65">
        <v>4000</v>
      </c>
      <c r="HM78" s="65">
        <v>47764</v>
      </c>
      <c r="HN78" s="65">
        <v>46761</v>
      </c>
      <c r="HO78" s="65">
        <v>104784</v>
      </c>
      <c r="HP78" s="65">
        <v>0</v>
      </c>
      <c r="HQ78" s="65">
        <v>203309</v>
      </c>
      <c r="HR78" s="65">
        <v>0</v>
      </c>
      <c r="HS78" s="65">
        <v>0</v>
      </c>
      <c r="HT78" s="65">
        <v>0</v>
      </c>
      <c r="HU78" s="65">
        <v>0</v>
      </c>
      <c r="HV78" s="65">
        <v>0</v>
      </c>
      <c r="HW78" s="65">
        <v>0</v>
      </c>
      <c r="HX78" s="65">
        <v>0</v>
      </c>
      <c r="HY78" s="65">
        <v>0</v>
      </c>
      <c r="HZ78" s="65">
        <v>0</v>
      </c>
      <c r="IA78" s="65">
        <v>0</v>
      </c>
      <c r="IB78" s="65">
        <v>60785</v>
      </c>
      <c r="IC78" s="65">
        <v>60785</v>
      </c>
      <c r="ID78" s="65">
        <v>0</v>
      </c>
      <c r="IE78" s="65">
        <v>0</v>
      </c>
      <c r="IF78" s="65">
        <v>0</v>
      </c>
      <c r="IG78" s="65">
        <v>0</v>
      </c>
      <c r="IH78" s="65">
        <v>0</v>
      </c>
      <c r="II78" s="65">
        <v>0</v>
      </c>
      <c r="IJ78" s="65">
        <v>0</v>
      </c>
      <c r="IK78" s="65">
        <v>0</v>
      </c>
      <c r="IL78" s="65">
        <v>960</v>
      </c>
      <c r="IM78" s="65">
        <v>0</v>
      </c>
      <c r="IN78" s="65">
        <v>211325</v>
      </c>
      <c r="IO78" s="65">
        <v>212285</v>
      </c>
      <c r="IP78" s="65">
        <v>130130</v>
      </c>
      <c r="IQ78" s="65">
        <v>480</v>
      </c>
      <c r="IR78" s="65">
        <v>960</v>
      </c>
      <c r="IS78" s="65">
        <v>3719</v>
      </c>
      <c r="IT78" s="65">
        <v>14788</v>
      </c>
      <c r="IU78" s="65">
        <v>150077</v>
      </c>
      <c r="IV78" s="65">
        <v>313819</v>
      </c>
      <c r="IW78" s="65">
        <v>44596</v>
      </c>
      <c r="IX78" s="65">
        <v>19805</v>
      </c>
      <c r="IY78" s="65">
        <v>90618</v>
      </c>
      <c r="IZ78" s="65">
        <v>858072</v>
      </c>
      <c r="JA78" s="65">
        <v>1326910</v>
      </c>
      <c r="JB78" s="65">
        <v>6480851</v>
      </c>
      <c r="JC78" s="65">
        <v>1883004</v>
      </c>
      <c r="JD78" s="65">
        <v>1750515</v>
      </c>
      <c r="JE78" s="65">
        <v>4995294</v>
      </c>
      <c r="JF78" s="65">
        <v>5563428</v>
      </c>
      <c r="JG78" s="65">
        <v>20673092</v>
      </c>
      <c r="JH78" s="65">
        <v>0</v>
      </c>
      <c r="JI78" s="54">
        <v>0</v>
      </c>
      <c r="JJ78" s="54">
        <v>0</v>
      </c>
      <c r="JK78" s="54">
        <v>0</v>
      </c>
      <c r="JL78" s="54">
        <v>0</v>
      </c>
      <c r="JM78" s="54">
        <v>0</v>
      </c>
      <c r="JN78" s="65">
        <v>6480851</v>
      </c>
      <c r="JO78" s="65">
        <v>1883004</v>
      </c>
      <c r="JP78" s="65">
        <v>1750515</v>
      </c>
      <c r="JQ78" s="65">
        <v>4995294</v>
      </c>
      <c r="JR78" s="65">
        <v>5563428</v>
      </c>
      <c r="JS78" s="65">
        <v>20673092</v>
      </c>
      <c r="JU78" s="5">
        <f t="shared" si="160"/>
        <v>1724936</v>
      </c>
      <c r="JV78" s="26">
        <f t="shared" si="161"/>
        <v>0</v>
      </c>
      <c r="JW78" s="5">
        <f t="shared" si="162"/>
        <v>10125436</v>
      </c>
      <c r="JX78" s="26">
        <f t="shared" si="163"/>
        <v>0</v>
      </c>
      <c r="JY78" s="5">
        <f t="shared" si="164"/>
        <v>610700</v>
      </c>
      <c r="JZ78" s="26">
        <f t="shared" si="165"/>
        <v>0</v>
      </c>
      <c r="KA78" s="5">
        <f t="shared" si="166"/>
        <v>3220632</v>
      </c>
      <c r="KB78" s="26">
        <f t="shared" si="167"/>
        <v>0</v>
      </c>
      <c r="KC78" s="5">
        <f t="shared" si="168"/>
        <v>0</v>
      </c>
      <c r="KD78" s="26">
        <f t="shared" si="169"/>
        <v>0</v>
      </c>
      <c r="KE78" s="5">
        <f t="shared" si="170"/>
        <v>0</v>
      </c>
      <c r="KF78" s="26">
        <f t="shared" si="171"/>
        <v>0</v>
      </c>
      <c r="KG78" s="5">
        <f t="shared" si="172"/>
        <v>0</v>
      </c>
      <c r="KH78" s="26">
        <f t="shared" si="173"/>
        <v>0</v>
      </c>
      <c r="KI78" s="5">
        <f t="shared" si="174"/>
        <v>0</v>
      </c>
      <c r="KJ78" s="26">
        <f t="shared" si="175"/>
        <v>0</v>
      </c>
      <c r="KK78" s="5">
        <f t="shared" si="176"/>
        <v>1063541</v>
      </c>
      <c r="KL78" s="26">
        <f t="shared" si="177"/>
        <v>0</v>
      </c>
      <c r="KM78" s="5">
        <f t="shared" si="178"/>
        <v>0</v>
      </c>
      <c r="KN78" s="26">
        <f t="shared" si="179"/>
        <v>0</v>
      </c>
      <c r="KO78" s="5">
        <f t="shared" si="180"/>
        <v>177531</v>
      </c>
      <c r="KP78" s="26">
        <f t="shared" si="181"/>
        <v>0</v>
      </c>
      <c r="KQ78" s="5">
        <f t="shared" si="182"/>
        <v>1496023</v>
      </c>
      <c r="KR78" s="26">
        <f t="shared" si="183"/>
        <v>0</v>
      </c>
      <c r="KS78" s="5">
        <f t="shared" si="184"/>
        <v>229998</v>
      </c>
      <c r="KT78" s="26">
        <f t="shared" si="185"/>
        <v>0</v>
      </c>
      <c r="KU78" s="5">
        <f t="shared" si="186"/>
        <v>0</v>
      </c>
      <c r="KV78" s="26">
        <f t="shared" si="187"/>
        <v>0</v>
      </c>
      <c r="KW78" s="5">
        <f t="shared" si="188"/>
        <v>836652</v>
      </c>
      <c r="KX78" s="26">
        <f t="shared" si="189"/>
        <v>0</v>
      </c>
      <c r="KY78" s="5">
        <f t="shared" si="190"/>
        <v>19485449</v>
      </c>
      <c r="KZ78" s="26">
        <f t="shared" si="191"/>
        <v>0</v>
      </c>
      <c r="LA78" s="5">
        <f t="shared" si="233"/>
        <v>6810978</v>
      </c>
      <c r="LB78" s="26">
        <f t="shared" si="234"/>
        <v>0</v>
      </c>
      <c r="LC78" s="5">
        <f t="shared" si="235"/>
        <v>905430</v>
      </c>
      <c r="LD78" s="26">
        <f t="shared" si="192"/>
        <v>0</v>
      </c>
      <c r="LE78" s="5">
        <f t="shared" si="193"/>
        <v>4625934</v>
      </c>
      <c r="LF78" s="26">
        <f t="shared" si="194"/>
        <v>0</v>
      </c>
      <c r="LG78" s="5">
        <f t="shared" si="195"/>
        <v>0</v>
      </c>
      <c r="LH78" s="26">
        <f t="shared" si="196"/>
        <v>0</v>
      </c>
      <c r="LI78" s="5">
        <f t="shared" si="197"/>
        <v>2411946</v>
      </c>
      <c r="LJ78" s="26">
        <f t="shared" si="198"/>
        <v>0</v>
      </c>
      <c r="LK78" s="5">
        <f t="shared" si="199"/>
        <v>0</v>
      </c>
      <c r="LL78" s="26">
        <f t="shared" si="200"/>
        <v>0</v>
      </c>
      <c r="LM78" s="5">
        <f t="shared" si="201"/>
        <v>0</v>
      </c>
      <c r="LN78" s="26">
        <f t="shared" si="202"/>
        <v>0</v>
      </c>
      <c r="LO78" s="5">
        <f t="shared" si="203"/>
        <v>392829</v>
      </c>
      <c r="LP78" s="26">
        <f t="shared" si="204"/>
        <v>0</v>
      </c>
      <c r="LQ78" s="5">
        <f t="shared" si="205"/>
        <v>1265959</v>
      </c>
      <c r="LR78" s="26">
        <f t="shared" si="206"/>
        <v>0</v>
      </c>
      <c r="LS78" s="5">
        <f t="shared" si="207"/>
        <v>855123</v>
      </c>
      <c r="LT78" s="26">
        <f t="shared" si="208"/>
        <v>0</v>
      </c>
      <c r="LU78" s="5">
        <f t="shared" si="209"/>
        <v>696154</v>
      </c>
      <c r="LV78" s="26">
        <f t="shared" si="210"/>
        <v>0</v>
      </c>
      <c r="LW78" s="5">
        <f t="shared" si="211"/>
        <v>755373</v>
      </c>
      <c r="LX78" s="26">
        <f t="shared" si="212"/>
        <v>0</v>
      </c>
      <c r="LY78" s="5">
        <f t="shared" si="213"/>
        <v>203309</v>
      </c>
      <c r="LZ78" s="26">
        <f t="shared" si="214"/>
        <v>0</v>
      </c>
      <c r="MA78" s="5">
        <f t="shared" si="215"/>
        <v>0</v>
      </c>
      <c r="MB78" s="26">
        <f t="shared" si="216"/>
        <v>0</v>
      </c>
      <c r="MC78" s="5">
        <f t="shared" si="217"/>
        <v>60785</v>
      </c>
      <c r="MD78" s="26">
        <f t="shared" si="218"/>
        <v>0</v>
      </c>
      <c r="ME78" s="5">
        <f t="shared" si="219"/>
        <v>0</v>
      </c>
      <c r="MF78" s="26">
        <f t="shared" si="220"/>
        <v>0</v>
      </c>
      <c r="MG78" s="5">
        <f t="shared" si="221"/>
        <v>212285</v>
      </c>
      <c r="MH78" s="26">
        <f t="shared" si="222"/>
        <v>0</v>
      </c>
      <c r="MI78" s="5">
        <f t="shared" si="223"/>
        <v>150077</v>
      </c>
      <c r="MJ78" s="26">
        <f t="shared" si="224"/>
        <v>0</v>
      </c>
      <c r="MK78" s="5">
        <f t="shared" si="225"/>
        <v>1326910</v>
      </c>
      <c r="ML78" s="26">
        <f t="shared" si="226"/>
        <v>0</v>
      </c>
      <c r="MM78" s="5">
        <f t="shared" si="227"/>
        <v>20673092</v>
      </c>
      <c r="MN78" s="26">
        <f t="shared" si="228"/>
        <v>0</v>
      </c>
      <c r="MO78" s="5">
        <f t="shared" si="229"/>
        <v>0</v>
      </c>
      <c r="MP78" s="26">
        <f t="shared" si="230"/>
        <v>0</v>
      </c>
      <c r="MQ78" s="5">
        <f t="shared" si="231"/>
        <v>20673092</v>
      </c>
      <c r="MR78" s="26">
        <f t="shared" si="232"/>
        <v>0</v>
      </c>
      <c r="MT78" s="5">
        <f t="shared" si="158"/>
        <v>0</v>
      </c>
      <c r="MV78" s="4">
        <f t="shared" si="159"/>
        <v>0</v>
      </c>
    </row>
    <row r="79" spans="1:371" x14ac:dyDescent="0.15">
      <c r="A79" s="157" t="s">
        <v>355</v>
      </c>
      <c r="B79" s="25" t="s">
        <v>461</v>
      </c>
      <c r="C79" s="109">
        <v>102368</v>
      </c>
      <c r="D79" s="105">
        <v>2011</v>
      </c>
      <c r="E79" s="106">
        <v>1</v>
      </c>
      <c r="F79" s="106">
        <v>11</v>
      </c>
      <c r="G79" s="107">
        <v>8616</v>
      </c>
      <c r="H79" s="107">
        <v>13631</v>
      </c>
      <c r="I79" s="108">
        <v>252136506</v>
      </c>
      <c r="J79" s="108"/>
      <c r="K79" s="108">
        <v>637273</v>
      </c>
      <c r="L79" s="108"/>
      <c r="M79" s="108">
        <v>8602700</v>
      </c>
      <c r="N79" s="108"/>
      <c r="O79" s="108">
        <v>8861244</v>
      </c>
      <c r="P79" s="108"/>
      <c r="Q79" s="108">
        <v>115985000</v>
      </c>
      <c r="R79" s="108"/>
      <c r="S79" s="112">
        <v>242862899</v>
      </c>
      <c r="T79" s="112"/>
      <c r="U79" s="112">
        <v>14096</v>
      </c>
      <c r="V79" s="112"/>
      <c r="W79" s="112">
        <v>19646</v>
      </c>
      <c r="X79" s="112"/>
      <c r="Y79" s="112">
        <v>20144</v>
      </c>
      <c r="Z79" s="112"/>
      <c r="AA79" s="112">
        <v>25986</v>
      </c>
      <c r="AB79" s="108"/>
      <c r="AC79" s="130">
        <v>8</v>
      </c>
      <c r="AD79" s="130">
        <v>10</v>
      </c>
      <c r="AE79" s="130">
        <v>1</v>
      </c>
      <c r="AF79" s="26">
        <v>2291680</v>
      </c>
      <c r="AG79" s="26">
        <v>2291680</v>
      </c>
      <c r="AH79" s="26">
        <v>142137</v>
      </c>
      <c r="AI79" s="26">
        <v>96326</v>
      </c>
      <c r="AJ79" s="26">
        <v>181609.59</v>
      </c>
      <c r="AK79" s="36">
        <v>4.9000000000000004</v>
      </c>
      <c r="AL79" s="26">
        <v>127126.71</v>
      </c>
      <c r="AM79" s="36">
        <v>7</v>
      </c>
      <c r="AN79" s="26">
        <v>74223.28</v>
      </c>
      <c r="AO79" s="36">
        <v>6.1</v>
      </c>
      <c r="AP79" s="26">
        <v>56595.25</v>
      </c>
      <c r="AQ79" s="36">
        <v>8</v>
      </c>
      <c r="AR79" s="26">
        <v>86004.32</v>
      </c>
      <c r="AS79" s="36">
        <v>16.899999999999999</v>
      </c>
      <c r="AT79" s="26">
        <v>66066.95</v>
      </c>
      <c r="AU79" s="36">
        <v>22</v>
      </c>
      <c r="AV79" s="26">
        <v>37084.620000000003</v>
      </c>
      <c r="AW79" s="36">
        <v>9.1</v>
      </c>
      <c r="AX79" s="26">
        <v>24105</v>
      </c>
      <c r="AY79" s="36">
        <v>14</v>
      </c>
      <c r="AZ79" s="54">
        <v>602540</v>
      </c>
      <c r="BA79" s="54">
        <v>43189</v>
      </c>
      <c r="BB79" s="54">
        <v>227</v>
      </c>
      <c r="BC79" s="54">
        <v>44042</v>
      </c>
      <c r="BD79" s="54">
        <v>0</v>
      </c>
      <c r="BE79" s="54">
        <v>689998</v>
      </c>
      <c r="BF79" s="54">
        <v>0</v>
      </c>
      <c r="BG79" s="54">
        <v>0</v>
      </c>
      <c r="BH79" s="54">
        <v>0</v>
      </c>
      <c r="BI79" s="54">
        <v>0</v>
      </c>
      <c r="BJ79" s="54">
        <v>852066</v>
      </c>
      <c r="BK79" s="54">
        <v>852066</v>
      </c>
      <c r="BL79" s="54">
        <v>2700000</v>
      </c>
      <c r="BM79" s="54">
        <v>153000</v>
      </c>
      <c r="BN79" s="54">
        <v>18000</v>
      </c>
      <c r="BO79" s="54">
        <v>0</v>
      </c>
      <c r="BP79" s="54">
        <v>0</v>
      </c>
      <c r="BQ79" s="54">
        <v>2871000</v>
      </c>
      <c r="BR79" s="54">
        <v>575937</v>
      </c>
      <c r="BS79" s="54">
        <v>58263</v>
      </c>
      <c r="BT79" s="54">
        <v>33027</v>
      </c>
      <c r="BU79" s="54">
        <v>227933</v>
      </c>
      <c r="BV79" s="54">
        <v>1255535</v>
      </c>
      <c r="BW79" s="54">
        <v>2150695</v>
      </c>
      <c r="BX79" s="54">
        <v>0</v>
      </c>
      <c r="BY79" s="54">
        <v>0</v>
      </c>
      <c r="BZ79" s="54">
        <v>0</v>
      </c>
      <c r="CA79" s="54">
        <v>0</v>
      </c>
      <c r="CB79" s="54">
        <v>0</v>
      </c>
      <c r="CC79" s="54">
        <v>0</v>
      </c>
      <c r="CD79" s="54">
        <v>0</v>
      </c>
      <c r="CE79" s="54">
        <v>0</v>
      </c>
      <c r="CF79" s="54">
        <v>0</v>
      </c>
      <c r="CG79" s="54">
        <v>0</v>
      </c>
      <c r="CH79" s="54">
        <v>0</v>
      </c>
      <c r="CI79" s="54">
        <v>0</v>
      </c>
      <c r="CJ79" s="54">
        <v>1472356</v>
      </c>
      <c r="CK79" s="54">
        <v>491286</v>
      </c>
      <c r="CL79" s="54">
        <v>525581</v>
      </c>
      <c r="CM79" s="54">
        <v>3514379</v>
      </c>
      <c r="CN79" s="54">
        <v>248708</v>
      </c>
      <c r="CO79" s="54">
        <v>6252310</v>
      </c>
      <c r="CP79" s="54">
        <v>0</v>
      </c>
      <c r="CQ79" s="54">
        <v>0</v>
      </c>
      <c r="CR79" s="54">
        <v>0</v>
      </c>
      <c r="CS79" s="54">
        <v>0</v>
      </c>
      <c r="CT79" s="54">
        <v>973256</v>
      </c>
      <c r="CU79" s="54">
        <v>973256</v>
      </c>
      <c r="CV79" s="54">
        <v>250000</v>
      </c>
      <c r="CW79" s="54">
        <v>0</v>
      </c>
      <c r="CX79" s="54">
        <v>0</v>
      </c>
      <c r="CY79" s="54">
        <v>0</v>
      </c>
      <c r="CZ79" s="54">
        <v>785043</v>
      </c>
      <c r="DA79" s="54">
        <v>1035043</v>
      </c>
      <c r="DB79" s="54">
        <v>0</v>
      </c>
      <c r="DC79" s="54">
        <v>0</v>
      </c>
      <c r="DD79" s="54">
        <v>0</v>
      </c>
      <c r="DE79" s="54">
        <v>0</v>
      </c>
      <c r="DF79" s="54">
        <v>0</v>
      </c>
      <c r="DG79" s="54">
        <v>0</v>
      </c>
      <c r="DH79" s="54">
        <v>4249</v>
      </c>
      <c r="DI79" s="54">
        <v>0</v>
      </c>
      <c r="DJ79" s="54">
        <v>0</v>
      </c>
      <c r="DK79" s="54">
        <v>0</v>
      </c>
      <c r="DL79" s="54">
        <v>58370</v>
      </c>
      <c r="DM79" s="54">
        <v>62619</v>
      </c>
      <c r="DN79" s="54">
        <v>0</v>
      </c>
      <c r="DO79" s="54">
        <v>0</v>
      </c>
      <c r="DP79" s="54">
        <v>0</v>
      </c>
      <c r="DQ79" s="54">
        <v>0</v>
      </c>
      <c r="DR79" s="54">
        <v>208179</v>
      </c>
      <c r="DS79" s="54">
        <v>208179</v>
      </c>
      <c r="DT79" s="54">
        <v>19094</v>
      </c>
      <c r="DU79" s="54">
        <v>23850</v>
      </c>
      <c r="DV79" s="54">
        <v>32140</v>
      </c>
      <c r="DW79" s="54">
        <v>76470</v>
      </c>
      <c r="DX79" s="54">
        <v>0</v>
      </c>
      <c r="DY79" s="54">
        <v>151554</v>
      </c>
      <c r="DZ79" s="54">
        <v>0</v>
      </c>
      <c r="EA79" s="54">
        <v>0</v>
      </c>
      <c r="EB79" s="54">
        <v>0</v>
      </c>
      <c r="EC79" s="54">
        <v>0</v>
      </c>
      <c r="ED79" s="54"/>
      <c r="EE79" s="54">
        <v>0</v>
      </c>
      <c r="EF79" s="54">
        <v>0</v>
      </c>
      <c r="EG79" s="54">
        <v>0</v>
      </c>
      <c r="EH79" s="54">
        <v>0</v>
      </c>
      <c r="EI79" s="54">
        <v>0</v>
      </c>
      <c r="EJ79" s="54">
        <v>0</v>
      </c>
      <c r="EK79" s="54">
        <v>0</v>
      </c>
      <c r="EL79" s="54">
        <v>5624176</v>
      </c>
      <c r="EM79" s="54">
        <v>769588</v>
      </c>
      <c r="EN79" s="54">
        <v>608975</v>
      </c>
      <c r="EO79" s="54">
        <v>3862824</v>
      </c>
      <c r="EP79" s="54">
        <v>4381157</v>
      </c>
      <c r="EQ79" s="54">
        <v>15246720</v>
      </c>
      <c r="ER79" s="54">
        <v>1472356</v>
      </c>
      <c r="ES79" s="54">
        <v>227338</v>
      </c>
      <c r="ET79" s="54">
        <v>280152</v>
      </c>
      <c r="EU79" s="54">
        <v>1888287</v>
      </c>
      <c r="EV79" s="54">
        <v>248708</v>
      </c>
      <c r="EW79" s="54">
        <v>4116841</v>
      </c>
      <c r="EX79" s="54">
        <v>200000</v>
      </c>
      <c r="EY79" s="54">
        <v>6000</v>
      </c>
      <c r="EZ79" s="54">
        <v>5500</v>
      </c>
      <c r="FA79" s="54">
        <v>22776</v>
      </c>
      <c r="FB79" s="54">
        <v>0</v>
      </c>
      <c r="FC79" s="54">
        <v>234276</v>
      </c>
      <c r="FD79" s="54">
        <v>1455479</v>
      </c>
      <c r="FE79" s="54">
        <v>454982</v>
      </c>
      <c r="FF79" s="54">
        <v>220359</v>
      </c>
      <c r="FG79" s="54">
        <v>1002772</v>
      </c>
      <c r="FH79" s="54">
        <v>0</v>
      </c>
      <c r="FI79" s="54">
        <v>3133592</v>
      </c>
      <c r="FJ79" s="54">
        <v>0</v>
      </c>
      <c r="FK79" s="54">
        <v>0</v>
      </c>
      <c r="FL79" s="54">
        <v>0</v>
      </c>
      <c r="FM79" s="54">
        <v>0</v>
      </c>
      <c r="FN79" s="54">
        <v>0</v>
      </c>
      <c r="FO79" s="54">
        <v>0</v>
      </c>
      <c r="FP79" s="54">
        <v>33576</v>
      </c>
      <c r="FQ79" s="54">
        <v>10155</v>
      </c>
      <c r="FR79" s="54">
        <v>10155</v>
      </c>
      <c r="FS79" s="54">
        <v>0</v>
      </c>
      <c r="FT79" s="54">
        <v>1417383</v>
      </c>
      <c r="FU79" s="54">
        <v>1471269</v>
      </c>
      <c r="FV79" s="54">
        <v>0</v>
      </c>
      <c r="FW79" s="54">
        <v>0</v>
      </c>
      <c r="FX79" s="54">
        <v>0</v>
      </c>
      <c r="FY79" s="54">
        <v>0</v>
      </c>
      <c r="FZ79" s="54">
        <v>0</v>
      </c>
      <c r="GA79" s="54">
        <v>0</v>
      </c>
      <c r="GB79" s="54">
        <v>0</v>
      </c>
      <c r="GC79" s="54">
        <v>0</v>
      </c>
      <c r="GD79" s="54">
        <v>0</v>
      </c>
      <c r="GE79" s="54">
        <v>0</v>
      </c>
      <c r="GF79" s="54">
        <v>0</v>
      </c>
      <c r="GG79" s="54">
        <v>0</v>
      </c>
      <c r="GH79" s="54">
        <v>87330</v>
      </c>
      <c r="GI79" s="54">
        <v>25978</v>
      </c>
      <c r="GJ79" s="54">
        <v>36107</v>
      </c>
      <c r="GK79" s="54">
        <v>89048</v>
      </c>
      <c r="GL79" s="54">
        <v>0</v>
      </c>
      <c r="GM79" s="54">
        <v>238463</v>
      </c>
      <c r="GN79" s="54">
        <v>510872</v>
      </c>
      <c r="GO79" s="54">
        <v>156486</v>
      </c>
      <c r="GP79" s="54">
        <v>89999</v>
      </c>
      <c r="GQ79" s="54">
        <v>557494</v>
      </c>
      <c r="GR79" s="54">
        <v>389155</v>
      </c>
      <c r="GS79" s="54">
        <v>1704006</v>
      </c>
      <c r="GT79" s="54">
        <v>201822</v>
      </c>
      <c r="GU79" s="54">
        <v>12135</v>
      </c>
      <c r="GV79" s="54">
        <v>51425</v>
      </c>
      <c r="GW79" s="54">
        <v>295261</v>
      </c>
      <c r="GX79" s="54">
        <v>46258</v>
      </c>
      <c r="GY79" s="54">
        <v>606901</v>
      </c>
      <c r="GZ79" s="54">
        <v>39695</v>
      </c>
      <c r="HA79" s="54">
        <v>0</v>
      </c>
      <c r="HB79" s="54">
        <v>0</v>
      </c>
      <c r="HC79" s="54">
        <v>0</v>
      </c>
      <c r="HD79" s="54">
        <v>280176</v>
      </c>
      <c r="HE79" s="54">
        <v>319871</v>
      </c>
      <c r="HF79" s="54">
        <v>0</v>
      </c>
      <c r="HG79" s="54">
        <v>0</v>
      </c>
      <c r="HH79" s="54">
        <v>0</v>
      </c>
      <c r="HI79" s="54">
        <v>0</v>
      </c>
      <c r="HJ79" s="54">
        <v>229555</v>
      </c>
      <c r="HK79" s="54">
        <v>229555</v>
      </c>
      <c r="HL79" s="54">
        <v>8716</v>
      </c>
      <c r="HM79" s="54">
        <v>23286</v>
      </c>
      <c r="HN79" s="54">
        <v>31729</v>
      </c>
      <c r="HO79" s="54">
        <v>78485</v>
      </c>
      <c r="HP79" s="54">
        <v>0</v>
      </c>
      <c r="HQ79" s="54">
        <v>142216</v>
      </c>
      <c r="HR79" s="54">
        <v>400000</v>
      </c>
      <c r="HS79" s="54">
        <v>0</v>
      </c>
      <c r="HT79" s="54">
        <v>0</v>
      </c>
      <c r="HU79" s="54">
        <v>779500</v>
      </c>
      <c r="HV79" s="54">
        <v>83771</v>
      </c>
      <c r="HW79" s="54">
        <v>1263271</v>
      </c>
      <c r="HX79" s="54">
        <v>0</v>
      </c>
      <c r="HY79" s="54">
        <v>0</v>
      </c>
      <c r="HZ79" s="54">
        <v>0</v>
      </c>
      <c r="IA79" s="54">
        <v>0</v>
      </c>
      <c r="IB79" s="54">
        <v>3865</v>
      </c>
      <c r="IC79" s="54">
        <v>3865</v>
      </c>
      <c r="ID79" s="54">
        <v>0</v>
      </c>
      <c r="IE79" s="54">
        <v>0</v>
      </c>
      <c r="IF79" s="54">
        <v>0</v>
      </c>
      <c r="IG79" s="54">
        <v>0</v>
      </c>
      <c r="IH79" s="54">
        <v>973256</v>
      </c>
      <c r="II79" s="54">
        <v>973256</v>
      </c>
      <c r="IJ79" s="54">
        <v>0</v>
      </c>
      <c r="IK79" s="54">
        <v>0</v>
      </c>
      <c r="IL79" s="54">
        <v>0</v>
      </c>
      <c r="IM79" s="54">
        <v>0</v>
      </c>
      <c r="IN79" s="54">
        <v>220474</v>
      </c>
      <c r="IO79" s="54">
        <v>220474</v>
      </c>
      <c r="IP79" s="54">
        <v>400</v>
      </c>
      <c r="IQ79" s="54">
        <v>350</v>
      </c>
      <c r="IR79" s="54">
        <v>0</v>
      </c>
      <c r="IS79" s="54">
        <v>1555</v>
      </c>
      <c r="IT79" s="54">
        <v>95570</v>
      </c>
      <c r="IU79" s="54">
        <v>97875</v>
      </c>
      <c r="IV79" s="54">
        <v>17658</v>
      </c>
      <c r="IW79" s="54">
        <v>5233</v>
      </c>
      <c r="IX79" s="54">
        <v>4448</v>
      </c>
      <c r="IY79" s="54">
        <v>58362</v>
      </c>
      <c r="IZ79" s="54">
        <v>405288</v>
      </c>
      <c r="JA79" s="54">
        <v>490989</v>
      </c>
      <c r="JB79" s="54">
        <v>4427904</v>
      </c>
      <c r="JC79" s="54">
        <v>921943</v>
      </c>
      <c r="JD79" s="54">
        <v>729874</v>
      </c>
      <c r="JE79" s="54">
        <v>4773540</v>
      </c>
      <c r="JF79" s="54">
        <v>4393459</v>
      </c>
      <c r="JG79" s="54">
        <v>15246720</v>
      </c>
      <c r="JH79" s="54">
        <v>0</v>
      </c>
      <c r="JI79" s="54">
        <v>0</v>
      </c>
      <c r="JJ79" s="54">
        <v>0</v>
      </c>
      <c r="JK79" s="54">
        <v>0</v>
      </c>
      <c r="JL79" s="54">
        <v>0</v>
      </c>
      <c r="JM79" s="54">
        <v>0</v>
      </c>
      <c r="JN79" s="54">
        <v>4427904</v>
      </c>
      <c r="JO79" s="54">
        <v>921943</v>
      </c>
      <c r="JP79" s="54">
        <v>729874</v>
      </c>
      <c r="JQ79" s="54">
        <v>4773540</v>
      </c>
      <c r="JR79" s="54">
        <v>4393459</v>
      </c>
      <c r="JS79" s="54">
        <v>15246720</v>
      </c>
      <c r="JU79" s="5">
        <f t="shared" si="160"/>
        <v>689998</v>
      </c>
      <c r="JV79" s="26">
        <f t="shared" si="161"/>
        <v>0</v>
      </c>
      <c r="JW79" s="5">
        <f t="shared" si="162"/>
        <v>852066</v>
      </c>
      <c r="JX79" s="26">
        <f t="shared" si="163"/>
        <v>0</v>
      </c>
      <c r="JY79" s="5">
        <f t="shared" si="164"/>
        <v>2871000</v>
      </c>
      <c r="JZ79" s="26">
        <f t="shared" si="165"/>
        <v>0</v>
      </c>
      <c r="KA79" s="5">
        <f t="shared" si="166"/>
        <v>2150695</v>
      </c>
      <c r="KB79" s="26">
        <f t="shared" si="167"/>
        <v>0</v>
      </c>
      <c r="KC79" s="5">
        <f t="shared" si="168"/>
        <v>0</v>
      </c>
      <c r="KD79" s="26">
        <f t="shared" si="169"/>
        <v>0</v>
      </c>
      <c r="KE79" s="5">
        <f t="shared" si="170"/>
        <v>0</v>
      </c>
      <c r="KF79" s="26">
        <f t="shared" si="171"/>
        <v>0</v>
      </c>
      <c r="KG79" s="5">
        <f t="shared" si="172"/>
        <v>6252310</v>
      </c>
      <c r="KH79" s="26">
        <f t="shared" si="173"/>
        <v>0</v>
      </c>
      <c r="KI79" s="5">
        <f t="shared" si="174"/>
        <v>973256</v>
      </c>
      <c r="KJ79" s="26">
        <f t="shared" si="175"/>
        <v>0</v>
      </c>
      <c r="KK79" s="5">
        <f t="shared" si="176"/>
        <v>1035043</v>
      </c>
      <c r="KL79" s="26">
        <f t="shared" si="177"/>
        <v>0</v>
      </c>
      <c r="KM79" s="5">
        <f t="shared" si="178"/>
        <v>0</v>
      </c>
      <c r="KN79" s="26">
        <f t="shared" si="179"/>
        <v>0</v>
      </c>
      <c r="KO79" s="5">
        <f t="shared" si="180"/>
        <v>62619</v>
      </c>
      <c r="KP79" s="26">
        <f t="shared" si="181"/>
        <v>0</v>
      </c>
      <c r="KQ79" s="5">
        <f t="shared" si="182"/>
        <v>208179</v>
      </c>
      <c r="KR79" s="26">
        <f t="shared" si="183"/>
        <v>0</v>
      </c>
      <c r="KS79" s="5">
        <f t="shared" si="184"/>
        <v>151554</v>
      </c>
      <c r="KT79" s="26">
        <f t="shared" si="185"/>
        <v>0</v>
      </c>
      <c r="KU79" s="5">
        <f t="shared" si="186"/>
        <v>0</v>
      </c>
      <c r="KV79" s="26">
        <f t="shared" si="187"/>
        <v>0</v>
      </c>
      <c r="KW79" s="5">
        <f t="shared" si="188"/>
        <v>0</v>
      </c>
      <c r="KX79" s="26">
        <f t="shared" si="189"/>
        <v>0</v>
      </c>
      <c r="KY79" s="5">
        <f t="shared" si="190"/>
        <v>15246720</v>
      </c>
      <c r="KZ79" s="26">
        <f t="shared" si="191"/>
        <v>0</v>
      </c>
      <c r="LA79" s="5">
        <f t="shared" si="233"/>
        <v>4116841</v>
      </c>
      <c r="LB79" s="26">
        <f t="shared" si="234"/>
        <v>0</v>
      </c>
      <c r="LC79" s="5">
        <f t="shared" si="235"/>
        <v>234276</v>
      </c>
      <c r="LD79" s="26">
        <f t="shared" si="192"/>
        <v>0</v>
      </c>
      <c r="LE79" s="5">
        <f t="shared" si="193"/>
        <v>3133592</v>
      </c>
      <c r="LF79" s="26">
        <f t="shared" si="194"/>
        <v>0</v>
      </c>
      <c r="LG79" s="5">
        <f t="shared" si="195"/>
        <v>0</v>
      </c>
      <c r="LH79" s="26">
        <f t="shared" si="196"/>
        <v>0</v>
      </c>
      <c r="LI79" s="5">
        <f t="shared" si="197"/>
        <v>1471269</v>
      </c>
      <c r="LJ79" s="26">
        <f t="shared" si="198"/>
        <v>0</v>
      </c>
      <c r="LK79" s="5">
        <f t="shared" si="199"/>
        <v>0</v>
      </c>
      <c r="LL79" s="26">
        <f t="shared" si="200"/>
        <v>0</v>
      </c>
      <c r="LM79" s="5">
        <f t="shared" si="201"/>
        <v>0</v>
      </c>
      <c r="LN79" s="26">
        <f t="shared" si="202"/>
        <v>0</v>
      </c>
      <c r="LO79" s="5">
        <f t="shared" si="203"/>
        <v>238463</v>
      </c>
      <c r="LP79" s="26">
        <f t="shared" si="204"/>
        <v>0</v>
      </c>
      <c r="LQ79" s="5">
        <f t="shared" si="205"/>
        <v>1704006</v>
      </c>
      <c r="LR79" s="26">
        <f t="shared" si="206"/>
        <v>0</v>
      </c>
      <c r="LS79" s="5">
        <f t="shared" si="207"/>
        <v>606901</v>
      </c>
      <c r="LT79" s="26">
        <f t="shared" si="208"/>
        <v>0</v>
      </c>
      <c r="LU79" s="5">
        <f t="shared" si="209"/>
        <v>319871</v>
      </c>
      <c r="LV79" s="26">
        <f t="shared" si="210"/>
        <v>0</v>
      </c>
      <c r="LW79" s="5">
        <f t="shared" si="211"/>
        <v>229555</v>
      </c>
      <c r="LX79" s="26">
        <f t="shared" si="212"/>
        <v>0</v>
      </c>
      <c r="LY79" s="5">
        <f t="shared" si="213"/>
        <v>142216</v>
      </c>
      <c r="LZ79" s="26">
        <f t="shared" si="214"/>
        <v>0</v>
      </c>
      <c r="MA79" s="5">
        <f t="shared" si="215"/>
        <v>1263271</v>
      </c>
      <c r="MB79" s="26">
        <f t="shared" si="216"/>
        <v>0</v>
      </c>
      <c r="MC79" s="5">
        <f t="shared" si="217"/>
        <v>3865</v>
      </c>
      <c r="MD79" s="26">
        <f t="shared" si="218"/>
        <v>0</v>
      </c>
      <c r="ME79" s="5">
        <f t="shared" si="219"/>
        <v>973256</v>
      </c>
      <c r="MF79" s="26">
        <f t="shared" si="220"/>
        <v>0</v>
      </c>
      <c r="MG79" s="5">
        <f t="shared" si="221"/>
        <v>220474</v>
      </c>
      <c r="MH79" s="26">
        <f t="shared" si="222"/>
        <v>0</v>
      </c>
      <c r="MI79" s="5">
        <f t="shared" si="223"/>
        <v>97875</v>
      </c>
      <c r="MJ79" s="26">
        <f t="shared" si="224"/>
        <v>0</v>
      </c>
      <c r="MK79" s="5">
        <f t="shared" si="225"/>
        <v>490989</v>
      </c>
      <c r="ML79" s="26">
        <f t="shared" si="226"/>
        <v>0</v>
      </c>
      <c r="MM79" s="5">
        <f t="shared" si="227"/>
        <v>15246720</v>
      </c>
      <c r="MN79" s="26">
        <f t="shared" si="228"/>
        <v>0</v>
      </c>
      <c r="MO79" s="5">
        <f t="shared" si="229"/>
        <v>0</v>
      </c>
      <c r="MP79" s="26">
        <f t="shared" si="230"/>
        <v>0</v>
      </c>
      <c r="MQ79" s="5">
        <f t="shared" si="231"/>
        <v>15246720</v>
      </c>
      <c r="MR79" s="26">
        <f t="shared" si="232"/>
        <v>0</v>
      </c>
      <c r="MT79" s="5">
        <f t="shared" si="158"/>
        <v>0</v>
      </c>
      <c r="MV79" s="4">
        <f t="shared" si="159"/>
        <v>0</v>
      </c>
    </row>
    <row r="80" spans="1:371" x14ac:dyDescent="0.15">
      <c r="A80" s="155" t="s">
        <v>356</v>
      </c>
      <c r="B80" s="25" t="s">
        <v>406</v>
      </c>
      <c r="C80" s="109">
        <v>110662</v>
      </c>
      <c r="D80" s="105">
        <v>2011</v>
      </c>
      <c r="E80" s="106">
        <v>1</v>
      </c>
      <c r="F80" s="106">
        <v>4</v>
      </c>
      <c r="G80" s="107">
        <v>11378</v>
      </c>
      <c r="H80" s="107">
        <v>14048</v>
      </c>
      <c r="I80" s="108">
        <v>4563334000</v>
      </c>
      <c r="J80" s="108"/>
      <c r="K80" s="108">
        <v>1001500</v>
      </c>
      <c r="L80" s="108"/>
      <c r="M80" s="108">
        <v>153093000</v>
      </c>
      <c r="N80" s="108"/>
      <c r="O80" s="108">
        <v>6521732</v>
      </c>
      <c r="P80" s="108"/>
      <c r="Q80" s="108">
        <v>857000000</v>
      </c>
      <c r="R80" s="108"/>
      <c r="S80" s="108">
        <v>2657033000</v>
      </c>
      <c r="T80" s="108"/>
      <c r="U80" s="108">
        <v>26302</v>
      </c>
      <c r="V80" s="108"/>
      <c r="W80" s="108">
        <v>49180</v>
      </c>
      <c r="X80" s="108"/>
      <c r="Y80" s="108">
        <v>30210</v>
      </c>
      <c r="Z80" s="108"/>
      <c r="AA80" s="108">
        <v>53088</v>
      </c>
      <c r="AB80" s="108"/>
      <c r="AC80" s="130">
        <v>11</v>
      </c>
      <c r="AD80" s="130">
        <v>13</v>
      </c>
      <c r="AE80" s="130">
        <v>0</v>
      </c>
      <c r="AF80" s="26">
        <v>5348022</v>
      </c>
      <c r="AG80" s="26">
        <v>5068629</v>
      </c>
      <c r="AH80" s="26">
        <v>665669</v>
      </c>
      <c r="AI80" s="26">
        <v>236502</v>
      </c>
      <c r="AJ80" s="26">
        <v>586703.89</v>
      </c>
      <c r="AK80" s="36">
        <v>9</v>
      </c>
      <c r="AL80" s="26">
        <v>586703.89</v>
      </c>
      <c r="AM80" s="36">
        <v>9</v>
      </c>
      <c r="AN80" s="26">
        <v>168444.36</v>
      </c>
      <c r="AO80" s="36">
        <v>11</v>
      </c>
      <c r="AP80" s="26">
        <v>168444.36</v>
      </c>
      <c r="AQ80" s="36">
        <v>11</v>
      </c>
      <c r="AR80" s="26">
        <v>174508.34</v>
      </c>
      <c r="AS80" s="36">
        <v>23.5</v>
      </c>
      <c r="AT80" s="26">
        <v>164037.84</v>
      </c>
      <c r="AU80" s="36">
        <v>25</v>
      </c>
      <c r="AV80" s="26">
        <v>63013.74</v>
      </c>
      <c r="AW80" s="36">
        <v>19.5</v>
      </c>
      <c r="AX80" s="26">
        <v>58512.76</v>
      </c>
      <c r="AY80" s="36">
        <v>21</v>
      </c>
      <c r="AZ80" s="54">
        <v>12294579</v>
      </c>
      <c r="BA80" s="54">
        <v>7322336</v>
      </c>
      <c r="BB80" s="54">
        <v>76335</v>
      </c>
      <c r="BC80" s="54">
        <v>355488</v>
      </c>
      <c r="BD80" s="54">
        <v>0</v>
      </c>
      <c r="BE80" s="54">
        <v>20048738</v>
      </c>
      <c r="BF80" s="54">
        <v>0</v>
      </c>
      <c r="BG80" s="54">
        <v>0</v>
      </c>
      <c r="BH80" s="54">
        <v>652699</v>
      </c>
      <c r="BI80" s="54">
        <v>1874740</v>
      </c>
      <c r="BJ80" s="54">
        <v>0</v>
      </c>
      <c r="BK80" s="54">
        <v>2527439</v>
      </c>
      <c r="BL80" s="54">
        <v>1535440</v>
      </c>
      <c r="BM80" s="54">
        <v>302132</v>
      </c>
      <c r="BN80" s="54">
        <v>0</v>
      </c>
      <c r="BO80" s="54">
        <v>19680</v>
      </c>
      <c r="BP80" s="54">
        <v>0</v>
      </c>
      <c r="BQ80" s="54">
        <v>1857252</v>
      </c>
      <c r="BR80" s="54">
        <v>163103</v>
      </c>
      <c r="BS80" s="54">
        <v>136039</v>
      </c>
      <c r="BT80" s="54">
        <v>68973</v>
      </c>
      <c r="BU80" s="54">
        <v>1264360</v>
      </c>
      <c r="BV80" s="54">
        <v>6175931</v>
      </c>
      <c r="BW80" s="54">
        <v>7808406</v>
      </c>
      <c r="BX80" s="54">
        <v>0</v>
      </c>
      <c r="BY80" s="54">
        <v>0</v>
      </c>
      <c r="BZ80" s="54">
        <v>0</v>
      </c>
      <c r="CA80" s="54">
        <v>0</v>
      </c>
      <c r="CB80" s="54">
        <v>0</v>
      </c>
      <c r="CC80" s="54">
        <v>0</v>
      </c>
      <c r="CD80" s="54">
        <v>0</v>
      </c>
      <c r="CE80" s="54">
        <v>0</v>
      </c>
      <c r="CF80" s="54">
        <v>0</v>
      </c>
      <c r="CG80" s="54">
        <v>0</v>
      </c>
      <c r="CH80" s="54">
        <v>0</v>
      </c>
      <c r="CI80" s="54">
        <v>0</v>
      </c>
      <c r="CJ80" s="54">
        <v>0</v>
      </c>
      <c r="CK80" s="54">
        <v>0</v>
      </c>
      <c r="CL80" s="54">
        <v>0</v>
      </c>
      <c r="CM80" s="54">
        <v>0</v>
      </c>
      <c r="CN80" s="54">
        <v>60000</v>
      </c>
      <c r="CO80" s="54">
        <v>60000</v>
      </c>
      <c r="CP80" s="54">
        <v>0</v>
      </c>
      <c r="CQ80" s="54">
        <v>0</v>
      </c>
      <c r="CR80" s="54">
        <v>0</v>
      </c>
      <c r="CS80" s="54">
        <v>0</v>
      </c>
      <c r="CT80" s="54">
        <v>0</v>
      </c>
      <c r="CU80" s="54">
        <v>0</v>
      </c>
      <c r="CV80" s="54">
        <v>2335174</v>
      </c>
      <c r="CW80" s="54">
        <v>2138535</v>
      </c>
      <c r="CX80" s="54">
        <v>100396</v>
      </c>
      <c r="CY80" s="54">
        <v>133340</v>
      </c>
      <c r="CZ80" s="54">
        <v>1697597</v>
      </c>
      <c r="DA80" s="54">
        <v>6405042</v>
      </c>
      <c r="DB80" s="54">
        <v>5317111</v>
      </c>
      <c r="DC80" s="54">
        <v>921417</v>
      </c>
      <c r="DD80" s="54">
        <v>0</v>
      </c>
      <c r="DE80" s="54">
        <v>0</v>
      </c>
      <c r="DF80" s="54">
        <v>2000</v>
      </c>
      <c r="DG80" s="54">
        <v>6240528</v>
      </c>
      <c r="DH80" s="54">
        <v>622184</v>
      </c>
      <c r="DI80" s="54">
        <v>101631</v>
      </c>
      <c r="DJ80" s="54">
        <v>0</v>
      </c>
      <c r="DK80" s="54">
        <v>0</v>
      </c>
      <c r="DL80" s="54">
        <v>52736</v>
      </c>
      <c r="DM80" s="54">
        <v>776551</v>
      </c>
      <c r="DN80" s="54">
        <v>0</v>
      </c>
      <c r="DO80" s="54">
        <v>0</v>
      </c>
      <c r="DP80" s="54">
        <v>0</v>
      </c>
      <c r="DQ80" s="54">
        <v>0</v>
      </c>
      <c r="DR80" s="54">
        <v>9095551</v>
      </c>
      <c r="DS80" s="54">
        <v>9095551</v>
      </c>
      <c r="DT80" s="54">
        <v>58146</v>
      </c>
      <c r="DU80" s="54">
        <v>456722</v>
      </c>
      <c r="DV80" s="62">
        <v>103352</v>
      </c>
      <c r="DW80" s="54">
        <v>1946292</v>
      </c>
      <c r="DX80" s="54">
        <v>47895</v>
      </c>
      <c r="DY80" s="54">
        <v>2612407</v>
      </c>
      <c r="DZ80" s="54">
        <v>652688</v>
      </c>
      <c r="EA80" s="54">
        <v>212518</v>
      </c>
      <c r="EB80" s="54">
        <v>85083</v>
      </c>
      <c r="EC80" s="54">
        <v>466651</v>
      </c>
      <c r="ED80" s="54">
        <v>42885</v>
      </c>
      <c r="EE80" s="54">
        <v>1459825</v>
      </c>
      <c r="EF80" s="54">
        <v>39486</v>
      </c>
      <c r="EG80" s="54">
        <v>30034</v>
      </c>
      <c r="EH80" s="54">
        <v>4815</v>
      </c>
      <c r="EI80" s="54">
        <v>140761</v>
      </c>
      <c r="EJ80" s="54">
        <v>6897058</v>
      </c>
      <c r="EK80" s="54">
        <v>7112154</v>
      </c>
      <c r="EL80" s="54">
        <v>23017911</v>
      </c>
      <c r="EM80" s="54">
        <v>11621364</v>
      </c>
      <c r="EN80" s="54">
        <v>1091653</v>
      </c>
      <c r="EO80" s="54">
        <v>6201312</v>
      </c>
      <c r="EP80" s="54">
        <v>24071653</v>
      </c>
      <c r="EQ80" s="54">
        <v>66003893</v>
      </c>
      <c r="ER80" s="54">
        <v>2890359</v>
      </c>
      <c r="ES80" s="54">
        <v>481903</v>
      </c>
      <c r="ET80" s="54">
        <v>524930</v>
      </c>
      <c r="EU80" s="54">
        <v>6519459</v>
      </c>
      <c r="EV80" s="54">
        <v>137432</v>
      </c>
      <c r="EW80" s="54">
        <v>10554083</v>
      </c>
      <c r="EX80" s="54">
        <v>3116254</v>
      </c>
      <c r="EY80" s="54">
        <v>945624</v>
      </c>
      <c r="EZ80" s="54">
        <v>19000</v>
      </c>
      <c r="FA80" s="54">
        <v>17000</v>
      </c>
      <c r="FB80" s="54">
        <v>0</v>
      </c>
      <c r="FC80" s="54">
        <v>4097878</v>
      </c>
      <c r="FD80" s="54">
        <v>4409917</v>
      </c>
      <c r="FE80" s="54">
        <v>2649914</v>
      </c>
      <c r="FF80" s="54">
        <v>657818</v>
      </c>
      <c r="FG80" s="54">
        <v>4745288</v>
      </c>
      <c r="FH80" s="54">
        <v>0</v>
      </c>
      <c r="FI80" s="54">
        <v>12462937</v>
      </c>
      <c r="FJ80" s="54">
        <v>0</v>
      </c>
      <c r="FK80" s="54">
        <v>0</v>
      </c>
      <c r="FL80" s="54">
        <v>0</v>
      </c>
      <c r="FM80" s="54">
        <v>0</v>
      </c>
      <c r="FN80" s="54">
        <v>0</v>
      </c>
      <c r="FO80" s="54">
        <v>0</v>
      </c>
      <c r="FP80" s="54">
        <v>405112</v>
      </c>
      <c r="FQ80" s="54">
        <v>322594</v>
      </c>
      <c r="FR80" s="54">
        <v>97716</v>
      </c>
      <c r="FS80" s="54">
        <v>157382</v>
      </c>
      <c r="FT80" s="54">
        <v>11254080</v>
      </c>
      <c r="FU80" s="54">
        <v>12236884</v>
      </c>
      <c r="FV80" s="54">
        <v>0</v>
      </c>
      <c r="FW80" s="54">
        <v>0</v>
      </c>
      <c r="FX80" s="54">
        <v>0</v>
      </c>
      <c r="FY80" s="54">
        <v>0</v>
      </c>
      <c r="FZ80" s="54">
        <v>0</v>
      </c>
      <c r="GA80" s="54">
        <v>0</v>
      </c>
      <c r="GB80" s="54">
        <v>0</v>
      </c>
      <c r="GC80" s="54">
        <v>0</v>
      </c>
      <c r="GD80" s="54">
        <v>0</v>
      </c>
      <c r="GE80" s="54">
        <v>0</v>
      </c>
      <c r="GF80" s="54">
        <v>0</v>
      </c>
      <c r="GG80" s="54">
        <v>0</v>
      </c>
      <c r="GH80" s="54">
        <v>412535</v>
      </c>
      <c r="GI80" s="54">
        <v>144549</v>
      </c>
      <c r="GJ80" s="54">
        <v>69905</v>
      </c>
      <c r="GK80" s="54">
        <v>275182</v>
      </c>
      <c r="GL80" s="54">
        <v>48562</v>
      </c>
      <c r="GM80" s="54">
        <v>950733</v>
      </c>
      <c r="GN80" s="54">
        <v>1445783</v>
      </c>
      <c r="GO80" s="54">
        <v>457426</v>
      </c>
      <c r="GP80" s="54">
        <v>311400</v>
      </c>
      <c r="GQ80" s="54">
        <v>2182160</v>
      </c>
      <c r="GR80" s="54">
        <v>0</v>
      </c>
      <c r="GS80" s="54">
        <v>4396769</v>
      </c>
      <c r="GT80" s="54">
        <v>594739</v>
      </c>
      <c r="GU80" s="54">
        <v>83994</v>
      </c>
      <c r="GV80" s="54">
        <v>65164</v>
      </c>
      <c r="GW80" s="54">
        <v>1077005</v>
      </c>
      <c r="GX80" s="54">
        <v>328277</v>
      </c>
      <c r="GY80" s="54">
        <v>2149179</v>
      </c>
      <c r="GZ80" s="54">
        <v>2334879</v>
      </c>
      <c r="HA80" s="54">
        <v>907961</v>
      </c>
      <c r="HB80" s="54">
        <v>240744</v>
      </c>
      <c r="HC80" s="54">
        <v>871292</v>
      </c>
      <c r="HD80" s="54">
        <v>0</v>
      </c>
      <c r="HE80" s="54">
        <v>4354876</v>
      </c>
      <c r="HF80" s="54">
        <v>166518</v>
      </c>
      <c r="HG80" s="54">
        <v>92011</v>
      </c>
      <c r="HH80" s="54">
        <v>0</v>
      </c>
      <c r="HI80" s="54">
        <v>0</v>
      </c>
      <c r="HJ80" s="54">
        <v>1441638</v>
      </c>
      <c r="HK80" s="54">
        <v>1700167</v>
      </c>
      <c r="HL80" s="54">
        <v>48063</v>
      </c>
      <c r="HM80" s="54">
        <v>409452</v>
      </c>
      <c r="HN80" s="54">
        <v>89889</v>
      </c>
      <c r="HO80" s="54">
        <v>1366223</v>
      </c>
      <c r="HP80" s="54">
        <v>38553</v>
      </c>
      <c r="HQ80" s="54">
        <v>1952180</v>
      </c>
      <c r="HR80" s="54">
        <v>1094783</v>
      </c>
      <c r="HS80" s="54">
        <v>100</v>
      </c>
      <c r="HT80" s="54">
        <v>100</v>
      </c>
      <c r="HU80" s="54">
        <v>102651</v>
      </c>
      <c r="HV80" s="54">
        <v>5123275</v>
      </c>
      <c r="HW80" s="54">
        <v>6320909</v>
      </c>
      <c r="HX80" s="54">
        <v>0</v>
      </c>
      <c r="HY80" s="54">
        <v>0</v>
      </c>
      <c r="HZ80" s="54">
        <v>0</v>
      </c>
      <c r="IA80" s="54">
        <v>0</v>
      </c>
      <c r="IB80" s="54">
        <v>0</v>
      </c>
      <c r="IC80" s="54">
        <v>0</v>
      </c>
      <c r="ID80" s="54">
        <v>0</v>
      </c>
      <c r="IE80" s="54">
        <v>0</v>
      </c>
      <c r="IF80" s="54">
        <v>0</v>
      </c>
      <c r="IG80" s="54">
        <v>0</v>
      </c>
      <c r="IH80" s="54">
        <v>0</v>
      </c>
      <c r="II80" s="54">
        <v>0</v>
      </c>
      <c r="IJ80" s="54">
        <v>0</v>
      </c>
      <c r="IK80" s="54">
        <v>0</v>
      </c>
      <c r="IL80" s="54">
        <v>0</v>
      </c>
      <c r="IM80" s="54">
        <v>0</v>
      </c>
      <c r="IN80" s="54">
        <v>387285</v>
      </c>
      <c r="IO80" s="54">
        <v>387285</v>
      </c>
      <c r="IP80" s="54">
        <v>20929</v>
      </c>
      <c r="IQ80" s="54">
        <v>11663</v>
      </c>
      <c r="IR80" s="54">
        <v>13394</v>
      </c>
      <c r="IS80" s="54">
        <v>29037</v>
      </c>
      <c r="IT80" s="54">
        <v>29107</v>
      </c>
      <c r="IU80" s="54">
        <v>104130</v>
      </c>
      <c r="IV80" s="54">
        <v>973787</v>
      </c>
      <c r="IW80" s="54">
        <v>195627</v>
      </c>
      <c r="IX80" s="54">
        <v>163978</v>
      </c>
      <c r="IY80" s="54">
        <v>1271454</v>
      </c>
      <c r="IZ80" s="54">
        <v>1731037</v>
      </c>
      <c r="JA80" s="54">
        <v>4335883</v>
      </c>
      <c r="JB80" s="54">
        <v>17913658</v>
      </c>
      <c r="JC80" s="54">
        <v>6702818</v>
      </c>
      <c r="JD80" s="54">
        <v>2254038</v>
      </c>
      <c r="JE80" s="54">
        <v>18614133</v>
      </c>
      <c r="JF80" s="54">
        <v>20519246</v>
      </c>
      <c r="JG80" s="54">
        <v>66003893</v>
      </c>
      <c r="JH80" s="54">
        <v>0</v>
      </c>
      <c r="JI80" s="54">
        <v>0</v>
      </c>
      <c r="JJ80" s="54">
        <v>0</v>
      </c>
      <c r="JK80" s="54">
        <v>0</v>
      </c>
      <c r="JL80" s="54">
        <v>0</v>
      </c>
      <c r="JM80" s="54">
        <v>0</v>
      </c>
      <c r="JN80" s="54">
        <v>17913658</v>
      </c>
      <c r="JO80" s="54">
        <v>6702818</v>
      </c>
      <c r="JP80" s="54">
        <v>2254038</v>
      </c>
      <c r="JQ80" s="54">
        <v>18614133</v>
      </c>
      <c r="JR80" s="54">
        <v>20519246</v>
      </c>
      <c r="JS80" s="54">
        <v>66003893</v>
      </c>
      <c r="JU80" s="5">
        <f t="shared" si="160"/>
        <v>20048738</v>
      </c>
      <c r="JV80" s="26">
        <f t="shared" si="161"/>
        <v>0</v>
      </c>
      <c r="JW80" s="5">
        <f t="shared" si="162"/>
        <v>2527439</v>
      </c>
      <c r="JX80" s="26">
        <f t="shared" si="163"/>
        <v>0</v>
      </c>
      <c r="JY80" s="5">
        <f t="shared" si="164"/>
        <v>1857252</v>
      </c>
      <c r="JZ80" s="26">
        <f t="shared" si="165"/>
        <v>0</v>
      </c>
      <c r="KA80" s="5">
        <f t="shared" si="166"/>
        <v>7808406</v>
      </c>
      <c r="KB80" s="26">
        <f t="shared" si="167"/>
        <v>0</v>
      </c>
      <c r="KC80" s="5">
        <f t="shared" si="168"/>
        <v>0</v>
      </c>
      <c r="KD80" s="26">
        <f t="shared" si="169"/>
        <v>0</v>
      </c>
      <c r="KE80" s="5">
        <f t="shared" si="170"/>
        <v>0</v>
      </c>
      <c r="KF80" s="26">
        <f t="shared" si="171"/>
        <v>0</v>
      </c>
      <c r="KG80" s="5">
        <f t="shared" si="172"/>
        <v>60000</v>
      </c>
      <c r="KH80" s="26">
        <f t="shared" si="173"/>
        <v>0</v>
      </c>
      <c r="KI80" s="5">
        <f t="shared" si="174"/>
        <v>0</v>
      </c>
      <c r="KJ80" s="26">
        <f t="shared" si="175"/>
        <v>0</v>
      </c>
      <c r="KK80" s="5">
        <f t="shared" si="176"/>
        <v>6405042</v>
      </c>
      <c r="KL80" s="26">
        <f t="shared" si="177"/>
        <v>0</v>
      </c>
      <c r="KM80" s="5">
        <f t="shared" si="178"/>
        <v>6240528</v>
      </c>
      <c r="KN80" s="26">
        <f t="shared" si="179"/>
        <v>0</v>
      </c>
      <c r="KO80" s="5">
        <f t="shared" si="180"/>
        <v>776551</v>
      </c>
      <c r="KP80" s="26">
        <f t="shared" si="181"/>
        <v>0</v>
      </c>
      <c r="KQ80" s="5">
        <f t="shared" si="182"/>
        <v>9095551</v>
      </c>
      <c r="KR80" s="26">
        <f t="shared" si="183"/>
        <v>0</v>
      </c>
      <c r="KS80" s="5">
        <f t="shared" si="184"/>
        <v>2612407</v>
      </c>
      <c r="KT80" s="26">
        <f t="shared" si="185"/>
        <v>0</v>
      </c>
      <c r="KU80" s="5">
        <f t="shared" si="186"/>
        <v>1459825</v>
      </c>
      <c r="KV80" s="26">
        <f t="shared" si="187"/>
        <v>0</v>
      </c>
      <c r="KW80" s="5">
        <f t="shared" si="188"/>
        <v>7112154</v>
      </c>
      <c r="KX80" s="26">
        <f t="shared" si="189"/>
        <v>0</v>
      </c>
      <c r="KY80" s="5">
        <f t="shared" si="190"/>
        <v>66003893</v>
      </c>
      <c r="KZ80" s="26">
        <f t="shared" si="191"/>
        <v>0</v>
      </c>
      <c r="LA80" s="5">
        <f t="shared" si="233"/>
        <v>10554083</v>
      </c>
      <c r="LB80" s="26">
        <f t="shared" si="234"/>
        <v>0</v>
      </c>
      <c r="LC80" s="5">
        <f t="shared" si="235"/>
        <v>4097878</v>
      </c>
      <c r="LD80" s="26">
        <f t="shared" si="192"/>
        <v>0</v>
      </c>
      <c r="LE80" s="5">
        <f t="shared" si="193"/>
        <v>12462937</v>
      </c>
      <c r="LF80" s="26">
        <f t="shared" si="194"/>
        <v>0</v>
      </c>
      <c r="LG80" s="5">
        <f t="shared" si="195"/>
        <v>0</v>
      </c>
      <c r="LH80" s="26">
        <f t="shared" si="196"/>
        <v>0</v>
      </c>
      <c r="LI80" s="5">
        <f t="shared" si="197"/>
        <v>12236884</v>
      </c>
      <c r="LJ80" s="26">
        <f t="shared" si="198"/>
        <v>0</v>
      </c>
      <c r="LK80" s="5">
        <f t="shared" si="199"/>
        <v>0</v>
      </c>
      <c r="LL80" s="26">
        <f t="shared" si="200"/>
        <v>0</v>
      </c>
      <c r="LM80" s="5">
        <f t="shared" si="201"/>
        <v>0</v>
      </c>
      <c r="LN80" s="26">
        <f t="shared" si="202"/>
        <v>0</v>
      </c>
      <c r="LO80" s="5">
        <f t="shared" si="203"/>
        <v>950733</v>
      </c>
      <c r="LP80" s="26">
        <f t="shared" si="204"/>
        <v>0</v>
      </c>
      <c r="LQ80" s="5">
        <f t="shared" si="205"/>
        <v>4396769</v>
      </c>
      <c r="LR80" s="26">
        <f t="shared" si="206"/>
        <v>0</v>
      </c>
      <c r="LS80" s="5">
        <f t="shared" si="207"/>
        <v>2149179</v>
      </c>
      <c r="LT80" s="26">
        <f t="shared" si="208"/>
        <v>0</v>
      </c>
      <c r="LU80" s="5">
        <f t="shared" si="209"/>
        <v>4354876</v>
      </c>
      <c r="LV80" s="26">
        <f t="shared" si="210"/>
        <v>0</v>
      </c>
      <c r="LW80" s="5">
        <f t="shared" si="211"/>
        <v>1700167</v>
      </c>
      <c r="LX80" s="26">
        <f t="shared" si="212"/>
        <v>0</v>
      </c>
      <c r="LY80" s="5">
        <f t="shared" si="213"/>
        <v>1952180</v>
      </c>
      <c r="LZ80" s="26">
        <f t="shared" si="214"/>
        <v>0</v>
      </c>
      <c r="MA80" s="5">
        <f t="shared" si="215"/>
        <v>6320909</v>
      </c>
      <c r="MB80" s="26">
        <f t="shared" si="216"/>
        <v>0</v>
      </c>
      <c r="MC80" s="5">
        <f t="shared" si="217"/>
        <v>0</v>
      </c>
      <c r="MD80" s="26">
        <f t="shared" si="218"/>
        <v>0</v>
      </c>
      <c r="ME80" s="5">
        <f t="shared" si="219"/>
        <v>0</v>
      </c>
      <c r="MF80" s="26">
        <f t="shared" si="220"/>
        <v>0</v>
      </c>
      <c r="MG80" s="5">
        <f t="shared" si="221"/>
        <v>387285</v>
      </c>
      <c r="MH80" s="26">
        <f t="shared" si="222"/>
        <v>0</v>
      </c>
      <c r="MI80" s="5">
        <f t="shared" si="223"/>
        <v>104130</v>
      </c>
      <c r="MJ80" s="26">
        <f t="shared" si="224"/>
        <v>0</v>
      </c>
      <c r="MK80" s="5">
        <f t="shared" si="225"/>
        <v>4335883</v>
      </c>
      <c r="ML80" s="26">
        <f t="shared" si="226"/>
        <v>0</v>
      </c>
      <c r="MM80" s="5">
        <f t="shared" si="227"/>
        <v>66003893</v>
      </c>
      <c r="MN80" s="26">
        <f t="shared" si="228"/>
        <v>0</v>
      </c>
      <c r="MO80" s="5">
        <f t="shared" si="229"/>
        <v>0</v>
      </c>
      <c r="MP80" s="26">
        <f t="shared" si="230"/>
        <v>0</v>
      </c>
      <c r="MQ80" s="5">
        <f t="shared" si="231"/>
        <v>66003893</v>
      </c>
      <c r="MR80" s="26">
        <f t="shared" si="232"/>
        <v>0</v>
      </c>
      <c r="MT80" s="5">
        <f t="shared" si="158"/>
        <v>0</v>
      </c>
      <c r="MV80" s="4">
        <f t="shared" si="159"/>
        <v>0</v>
      </c>
    </row>
    <row r="81" spans="1:368" x14ac:dyDescent="0.15">
      <c r="A81" s="155" t="s">
        <v>357</v>
      </c>
      <c r="B81" s="25" t="s">
        <v>407</v>
      </c>
      <c r="C81" s="109">
        <v>182281</v>
      </c>
      <c r="D81" s="105">
        <v>2011</v>
      </c>
      <c r="E81" s="106">
        <v>1</v>
      </c>
      <c r="F81" s="125">
        <v>10</v>
      </c>
      <c r="G81" s="107">
        <v>10139</v>
      </c>
      <c r="H81" s="126">
        <v>12399</v>
      </c>
      <c r="I81" s="127">
        <v>485314000</v>
      </c>
      <c r="J81" s="127"/>
      <c r="K81" s="127">
        <v>2404790</v>
      </c>
      <c r="L81" s="127"/>
      <c r="M81" s="127">
        <v>11912000</v>
      </c>
      <c r="N81" s="127"/>
      <c r="O81" s="127">
        <v>25732434</v>
      </c>
      <c r="P81" s="127"/>
      <c r="Q81" s="127">
        <v>229627000</v>
      </c>
      <c r="R81" s="108"/>
      <c r="S81" s="127">
        <v>344883000</v>
      </c>
      <c r="T81" s="127"/>
      <c r="U81" s="127">
        <v>17277</v>
      </c>
      <c r="V81" s="127"/>
      <c r="W81" s="127">
        <v>30872</v>
      </c>
      <c r="X81" s="127"/>
      <c r="Y81" s="127">
        <v>22110</v>
      </c>
      <c r="Z81" s="127"/>
      <c r="AA81" s="127">
        <v>35750</v>
      </c>
      <c r="AB81" s="127"/>
      <c r="AC81" s="138">
        <v>7</v>
      </c>
      <c r="AD81" s="138">
        <v>10</v>
      </c>
      <c r="AE81" s="138">
        <v>0</v>
      </c>
      <c r="AF81" s="49">
        <v>3755546</v>
      </c>
      <c r="AG81" s="49">
        <v>2987709</v>
      </c>
      <c r="AH81" s="49">
        <v>554462</v>
      </c>
      <c r="AI81" s="49">
        <v>217069</v>
      </c>
      <c r="AJ81" s="49">
        <v>291008</v>
      </c>
      <c r="AK81" s="50">
        <v>7</v>
      </c>
      <c r="AL81" s="49">
        <v>270221</v>
      </c>
      <c r="AM81" s="50">
        <v>7</v>
      </c>
      <c r="AN81" s="49">
        <v>90587</v>
      </c>
      <c r="AO81" s="50">
        <v>8</v>
      </c>
      <c r="AP81" s="49">
        <v>80521</v>
      </c>
      <c r="AQ81" s="50">
        <v>9</v>
      </c>
      <c r="AR81" s="49">
        <v>112275</v>
      </c>
      <c r="AS81" s="50">
        <v>20</v>
      </c>
      <c r="AT81" s="49">
        <v>98851</v>
      </c>
      <c r="AU81" s="50">
        <v>23</v>
      </c>
      <c r="AV81" s="49">
        <v>65381</v>
      </c>
      <c r="AW81" s="50">
        <v>12</v>
      </c>
      <c r="AX81" s="49">
        <v>52959</v>
      </c>
      <c r="AY81" s="50">
        <v>15</v>
      </c>
      <c r="AZ81" s="62">
        <v>2577155</v>
      </c>
      <c r="BA81" s="62">
        <v>3273764</v>
      </c>
      <c r="BB81" s="62">
        <v>22637</v>
      </c>
      <c r="BC81" s="62">
        <v>96863</v>
      </c>
      <c r="BD81" s="62">
        <v>509</v>
      </c>
      <c r="BE81" s="62">
        <v>5970928</v>
      </c>
      <c r="BF81" s="62">
        <v>0</v>
      </c>
      <c r="BG81" s="62">
        <v>0</v>
      </c>
      <c r="BH81" s="62">
        <v>0</v>
      </c>
      <c r="BI81" s="62">
        <v>0</v>
      </c>
      <c r="BJ81" s="62">
        <v>2730776</v>
      </c>
      <c r="BK81" s="62">
        <v>2730776</v>
      </c>
      <c r="BL81" s="62">
        <v>1065000</v>
      </c>
      <c r="BM81" s="62">
        <v>50000</v>
      </c>
      <c r="BN81" s="62">
        <v>5000</v>
      </c>
      <c r="BO81" s="62">
        <v>3500</v>
      </c>
      <c r="BP81" s="62">
        <v>0</v>
      </c>
      <c r="BQ81" s="62">
        <v>1123500</v>
      </c>
      <c r="BR81" s="62">
        <v>604742</v>
      </c>
      <c r="BS81" s="62">
        <v>1474847</v>
      </c>
      <c r="BT81" s="62">
        <v>0</v>
      </c>
      <c r="BU81" s="62">
        <v>323734</v>
      </c>
      <c r="BV81" s="62">
        <v>3323570</v>
      </c>
      <c r="BW81" s="62">
        <v>5726893</v>
      </c>
      <c r="BX81" s="62">
        <v>0</v>
      </c>
      <c r="BY81" s="62">
        <v>0</v>
      </c>
      <c r="BZ81" s="62">
        <v>0</v>
      </c>
      <c r="CA81" s="62">
        <v>0</v>
      </c>
      <c r="CB81" s="62">
        <v>0</v>
      </c>
      <c r="CC81" s="62">
        <v>0</v>
      </c>
      <c r="CD81" s="62">
        <v>0</v>
      </c>
      <c r="CE81" s="62">
        <v>0</v>
      </c>
      <c r="CF81" s="62">
        <v>0</v>
      </c>
      <c r="CG81" s="62">
        <v>0</v>
      </c>
      <c r="CH81" s="62">
        <v>7810186</v>
      </c>
      <c r="CI81" s="62">
        <v>7810186</v>
      </c>
      <c r="CJ81" s="62">
        <v>0</v>
      </c>
      <c r="CK81" s="62">
        <v>0</v>
      </c>
      <c r="CL81" s="62">
        <v>0</v>
      </c>
      <c r="CM81" s="62">
        <v>0</v>
      </c>
      <c r="CN81" s="62">
        <v>16150020</v>
      </c>
      <c r="CO81" s="62">
        <v>16150020</v>
      </c>
      <c r="CP81" s="62">
        <v>0</v>
      </c>
      <c r="CQ81" s="62">
        <v>0</v>
      </c>
      <c r="CR81" s="62">
        <v>0</v>
      </c>
      <c r="CS81" s="62">
        <v>0</v>
      </c>
      <c r="CT81" s="62">
        <v>5601454</v>
      </c>
      <c r="CU81" s="62">
        <v>5601454</v>
      </c>
      <c r="CV81" s="62">
        <v>1781261</v>
      </c>
      <c r="CW81" s="62">
        <v>1296573</v>
      </c>
      <c r="CX81" s="62">
        <v>1500</v>
      </c>
      <c r="CY81" s="62">
        <v>14460</v>
      </c>
      <c r="CZ81" s="62">
        <v>1062502</v>
      </c>
      <c r="DA81" s="62">
        <v>4156296</v>
      </c>
      <c r="DB81" s="62">
        <v>0</v>
      </c>
      <c r="DC81" s="62">
        <v>0</v>
      </c>
      <c r="DD81" s="62">
        <v>0</v>
      </c>
      <c r="DE81" s="62">
        <v>0</v>
      </c>
      <c r="DF81" s="62">
        <v>0</v>
      </c>
      <c r="DG81" s="62">
        <v>0</v>
      </c>
      <c r="DH81" s="62">
        <v>760889</v>
      </c>
      <c r="DI81" s="62">
        <v>908407</v>
      </c>
      <c r="DJ81" s="62">
        <v>16751</v>
      </c>
      <c r="DK81" s="62">
        <v>81579</v>
      </c>
      <c r="DL81" s="62">
        <v>32487</v>
      </c>
      <c r="DM81" s="62">
        <v>1800113</v>
      </c>
      <c r="DN81" s="62">
        <v>1166259</v>
      </c>
      <c r="DO81" s="62">
        <v>2618850</v>
      </c>
      <c r="DP81" s="62">
        <v>0</v>
      </c>
      <c r="DQ81" s="62">
        <v>0</v>
      </c>
      <c r="DR81" s="62">
        <v>2983729</v>
      </c>
      <c r="DS81" s="62">
        <v>6768838</v>
      </c>
      <c r="DT81" s="62">
        <v>0</v>
      </c>
      <c r="DU81" s="62">
        <v>0</v>
      </c>
      <c r="DV81" s="62">
        <v>0</v>
      </c>
      <c r="DW81" s="62">
        <v>0</v>
      </c>
      <c r="DX81" s="62">
        <v>0</v>
      </c>
      <c r="DY81" s="62">
        <v>0</v>
      </c>
      <c r="DZ81" s="62">
        <v>154866</v>
      </c>
      <c r="EA81" s="62">
        <v>44197</v>
      </c>
      <c r="EB81" s="62">
        <v>15575</v>
      </c>
      <c r="EC81" s="62">
        <v>231492</v>
      </c>
      <c r="ED81" s="62">
        <v>16006</v>
      </c>
      <c r="EE81" s="62">
        <v>462136</v>
      </c>
      <c r="EF81" s="62">
        <v>1540</v>
      </c>
      <c r="EG81" s="62">
        <v>506529</v>
      </c>
      <c r="EH81" s="62">
        <v>85</v>
      </c>
      <c r="EI81" s="62">
        <v>63538</v>
      </c>
      <c r="EJ81" s="62">
        <v>672037</v>
      </c>
      <c r="EK81" s="62">
        <v>1243729</v>
      </c>
      <c r="EL81" s="62">
        <v>8111712</v>
      </c>
      <c r="EM81" s="62">
        <v>10173167</v>
      </c>
      <c r="EN81" s="62">
        <v>61548</v>
      </c>
      <c r="EO81" s="62">
        <v>815166</v>
      </c>
      <c r="EP81" s="62">
        <v>40383276</v>
      </c>
      <c r="EQ81" s="62">
        <v>59544869</v>
      </c>
      <c r="ER81" s="62">
        <v>2128266</v>
      </c>
      <c r="ES81" s="62">
        <v>419506</v>
      </c>
      <c r="ET81" s="62">
        <v>464764</v>
      </c>
      <c r="EU81" s="62">
        <v>3730719</v>
      </c>
      <c r="EV81" s="62">
        <v>138071</v>
      </c>
      <c r="EW81" s="62">
        <v>6881326</v>
      </c>
      <c r="EX81" s="62">
        <v>300000</v>
      </c>
      <c r="EY81" s="62">
        <v>315000</v>
      </c>
      <c r="EZ81" s="62">
        <v>18964</v>
      </c>
      <c r="FA81" s="62">
        <v>81341</v>
      </c>
      <c r="FB81" s="62">
        <v>0</v>
      </c>
      <c r="FC81" s="62">
        <v>715305</v>
      </c>
      <c r="FD81" s="62">
        <v>1620733</v>
      </c>
      <c r="FE81" s="62">
        <v>1601614</v>
      </c>
      <c r="FF81" s="62">
        <v>432546</v>
      </c>
      <c r="FG81" s="62">
        <v>2029327</v>
      </c>
      <c r="FH81" s="62">
        <v>0</v>
      </c>
      <c r="FI81" s="62">
        <v>5684220</v>
      </c>
      <c r="FJ81" s="62">
        <v>0</v>
      </c>
      <c r="FK81" s="62">
        <v>0</v>
      </c>
      <c r="FL81" s="62">
        <v>0</v>
      </c>
      <c r="FM81" s="62">
        <v>0</v>
      </c>
      <c r="FN81" s="62">
        <v>0</v>
      </c>
      <c r="FO81" s="62">
        <v>0</v>
      </c>
      <c r="FP81" s="62">
        <v>138601</v>
      </c>
      <c r="FQ81" s="62">
        <v>146509</v>
      </c>
      <c r="FR81" s="62">
        <v>0</v>
      </c>
      <c r="FS81" s="62">
        <f>313108+6308-FP81-FQ81-FR81</f>
        <v>34306</v>
      </c>
      <c r="FT81" s="62">
        <v>15754746</v>
      </c>
      <c r="FU81" s="62">
        <v>16074162</v>
      </c>
      <c r="FV81" s="62">
        <v>0</v>
      </c>
      <c r="FW81" s="62">
        <v>0</v>
      </c>
      <c r="FX81" s="62">
        <v>0</v>
      </c>
      <c r="FY81" s="62">
        <v>0</v>
      </c>
      <c r="FZ81" s="62">
        <v>0</v>
      </c>
      <c r="GA81" s="62">
        <v>0</v>
      </c>
      <c r="GB81" s="62">
        <v>0</v>
      </c>
      <c r="GC81" s="62">
        <v>0</v>
      </c>
      <c r="GD81" s="62">
        <v>0</v>
      </c>
      <c r="GE81" s="62">
        <v>0</v>
      </c>
      <c r="GF81" s="62">
        <v>0</v>
      </c>
      <c r="GG81" s="62">
        <v>0</v>
      </c>
      <c r="GH81" s="62">
        <v>292618</v>
      </c>
      <c r="GI81" s="62">
        <v>159106</v>
      </c>
      <c r="GJ81" s="62">
        <v>88329</v>
      </c>
      <c r="GK81" s="62">
        <v>231478</v>
      </c>
      <c r="GL81" s="62">
        <v>0</v>
      </c>
      <c r="GM81" s="62">
        <v>771531</v>
      </c>
      <c r="GN81" s="62">
        <v>706111</v>
      </c>
      <c r="GO81" s="62">
        <v>208410</v>
      </c>
      <c r="GP81" s="62">
        <v>166010</v>
      </c>
      <c r="GQ81" s="62">
        <v>896736</v>
      </c>
      <c r="GR81" s="62">
        <v>0</v>
      </c>
      <c r="GS81" s="62">
        <v>1977267</v>
      </c>
      <c r="GT81" s="62">
        <v>333352</v>
      </c>
      <c r="GU81" s="62">
        <v>43202</v>
      </c>
      <c r="GV81" s="62">
        <v>45301</v>
      </c>
      <c r="GW81" s="62">
        <v>403233</v>
      </c>
      <c r="GX81" s="62">
        <v>245223</v>
      </c>
      <c r="GY81" s="62">
        <v>1070311</v>
      </c>
      <c r="GZ81" s="62">
        <v>339649</v>
      </c>
      <c r="HA81" s="54">
        <v>194109</v>
      </c>
      <c r="HB81" s="62">
        <v>126923</v>
      </c>
      <c r="HC81" s="62">
        <v>225870</v>
      </c>
      <c r="HD81" s="62">
        <v>158814</v>
      </c>
      <c r="HE81" s="62">
        <v>1045365</v>
      </c>
      <c r="HF81" s="62">
        <v>5142</v>
      </c>
      <c r="HG81" s="62">
        <v>0</v>
      </c>
      <c r="HH81" s="62">
        <v>997</v>
      </c>
      <c r="HI81" s="62">
        <v>8865</v>
      </c>
      <c r="HJ81" s="62">
        <v>1374917</v>
      </c>
      <c r="HK81" s="62">
        <v>1389921</v>
      </c>
      <c r="HL81" s="62">
        <v>0</v>
      </c>
      <c r="HM81" s="62">
        <v>0</v>
      </c>
      <c r="HN81" s="62">
        <v>0</v>
      </c>
      <c r="HO81" s="62">
        <v>0</v>
      </c>
      <c r="HP81" s="62">
        <v>0</v>
      </c>
      <c r="HQ81" s="62">
        <v>0</v>
      </c>
      <c r="HR81" s="62">
        <v>41420</v>
      </c>
      <c r="HS81" s="62">
        <v>39547</v>
      </c>
      <c r="HT81" s="62">
        <v>8574</v>
      </c>
      <c r="HU81" s="62">
        <v>105592</v>
      </c>
      <c r="HV81" s="62">
        <v>13498914</v>
      </c>
      <c r="HW81" s="62">
        <v>13694047</v>
      </c>
      <c r="HX81" s="62">
        <v>0</v>
      </c>
      <c r="HY81" s="62">
        <v>0</v>
      </c>
      <c r="HZ81" s="62">
        <v>0</v>
      </c>
      <c r="IA81" s="62">
        <v>0</v>
      </c>
      <c r="IB81" s="62">
        <v>105423</v>
      </c>
      <c r="IC81" s="62">
        <v>105423</v>
      </c>
      <c r="ID81" s="62">
        <v>0</v>
      </c>
      <c r="IE81" s="62">
        <v>0</v>
      </c>
      <c r="IF81" s="62">
        <v>0</v>
      </c>
      <c r="IG81" s="62">
        <v>0</v>
      </c>
      <c r="IH81" s="62">
        <v>5601454</v>
      </c>
      <c r="II81" s="62">
        <v>5601454</v>
      </c>
      <c r="IJ81" s="62">
        <v>32810</v>
      </c>
      <c r="IK81" s="62">
        <v>3517</v>
      </c>
      <c r="IL81" s="62">
        <v>0</v>
      </c>
      <c r="IM81" s="62">
        <v>126</v>
      </c>
      <c r="IN81" s="62">
        <v>409747</v>
      </c>
      <c r="IO81" s="62">
        <v>446200</v>
      </c>
      <c r="IP81" s="62">
        <v>60</v>
      </c>
      <c r="IQ81" s="62">
        <v>8165</v>
      </c>
      <c r="IR81" s="62">
        <v>1285</v>
      </c>
      <c r="IS81" s="62">
        <v>10388</v>
      </c>
      <c r="IT81" s="62">
        <v>392317</v>
      </c>
      <c r="IU81" s="62">
        <v>412215</v>
      </c>
      <c r="IV81" s="62">
        <v>806659</v>
      </c>
      <c r="IW81" s="62">
        <v>667824</v>
      </c>
      <c r="IX81" s="62">
        <v>41589</v>
      </c>
      <c r="IY81" s="62">
        <v>177131</v>
      </c>
      <c r="IZ81" s="62">
        <v>2993206</v>
      </c>
      <c r="JA81" s="62">
        <v>4686409</v>
      </c>
      <c r="JB81" s="62">
        <v>6745421</v>
      </c>
      <c r="JC81" s="62">
        <v>3806509</v>
      </c>
      <c r="JD81" s="62">
        <v>1395282</v>
      </c>
      <c r="JE81" s="62">
        <v>7935112</v>
      </c>
      <c r="JF81" s="62">
        <v>40672832</v>
      </c>
      <c r="JG81" s="62">
        <v>60555156</v>
      </c>
      <c r="JH81" s="62">
        <v>0</v>
      </c>
      <c r="JI81" s="62">
        <v>0</v>
      </c>
      <c r="JJ81" s="62">
        <v>0</v>
      </c>
      <c r="JK81" s="62">
        <v>0</v>
      </c>
      <c r="JL81" s="62">
        <v>0</v>
      </c>
      <c r="JM81" s="62">
        <v>0</v>
      </c>
      <c r="JN81" s="62">
        <v>6745421</v>
      </c>
      <c r="JO81" s="62">
        <v>3806509</v>
      </c>
      <c r="JP81" s="62">
        <v>1395282</v>
      </c>
      <c r="JQ81" s="62">
        <v>7935112</v>
      </c>
      <c r="JR81" s="62">
        <v>40672832</v>
      </c>
      <c r="JS81" s="62">
        <v>60555156</v>
      </c>
      <c r="JU81" s="5">
        <f t="shared" si="160"/>
        <v>5970928</v>
      </c>
      <c r="JV81" s="26">
        <f t="shared" si="161"/>
        <v>0</v>
      </c>
      <c r="JW81" s="5">
        <f t="shared" si="162"/>
        <v>2730776</v>
      </c>
      <c r="JX81" s="26">
        <f t="shared" si="163"/>
        <v>0</v>
      </c>
      <c r="JY81" s="5">
        <f t="shared" si="164"/>
        <v>1123500</v>
      </c>
      <c r="JZ81" s="26">
        <f t="shared" si="165"/>
        <v>0</v>
      </c>
      <c r="KA81" s="5">
        <f t="shared" si="166"/>
        <v>5726893</v>
      </c>
      <c r="KB81" s="26">
        <f t="shared" si="167"/>
        <v>0</v>
      </c>
      <c r="KC81" s="5">
        <f t="shared" si="168"/>
        <v>0</v>
      </c>
      <c r="KD81" s="26">
        <f t="shared" si="169"/>
        <v>0</v>
      </c>
      <c r="KE81" s="5">
        <f t="shared" si="170"/>
        <v>7810186</v>
      </c>
      <c r="KF81" s="26">
        <f t="shared" si="171"/>
        <v>0</v>
      </c>
      <c r="KG81" s="5">
        <f t="shared" si="172"/>
        <v>16150020</v>
      </c>
      <c r="KH81" s="26">
        <f t="shared" si="173"/>
        <v>0</v>
      </c>
      <c r="KI81" s="5">
        <f t="shared" si="174"/>
        <v>5601454</v>
      </c>
      <c r="KJ81" s="26">
        <f t="shared" si="175"/>
        <v>0</v>
      </c>
      <c r="KK81" s="5">
        <f t="shared" si="176"/>
        <v>4156296</v>
      </c>
      <c r="KL81" s="26">
        <f t="shared" si="177"/>
        <v>0</v>
      </c>
      <c r="KM81" s="5">
        <f t="shared" si="178"/>
        <v>0</v>
      </c>
      <c r="KN81" s="26">
        <f t="shared" si="179"/>
        <v>0</v>
      </c>
      <c r="KO81" s="5">
        <f t="shared" si="180"/>
        <v>1800113</v>
      </c>
      <c r="KP81" s="26">
        <f t="shared" si="181"/>
        <v>0</v>
      </c>
      <c r="KQ81" s="5">
        <f t="shared" si="182"/>
        <v>6768838</v>
      </c>
      <c r="KR81" s="26">
        <f t="shared" si="183"/>
        <v>0</v>
      </c>
      <c r="KS81" s="5">
        <f t="shared" si="184"/>
        <v>0</v>
      </c>
      <c r="KT81" s="26">
        <f t="shared" si="185"/>
        <v>0</v>
      </c>
      <c r="KU81" s="5">
        <f t="shared" si="186"/>
        <v>462136</v>
      </c>
      <c r="KV81" s="26">
        <f t="shared" si="187"/>
        <v>0</v>
      </c>
      <c r="KW81" s="5">
        <f t="shared" si="188"/>
        <v>1243729</v>
      </c>
      <c r="KX81" s="26">
        <f t="shared" si="189"/>
        <v>0</v>
      </c>
      <c r="KY81" s="5">
        <f t="shared" si="190"/>
        <v>59544869</v>
      </c>
      <c r="KZ81" s="26">
        <f t="shared" si="191"/>
        <v>0</v>
      </c>
      <c r="LA81" s="5">
        <f t="shared" si="233"/>
        <v>6881326</v>
      </c>
      <c r="LB81" s="26">
        <f t="shared" si="234"/>
        <v>0</v>
      </c>
      <c r="LC81" s="5">
        <f t="shared" si="235"/>
        <v>715305</v>
      </c>
      <c r="LD81" s="26">
        <f t="shared" si="192"/>
        <v>0</v>
      </c>
      <c r="LE81" s="5">
        <f>SUM(FD81:FH81)</f>
        <v>5684220</v>
      </c>
      <c r="LF81" s="26">
        <f t="shared" si="194"/>
        <v>0</v>
      </c>
      <c r="LG81" s="5">
        <f t="shared" si="195"/>
        <v>0</v>
      </c>
      <c r="LH81" s="26">
        <f t="shared" si="196"/>
        <v>0</v>
      </c>
      <c r="LI81" s="5">
        <f t="shared" si="197"/>
        <v>16074162</v>
      </c>
      <c r="LJ81" s="26">
        <f t="shared" si="198"/>
        <v>0</v>
      </c>
      <c r="LK81" s="5">
        <f t="shared" si="199"/>
        <v>0</v>
      </c>
      <c r="LL81" s="26">
        <f t="shared" si="200"/>
        <v>0</v>
      </c>
      <c r="LM81" s="5">
        <f t="shared" si="201"/>
        <v>0</v>
      </c>
      <c r="LN81" s="26">
        <f t="shared" si="202"/>
        <v>0</v>
      </c>
      <c r="LO81" s="5">
        <f t="shared" si="203"/>
        <v>771531</v>
      </c>
      <c r="LP81" s="26">
        <f t="shared" si="204"/>
        <v>0</v>
      </c>
      <c r="LQ81" s="5">
        <f t="shared" si="205"/>
        <v>1977267</v>
      </c>
      <c r="LR81" s="26">
        <f t="shared" si="206"/>
        <v>0</v>
      </c>
      <c r="LS81" s="5">
        <f t="shared" si="207"/>
        <v>1070311</v>
      </c>
      <c r="LT81" s="26">
        <f t="shared" si="208"/>
        <v>0</v>
      </c>
      <c r="LU81" s="5">
        <f t="shared" si="209"/>
        <v>1045365</v>
      </c>
      <c r="LV81" s="26">
        <f t="shared" si="210"/>
        <v>0</v>
      </c>
      <c r="LW81" s="5">
        <f t="shared" si="211"/>
        <v>1389921</v>
      </c>
      <c r="LX81" s="26">
        <f t="shared" si="212"/>
        <v>0</v>
      </c>
      <c r="LY81" s="5">
        <f t="shared" si="213"/>
        <v>0</v>
      </c>
      <c r="LZ81" s="26">
        <f t="shared" si="214"/>
        <v>0</v>
      </c>
      <c r="MA81" s="5">
        <f t="shared" si="215"/>
        <v>13694047</v>
      </c>
      <c r="MB81" s="26">
        <f t="shared" si="216"/>
        <v>0</v>
      </c>
      <c r="MC81" s="5">
        <f t="shared" si="217"/>
        <v>105423</v>
      </c>
      <c r="MD81" s="26">
        <f t="shared" si="218"/>
        <v>0</v>
      </c>
      <c r="ME81" s="5">
        <f t="shared" si="219"/>
        <v>5601454</v>
      </c>
      <c r="MF81" s="26">
        <f t="shared" si="220"/>
        <v>0</v>
      </c>
      <c r="MG81" s="5">
        <f t="shared" si="221"/>
        <v>446200</v>
      </c>
      <c r="MH81" s="26">
        <f t="shared" si="222"/>
        <v>0</v>
      </c>
      <c r="MI81" s="5">
        <f t="shared" si="223"/>
        <v>412215</v>
      </c>
      <c r="MJ81" s="26">
        <f t="shared" si="224"/>
        <v>0</v>
      </c>
      <c r="MK81" s="5">
        <f t="shared" si="225"/>
        <v>4686409</v>
      </c>
      <c r="ML81" s="26">
        <f t="shared" si="226"/>
        <v>0</v>
      </c>
      <c r="MM81" s="5">
        <f t="shared" si="227"/>
        <v>60555156</v>
      </c>
      <c r="MN81" s="26">
        <f t="shared" si="228"/>
        <v>0</v>
      </c>
      <c r="MO81" s="5">
        <f t="shared" si="229"/>
        <v>0</v>
      </c>
      <c r="MP81" s="26">
        <f t="shared" si="230"/>
        <v>0</v>
      </c>
      <c r="MQ81" s="5">
        <f t="shared" si="231"/>
        <v>60555156</v>
      </c>
      <c r="MR81" s="26">
        <f t="shared" si="232"/>
        <v>0</v>
      </c>
      <c r="MT81" s="5">
        <f t="shared" si="158"/>
        <v>0</v>
      </c>
      <c r="MV81" s="4">
        <f t="shared" si="159"/>
        <v>0</v>
      </c>
    </row>
    <row r="82" spans="1:368" x14ac:dyDescent="0.15">
      <c r="A82" s="157" t="s">
        <v>295</v>
      </c>
      <c r="B82" s="25" t="s">
        <v>464</v>
      </c>
      <c r="C82" s="105">
        <v>230728</v>
      </c>
      <c r="D82" s="105">
        <v>2011</v>
      </c>
      <c r="E82" s="106">
        <v>1</v>
      </c>
      <c r="F82" s="106">
        <v>4</v>
      </c>
      <c r="G82" s="107">
        <v>12944</v>
      </c>
      <c r="H82" s="107">
        <v>10427</v>
      </c>
      <c r="I82" s="108">
        <v>2746927000</v>
      </c>
      <c r="J82" s="108"/>
      <c r="K82" s="108">
        <v>3545000</v>
      </c>
      <c r="L82" s="108"/>
      <c r="M82" s="108">
        <v>56645759</v>
      </c>
      <c r="N82" s="108"/>
      <c r="O82" s="108">
        <v>400000</v>
      </c>
      <c r="P82" s="108"/>
      <c r="Q82" s="108">
        <v>592247284</v>
      </c>
      <c r="R82" s="108"/>
      <c r="S82" s="108">
        <v>1338785000</v>
      </c>
      <c r="T82" s="108"/>
      <c r="U82" s="108">
        <v>13886</v>
      </c>
      <c r="V82" s="108"/>
      <c r="W82" s="108">
        <v>26791</v>
      </c>
      <c r="X82" s="108"/>
      <c r="Y82" s="108">
        <v>21404</v>
      </c>
      <c r="Z82" s="108"/>
      <c r="AA82" s="108">
        <v>34310</v>
      </c>
      <c r="AB82" s="108"/>
      <c r="AC82" s="129">
        <v>3</v>
      </c>
      <c r="AD82" s="129">
        <v>2</v>
      </c>
      <c r="AE82" s="129">
        <v>0</v>
      </c>
      <c r="AF82" s="26">
        <v>3439985</v>
      </c>
      <c r="AG82" s="26">
        <v>2766129</v>
      </c>
      <c r="AH82" s="26">
        <v>498056</v>
      </c>
      <c r="AI82" s="26">
        <v>255562</v>
      </c>
      <c r="AJ82" s="26">
        <v>442401.17</v>
      </c>
      <c r="AK82" s="36">
        <v>6</v>
      </c>
      <c r="AL82" s="26">
        <v>379201</v>
      </c>
      <c r="AM82" s="36">
        <v>7</v>
      </c>
      <c r="AN82" s="26">
        <v>142702.75</v>
      </c>
      <c r="AO82" s="36">
        <v>8</v>
      </c>
      <c r="AP82" s="26">
        <v>126846.89</v>
      </c>
      <c r="AQ82" s="36">
        <v>9</v>
      </c>
      <c r="AR82" s="26">
        <v>153984.46</v>
      </c>
      <c r="AS82" s="36">
        <v>17.5</v>
      </c>
      <c r="AT82" s="26">
        <v>128320.38</v>
      </c>
      <c r="AU82" s="36">
        <v>21</v>
      </c>
      <c r="AV82" s="26">
        <v>69906.83</v>
      </c>
      <c r="AW82" s="36">
        <v>16.25</v>
      </c>
      <c r="AX82" s="26">
        <v>59788.74</v>
      </c>
      <c r="AY82" s="36">
        <v>19</v>
      </c>
      <c r="AZ82" s="54">
        <v>8241892</v>
      </c>
      <c r="BA82" s="54">
        <v>1744649</v>
      </c>
      <c r="BB82" s="54">
        <v>24924</v>
      </c>
      <c r="BC82" s="54">
        <v>382091</v>
      </c>
      <c r="BD82" s="54">
        <v>0</v>
      </c>
      <c r="BE82" s="54">
        <v>10393556</v>
      </c>
      <c r="BF82" s="54">
        <v>0</v>
      </c>
      <c r="BG82" s="54">
        <v>0</v>
      </c>
      <c r="BH82" s="54">
        <v>0</v>
      </c>
      <c r="BI82" s="54">
        <v>0</v>
      </c>
      <c r="BJ82" s="54">
        <v>5412597</v>
      </c>
      <c r="BK82" s="54">
        <v>5412597</v>
      </c>
      <c r="BL82" s="54">
        <v>1450000</v>
      </c>
      <c r="BM82" s="54">
        <v>35000</v>
      </c>
      <c r="BN82" s="54">
        <v>0</v>
      </c>
      <c r="BO82" s="54">
        <v>64029</v>
      </c>
      <c r="BP82" s="54">
        <v>0</v>
      </c>
      <c r="BQ82" s="54">
        <v>1549029</v>
      </c>
      <c r="BR82" s="54">
        <v>5143912</v>
      </c>
      <c r="BS82" s="54">
        <v>2302070</v>
      </c>
      <c r="BT82" s="54">
        <v>11755</v>
      </c>
      <c r="BU82" s="54">
        <v>129326</v>
      </c>
      <c r="BV82" s="54">
        <v>13553</v>
      </c>
      <c r="BW82" s="54">
        <v>7600616</v>
      </c>
      <c r="BX82" s="54">
        <v>0</v>
      </c>
      <c r="BY82" s="54">
        <v>0</v>
      </c>
      <c r="BZ82" s="54">
        <v>0</v>
      </c>
      <c r="CA82" s="54">
        <v>0</v>
      </c>
      <c r="CB82" s="54">
        <v>0</v>
      </c>
      <c r="CC82" s="54">
        <v>0</v>
      </c>
      <c r="CD82" s="54">
        <v>0</v>
      </c>
      <c r="CE82" s="54">
        <v>0</v>
      </c>
      <c r="CF82" s="54">
        <v>0</v>
      </c>
      <c r="CG82" s="54">
        <v>0</v>
      </c>
      <c r="CH82" s="54">
        <v>0</v>
      </c>
      <c r="CI82" s="54">
        <v>0</v>
      </c>
      <c r="CJ82" s="54">
        <v>801520</v>
      </c>
      <c r="CK82" s="54">
        <v>122681</v>
      </c>
      <c r="CL82" s="54">
        <v>166411</v>
      </c>
      <c r="CM82" s="54">
        <v>680305</v>
      </c>
      <c r="CN82" s="54">
        <v>2198053</v>
      </c>
      <c r="CO82" s="54">
        <v>3968970</v>
      </c>
      <c r="CP82" s="54">
        <v>0</v>
      </c>
      <c r="CQ82" s="54">
        <v>0</v>
      </c>
      <c r="CR82" s="54">
        <v>0</v>
      </c>
      <c r="CS82" s="54">
        <v>0</v>
      </c>
      <c r="CT82" s="54">
        <v>0</v>
      </c>
      <c r="CU82" s="54">
        <v>0</v>
      </c>
      <c r="CV82" s="54">
        <v>1816005</v>
      </c>
      <c r="CW82" s="54">
        <v>974212</v>
      </c>
      <c r="CX82" s="64">
        <v>96702</v>
      </c>
      <c r="CY82" s="54">
        <v>0</v>
      </c>
      <c r="CZ82" s="54">
        <v>1227221</v>
      </c>
      <c r="DA82" s="54">
        <v>4114140</v>
      </c>
      <c r="DB82" s="54">
        <v>0</v>
      </c>
      <c r="DC82" s="54">
        <v>0</v>
      </c>
      <c r="DD82" s="54">
        <v>0</v>
      </c>
      <c r="DE82" s="54">
        <v>0</v>
      </c>
      <c r="DF82" s="54">
        <v>40414</v>
      </c>
      <c r="DG82" s="54">
        <v>40414</v>
      </c>
      <c r="DH82" s="54">
        <v>942130</v>
      </c>
      <c r="DI82" s="54">
        <v>179282</v>
      </c>
      <c r="DJ82" s="54">
        <v>16387</v>
      </c>
      <c r="DK82" s="54">
        <v>91023</v>
      </c>
      <c r="DL82" s="54">
        <v>139448</v>
      </c>
      <c r="DM82" s="54">
        <v>1368270</v>
      </c>
      <c r="DN82" s="54">
        <v>1878940</v>
      </c>
      <c r="DO82" s="54">
        <v>805260</v>
      </c>
      <c r="DP82" s="54">
        <v>0</v>
      </c>
      <c r="DQ82" s="54">
        <v>0</v>
      </c>
      <c r="DR82" s="54">
        <v>32678</v>
      </c>
      <c r="DS82" s="54">
        <v>2716878</v>
      </c>
      <c r="DT82" s="54">
        <v>0</v>
      </c>
      <c r="DU82" s="54">
        <v>0</v>
      </c>
      <c r="DV82" s="54">
        <v>0</v>
      </c>
      <c r="DW82" s="54">
        <v>0</v>
      </c>
      <c r="DX82" s="54">
        <v>0</v>
      </c>
      <c r="DY82" s="54">
        <v>0</v>
      </c>
      <c r="DZ82" s="54">
        <v>0</v>
      </c>
      <c r="EA82" s="54">
        <v>0</v>
      </c>
      <c r="EB82" s="54">
        <v>0</v>
      </c>
      <c r="EC82" s="54">
        <v>0</v>
      </c>
      <c r="ED82" s="54">
        <v>210520</v>
      </c>
      <c r="EE82" s="54">
        <v>210520</v>
      </c>
      <c r="EF82" s="54">
        <v>33410</v>
      </c>
      <c r="EG82" s="54">
        <v>280</v>
      </c>
      <c r="EH82" s="54">
        <v>730</v>
      </c>
      <c r="EI82" s="54">
        <v>23577</v>
      </c>
      <c r="EJ82" s="54">
        <v>658551</v>
      </c>
      <c r="EK82" s="54">
        <v>716548</v>
      </c>
      <c r="EL82" s="54">
        <v>20307809</v>
      </c>
      <c r="EM82" s="54">
        <v>6163434</v>
      </c>
      <c r="EN82" s="54">
        <v>316909</v>
      </c>
      <c r="EO82" s="54">
        <v>1370351</v>
      </c>
      <c r="EP82" s="54">
        <v>9933035</v>
      </c>
      <c r="EQ82" s="54">
        <v>38091538</v>
      </c>
      <c r="ER82" s="54">
        <v>2092922</v>
      </c>
      <c r="ES82" s="54">
        <v>379628</v>
      </c>
      <c r="ET82" s="54">
        <v>404284</v>
      </c>
      <c r="EU82" s="54">
        <v>3329280</v>
      </c>
      <c r="EV82" s="54">
        <v>353363</v>
      </c>
      <c r="EW82" s="54">
        <v>6559477</v>
      </c>
      <c r="EX82" s="54">
        <v>475720</v>
      </c>
      <c r="EY82" s="54">
        <v>250000</v>
      </c>
      <c r="EZ82" s="54">
        <v>51509</v>
      </c>
      <c r="FA82" s="54">
        <v>2720</v>
      </c>
      <c r="FB82" s="54">
        <v>0</v>
      </c>
      <c r="FC82" s="54">
        <v>779949</v>
      </c>
      <c r="FD82" s="54">
        <v>3379792</v>
      </c>
      <c r="FE82" s="54">
        <v>1228421</v>
      </c>
      <c r="FF82" s="54">
        <v>577242</v>
      </c>
      <c r="FG82" s="54">
        <v>2308634</v>
      </c>
      <c r="FH82" s="54">
        <v>132654</v>
      </c>
      <c r="FI82" s="54">
        <v>7626743</v>
      </c>
      <c r="FJ82" s="54">
        <v>0</v>
      </c>
      <c r="FK82" s="54">
        <v>0</v>
      </c>
      <c r="FL82" s="54">
        <v>0</v>
      </c>
      <c r="FM82" s="54">
        <v>0</v>
      </c>
      <c r="FN82" s="54">
        <v>0</v>
      </c>
      <c r="FO82" s="54">
        <v>0</v>
      </c>
      <c r="FP82" s="54">
        <v>272870</v>
      </c>
      <c r="FQ82" s="54">
        <v>202026</v>
      </c>
      <c r="FR82" s="54">
        <v>55699</v>
      </c>
      <c r="FS82" s="54">
        <v>58018</v>
      </c>
      <c r="FT82" s="54">
        <v>5175119</v>
      </c>
      <c r="FU82" s="54">
        <v>5763732</v>
      </c>
      <c r="FV82" s="54">
        <v>0</v>
      </c>
      <c r="FW82" s="54">
        <v>0</v>
      </c>
      <c r="FX82" s="54">
        <v>0</v>
      </c>
      <c r="FY82" s="54">
        <v>0</v>
      </c>
      <c r="FZ82" s="54">
        <v>0</v>
      </c>
      <c r="GA82" s="54">
        <v>0</v>
      </c>
      <c r="GB82" s="54">
        <v>0</v>
      </c>
      <c r="GC82" s="54">
        <v>341757</v>
      </c>
      <c r="GD82" s="54">
        <v>0</v>
      </c>
      <c r="GE82" s="54">
        <v>0</v>
      </c>
      <c r="GF82" s="54">
        <v>0</v>
      </c>
      <c r="GG82" s="54">
        <v>341757</v>
      </c>
      <c r="GH82" s="54">
        <v>289353</v>
      </c>
      <c r="GI82" s="54">
        <v>146826</v>
      </c>
      <c r="GJ82" s="54">
        <v>70031</v>
      </c>
      <c r="GK82" s="54">
        <v>247398</v>
      </c>
      <c r="GL82" s="54">
        <v>0</v>
      </c>
      <c r="GM82" s="54">
        <v>753608</v>
      </c>
      <c r="GN82" s="54">
        <v>1337440</v>
      </c>
      <c r="GO82" s="54">
        <v>334114</v>
      </c>
      <c r="GP82" s="54">
        <v>222093</v>
      </c>
      <c r="GQ82" s="54">
        <v>1446824</v>
      </c>
      <c r="GR82" s="54">
        <v>0</v>
      </c>
      <c r="GS82" s="54">
        <v>3340471</v>
      </c>
      <c r="GT82" s="54">
        <v>710832</v>
      </c>
      <c r="GU82" s="54">
        <v>51610</v>
      </c>
      <c r="GV82" s="54">
        <v>20913</v>
      </c>
      <c r="GW82" s="54">
        <v>437163</v>
      </c>
      <c r="GX82" s="54">
        <v>596496</v>
      </c>
      <c r="GY82" s="54">
        <v>1817014</v>
      </c>
      <c r="GZ82" s="54">
        <v>619488</v>
      </c>
      <c r="HA82" s="54">
        <v>327984</v>
      </c>
      <c r="HB82" s="54">
        <v>103516</v>
      </c>
      <c r="HC82" s="54">
        <v>208973</v>
      </c>
      <c r="HD82" s="54">
        <v>112095</v>
      </c>
      <c r="HE82" s="54">
        <v>1372056</v>
      </c>
      <c r="HF82" s="54">
        <v>411194</v>
      </c>
      <c r="HG82" s="54">
        <v>166799</v>
      </c>
      <c r="HH82" s="54">
        <v>15192</v>
      </c>
      <c r="HI82" s="54">
        <v>92097</v>
      </c>
      <c r="HJ82" s="54">
        <v>532077</v>
      </c>
      <c r="HK82" s="54">
        <v>1217359</v>
      </c>
      <c r="HL82" s="54">
        <v>0</v>
      </c>
      <c r="HM82" s="54">
        <v>0</v>
      </c>
      <c r="HN82" s="54">
        <v>0</v>
      </c>
      <c r="HO82" s="54">
        <v>0</v>
      </c>
      <c r="HP82" s="54">
        <v>0</v>
      </c>
      <c r="HQ82" s="54">
        <v>0</v>
      </c>
      <c r="HR82" s="54">
        <v>1144103</v>
      </c>
      <c r="HS82" s="54">
        <v>42560</v>
      </c>
      <c r="HT82" s="54">
        <v>43657</v>
      </c>
      <c r="HU82" s="54">
        <v>69882</v>
      </c>
      <c r="HV82" s="54">
        <v>347949</v>
      </c>
      <c r="HW82" s="54">
        <v>1648151</v>
      </c>
      <c r="HX82" s="54">
        <v>0</v>
      </c>
      <c r="HY82" s="54">
        <v>0</v>
      </c>
      <c r="HZ82" s="54">
        <v>0</v>
      </c>
      <c r="IA82" s="54">
        <v>0</v>
      </c>
      <c r="IB82" s="54">
        <v>147698</v>
      </c>
      <c r="IC82" s="54">
        <v>147698</v>
      </c>
      <c r="ID82" s="54">
        <v>0</v>
      </c>
      <c r="IE82" s="54">
        <v>0</v>
      </c>
      <c r="IF82" s="54">
        <v>0</v>
      </c>
      <c r="IG82" s="54">
        <v>0</v>
      </c>
      <c r="IH82" s="54">
        <v>0</v>
      </c>
      <c r="II82" s="54">
        <v>0</v>
      </c>
      <c r="IJ82" s="54">
        <v>241677</v>
      </c>
      <c r="IK82" s="54">
        <v>27150</v>
      </c>
      <c r="IL82" s="54">
        <v>31982</v>
      </c>
      <c r="IM82" s="54">
        <v>202959</v>
      </c>
      <c r="IN82" s="54">
        <v>63458</v>
      </c>
      <c r="IO82" s="54">
        <v>567226</v>
      </c>
      <c r="IP82" s="54">
        <v>1560</v>
      </c>
      <c r="IQ82" s="54">
        <v>1923</v>
      </c>
      <c r="IR82" s="54">
        <v>2328</v>
      </c>
      <c r="IS82" s="54">
        <v>20965</v>
      </c>
      <c r="IT82" s="54">
        <v>428364</v>
      </c>
      <c r="IU82" s="54">
        <v>455140</v>
      </c>
      <c r="IV82" s="54">
        <v>804152</v>
      </c>
      <c r="IW82" s="54">
        <v>414428</v>
      </c>
      <c r="IX82" s="54">
        <v>120404</v>
      </c>
      <c r="IY82" s="54">
        <v>300947</v>
      </c>
      <c r="IZ82" s="54">
        <v>2816166</v>
      </c>
      <c r="JA82" s="54">
        <v>4456097</v>
      </c>
      <c r="JB82" s="54">
        <v>11781103</v>
      </c>
      <c r="JC82" s="54">
        <v>3915226</v>
      </c>
      <c r="JD82" s="54">
        <v>1718850</v>
      </c>
      <c r="JE82" s="54">
        <v>8725860</v>
      </c>
      <c r="JF82" s="54">
        <v>10705439</v>
      </c>
      <c r="JG82" s="54">
        <v>36846478</v>
      </c>
      <c r="JH82" s="54">
        <v>0</v>
      </c>
      <c r="JI82" s="54">
        <v>0</v>
      </c>
      <c r="JJ82" s="54">
        <v>0</v>
      </c>
      <c r="JK82" s="54">
        <v>0</v>
      </c>
      <c r="JL82" s="54">
        <v>0</v>
      </c>
      <c r="JM82" s="54">
        <v>0</v>
      </c>
      <c r="JN82" s="54">
        <v>11781103</v>
      </c>
      <c r="JO82" s="54">
        <v>3915226</v>
      </c>
      <c r="JP82" s="54">
        <v>1718850</v>
      </c>
      <c r="JQ82" s="54">
        <v>8725860</v>
      </c>
      <c r="JR82" s="54">
        <v>10705439</v>
      </c>
      <c r="JS82" s="54">
        <v>36846478</v>
      </c>
      <c r="JU82" s="5">
        <f t="shared" ref="JU82" si="236">SUM(AZ82:BD82)</f>
        <v>10393556</v>
      </c>
      <c r="JV82" s="26">
        <f t="shared" ref="JV82" si="237">BE82-JU82</f>
        <v>0</v>
      </c>
      <c r="JW82" s="5">
        <f t="shared" ref="JW82" si="238">SUM(BF82:BJ82)</f>
        <v>5412597</v>
      </c>
      <c r="JX82" s="26">
        <f t="shared" ref="JX82" si="239">BK82-JW82</f>
        <v>0</v>
      </c>
      <c r="JY82" s="5">
        <f t="shared" ref="JY82" si="240">SUM(BL82:BP82)</f>
        <v>1549029</v>
      </c>
      <c r="JZ82" s="26">
        <f t="shared" ref="JZ82" si="241">BQ82-JY82</f>
        <v>0</v>
      </c>
      <c r="KA82" s="5">
        <f t="shared" ref="KA82" si="242">SUM(BR82:BV82)</f>
        <v>7600616</v>
      </c>
      <c r="KB82" s="26">
        <f t="shared" ref="KB82" si="243">BW82-KA82</f>
        <v>0</v>
      </c>
      <c r="KC82" s="5">
        <f t="shared" ref="KC82" si="244">SUM(BX82:CB82)</f>
        <v>0</v>
      </c>
      <c r="KD82" s="26">
        <f t="shared" ref="KD82" si="245">CC82-KC82</f>
        <v>0</v>
      </c>
      <c r="KE82" s="5">
        <f t="shared" ref="KE82" si="246">SUM(CD82:CH82)</f>
        <v>0</v>
      </c>
      <c r="KF82" s="26">
        <f t="shared" ref="KF82" si="247">CI82-KE82</f>
        <v>0</v>
      </c>
      <c r="KG82" s="5">
        <f t="shared" ref="KG82" si="248">SUM(CJ82:CN82)</f>
        <v>3968970</v>
      </c>
      <c r="KH82" s="26">
        <f t="shared" ref="KH82" si="249">CO82-KG82</f>
        <v>0</v>
      </c>
      <c r="KI82" s="5">
        <f t="shared" ref="KI82" si="250">SUM(CP82:CT82)</f>
        <v>0</v>
      </c>
      <c r="KJ82" s="26">
        <f t="shared" ref="KJ82" si="251">CU82-KI82</f>
        <v>0</v>
      </c>
      <c r="KK82" s="5">
        <f t="shared" ref="KK82" si="252">SUM(CV82:CZ82)</f>
        <v>4114140</v>
      </c>
      <c r="KL82" s="26">
        <f t="shared" ref="KL82" si="253">DA82-KK82</f>
        <v>0</v>
      </c>
      <c r="KM82" s="5">
        <f t="shared" ref="KM82" si="254">SUM(DB82:DF82)</f>
        <v>40414</v>
      </c>
      <c r="KN82" s="26">
        <f t="shared" ref="KN82" si="255">DG82-KM82</f>
        <v>0</v>
      </c>
      <c r="KO82" s="5">
        <f t="shared" ref="KO82" si="256">SUM(DH82:DL82)</f>
        <v>1368270</v>
      </c>
      <c r="KP82" s="26">
        <f t="shared" ref="KP82" si="257">DM82-KO82</f>
        <v>0</v>
      </c>
      <c r="KQ82" s="5">
        <f t="shared" ref="KQ82" si="258">SUM(DN82:DR82)</f>
        <v>2716878</v>
      </c>
      <c r="KR82" s="26">
        <f t="shared" ref="KR82" si="259">DS82-KQ82</f>
        <v>0</v>
      </c>
      <c r="KS82" s="5">
        <f t="shared" ref="KS82" si="260">SUM(DT82:DX82)</f>
        <v>0</v>
      </c>
      <c r="KT82" s="26">
        <f t="shared" ref="KT82" si="261">DY82-KS82</f>
        <v>0</v>
      </c>
      <c r="KU82" s="5">
        <f t="shared" ref="KU82" si="262">SUM(DZ82:ED82)</f>
        <v>210520</v>
      </c>
      <c r="KV82" s="26">
        <f t="shared" ref="KV82" si="263">EE82-KU82</f>
        <v>0</v>
      </c>
      <c r="KW82" s="5">
        <f t="shared" ref="KW82" si="264">SUM(EF82:EJ82)</f>
        <v>716548</v>
      </c>
      <c r="KX82" s="26">
        <f t="shared" ref="KX82" si="265">EK82-KW82</f>
        <v>0</v>
      </c>
      <c r="KY82" s="5">
        <f t="shared" ref="KY82" si="266">SUM(EL82:EP82)</f>
        <v>38091538</v>
      </c>
      <c r="KZ82" s="26">
        <f t="shared" ref="KZ82" si="267">EQ82-KY82</f>
        <v>0</v>
      </c>
      <c r="LA82" s="5">
        <f t="shared" ref="LA82" si="268">SUM(ER82:EV82)</f>
        <v>6559477</v>
      </c>
      <c r="LB82" s="26">
        <f t="shared" ref="LB82" si="269">EW82-LA82</f>
        <v>0</v>
      </c>
      <c r="LC82" s="5">
        <f t="shared" ref="LC82" si="270">SUM(EX82:FB82)</f>
        <v>779949</v>
      </c>
      <c r="LD82" s="26">
        <f t="shared" ref="LD82" si="271">FC82-LC82</f>
        <v>0</v>
      </c>
      <c r="LE82" s="5">
        <f>SUM(FD82:FH82)</f>
        <v>7626743</v>
      </c>
      <c r="LF82" s="26">
        <f t="shared" ref="LF82" si="272">FI82-LE82</f>
        <v>0</v>
      </c>
      <c r="LG82" s="5">
        <f t="shared" ref="LG82" si="273">SUM(FJ82:FN82)</f>
        <v>0</v>
      </c>
      <c r="LH82" s="26">
        <f t="shared" ref="LH82" si="274">FO82-LG82</f>
        <v>0</v>
      </c>
      <c r="LI82" s="5">
        <f t="shared" ref="LI82" si="275">SUM(FP82:FT82)</f>
        <v>5763732</v>
      </c>
      <c r="LJ82" s="26">
        <f t="shared" ref="LJ82" si="276">FU82-LI82</f>
        <v>0</v>
      </c>
      <c r="LK82" s="5">
        <f t="shared" ref="LK82" si="277">SUM(FV82:FZ82)</f>
        <v>0</v>
      </c>
      <c r="LL82" s="26">
        <f t="shared" ref="LL82" si="278">GA82-LK82</f>
        <v>0</v>
      </c>
      <c r="LM82" s="5">
        <f t="shared" ref="LM82" si="279">SUM(GB82:GF82)</f>
        <v>341757</v>
      </c>
      <c r="LN82" s="26">
        <f t="shared" ref="LN82" si="280">GG82-LM82</f>
        <v>0</v>
      </c>
      <c r="LO82" s="5">
        <f>SUM(GH82:GL82)</f>
        <v>753608</v>
      </c>
      <c r="LP82" s="26">
        <f t="shared" ref="LP82" si="281">GM82-LO82</f>
        <v>0</v>
      </c>
      <c r="LQ82" s="5">
        <f t="shared" ref="LQ82" si="282">SUM(GN82:GR82)</f>
        <v>3340471</v>
      </c>
      <c r="LR82" s="26">
        <f t="shared" ref="LR82" si="283">GS82-LQ82</f>
        <v>0</v>
      </c>
      <c r="LS82" s="5">
        <f t="shared" ref="LS82" si="284">SUM(GT82:GX82)</f>
        <v>1817014</v>
      </c>
      <c r="LT82" s="26">
        <f t="shared" ref="LT82" si="285">GY82-LS82</f>
        <v>0</v>
      </c>
      <c r="LU82" s="5">
        <f t="shared" ref="LU82" si="286">SUM(GZ82:HD82)</f>
        <v>1372056</v>
      </c>
      <c r="LV82" s="26">
        <f t="shared" ref="LV82" si="287">HE82-LU82</f>
        <v>0</v>
      </c>
      <c r="LW82" s="5">
        <f t="shared" ref="LW82" si="288">SUM(HF82:HJ82)</f>
        <v>1217359</v>
      </c>
      <c r="LX82" s="26">
        <f t="shared" ref="LX82" si="289">HK82-LW82</f>
        <v>0</v>
      </c>
      <c r="LY82" s="5">
        <f t="shared" ref="LY82" si="290">SUM(HL82:HP82)</f>
        <v>0</v>
      </c>
      <c r="LZ82" s="26">
        <f t="shared" ref="LZ82" si="291">HQ82-LY82</f>
        <v>0</v>
      </c>
      <c r="MA82" s="5">
        <f t="shared" ref="MA82" si="292">SUM(HR82:HV82)</f>
        <v>1648151</v>
      </c>
      <c r="MB82" s="26">
        <f t="shared" ref="MB82" si="293">HW82-MA82</f>
        <v>0</v>
      </c>
      <c r="MC82" s="5">
        <f t="shared" ref="MC82" si="294">SUM(HX82:IB82)</f>
        <v>147698</v>
      </c>
      <c r="MD82" s="26">
        <f t="shared" ref="MD82" si="295">IC82-MC82</f>
        <v>0</v>
      </c>
      <c r="ME82" s="5">
        <f t="shared" ref="ME82" si="296">SUM(ID82:IH82)</f>
        <v>0</v>
      </c>
      <c r="MF82" s="26">
        <f t="shared" ref="MF82" si="297">II82-ME82</f>
        <v>0</v>
      </c>
      <c r="MG82" s="5">
        <f t="shared" ref="MG82" si="298">SUM(IJ82:IN82)</f>
        <v>567226</v>
      </c>
      <c r="MH82" s="26">
        <f t="shared" ref="MH82" si="299">IO82-MG82</f>
        <v>0</v>
      </c>
      <c r="MI82" s="5">
        <f t="shared" ref="MI82" si="300">SUM(IP82:IT82)</f>
        <v>455140</v>
      </c>
      <c r="MJ82" s="26">
        <f t="shared" ref="MJ82" si="301">IU82-MI82</f>
        <v>0</v>
      </c>
      <c r="MK82" s="5">
        <f t="shared" ref="MK82" si="302">SUM(IV82:IZ82)</f>
        <v>4456097</v>
      </c>
      <c r="ML82" s="26">
        <f t="shared" ref="ML82" si="303">JA82-MK82</f>
        <v>0</v>
      </c>
      <c r="MM82" s="5">
        <f t="shared" ref="MM82" si="304">SUM(JB82:JF82)</f>
        <v>36846478</v>
      </c>
      <c r="MN82" s="26">
        <f t="shared" ref="MN82" si="305">JG82-MM82</f>
        <v>0</v>
      </c>
      <c r="MO82" s="5">
        <f t="shared" ref="MO82" si="306">SUM(JH82:JL82)</f>
        <v>0</v>
      </c>
      <c r="MP82" s="26">
        <f t="shared" ref="MP82" si="307">JM82-MO82</f>
        <v>0</v>
      </c>
      <c r="MQ82" s="5">
        <f t="shared" ref="MQ82" si="308">SUM(JN82:JR82)</f>
        <v>36846478</v>
      </c>
      <c r="MR82" s="26">
        <f t="shared" ref="MR82" si="309">JS82-MQ82</f>
        <v>0</v>
      </c>
      <c r="MT82" s="5">
        <f t="shared" si="158"/>
        <v>0</v>
      </c>
      <c r="MV82" s="4">
        <f t="shared" si="159"/>
        <v>0</v>
      </c>
    </row>
    <row r="83" spans="1:368" x14ac:dyDescent="0.15">
      <c r="A83" s="155" t="s">
        <v>296</v>
      </c>
      <c r="B83" s="25" t="s">
        <v>405</v>
      </c>
      <c r="C83" s="105">
        <v>230728</v>
      </c>
      <c r="D83" s="105">
        <v>2011</v>
      </c>
      <c r="E83" s="106">
        <v>1</v>
      </c>
      <c r="F83" s="106">
        <v>10</v>
      </c>
      <c r="G83" s="107">
        <v>6196</v>
      </c>
      <c r="H83" s="107">
        <v>6137</v>
      </c>
      <c r="I83" s="108">
        <v>545994363</v>
      </c>
      <c r="J83" s="108">
        <v>471159270</v>
      </c>
      <c r="K83" s="108">
        <v>828150</v>
      </c>
      <c r="L83" s="108"/>
      <c r="M83" s="108">
        <v>9552742</v>
      </c>
      <c r="N83" s="108"/>
      <c r="O83" s="108">
        <v>8855000</v>
      </c>
      <c r="P83" s="108"/>
      <c r="Q83" s="108">
        <v>104391091</v>
      </c>
      <c r="R83" s="108"/>
      <c r="S83" s="108">
        <v>507638946</v>
      </c>
      <c r="T83" s="108">
        <v>438167986</v>
      </c>
      <c r="U83" s="108">
        <v>11362</v>
      </c>
      <c r="V83" s="108">
        <v>10796</v>
      </c>
      <c r="W83" s="108">
        <v>21009</v>
      </c>
      <c r="X83" s="108">
        <v>19770</v>
      </c>
      <c r="Y83" s="108">
        <v>16240</v>
      </c>
      <c r="Z83" s="108">
        <v>15730</v>
      </c>
      <c r="AA83" s="108">
        <v>25918</v>
      </c>
      <c r="AB83" s="108">
        <v>24710</v>
      </c>
      <c r="AC83" s="130">
        <v>7</v>
      </c>
      <c r="AD83" s="130">
        <v>9</v>
      </c>
      <c r="AE83" s="130">
        <v>0</v>
      </c>
      <c r="AF83" s="26">
        <v>2378408</v>
      </c>
      <c r="AG83" s="26">
        <v>1777974</v>
      </c>
      <c r="AH83" s="26">
        <v>405694</v>
      </c>
      <c r="AI83" s="26">
        <v>161520</v>
      </c>
      <c r="AJ83" s="26">
        <v>297105</v>
      </c>
      <c r="AK83" s="36">
        <v>3.75</v>
      </c>
      <c r="AL83" s="26">
        <v>222829</v>
      </c>
      <c r="AM83" s="36">
        <v>5</v>
      </c>
      <c r="AN83" s="26">
        <v>86053</v>
      </c>
      <c r="AO83" s="36">
        <v>6</v>
      </c>
      <c r="AP83" s="26">
        <v>73760</v>
      </c>
      <c r="AQ83" s="36">
        <v>7</v>
      </c>
      <c r="AR83" s="26">
        <v>100660</v>
      </c>
      <c r="AS83" s="36">
        <v>16</v>
      </c>
      <c r="AT83" s="26">
        <v>89476</v>
      </c>
      <c r="AU83" s="36">
        <v>18</v>
      </c>
      <c r="AV83" s="26">
        <v>53334</v>
      </c>
      <c r="AW83" s="36">
        <v>9.5</v>
      </c>
      <c r="AX83" s="26">
        <v>46061</v>
      </c>
      <c r="AY83" s="36">
        <v>11</v>
      </c>
      <c r="AZ83" s="54">
        <v>938014</v>
      </c>
      <c r="BA83" s="54">
        <v>916049</v>
      </c>
      <c r="BB83" s="54">
        <v>0</v>
      </c>
      <c r="BC83" s="54">
        <v>0</v>
      </c>
      <c r="BD83" s="54">
        <v>111743</v>
      </c>
      <c r="BE83" s="54">
        <v>1965806</v>
      </c>
      <c r="BF83" s="54">
        <v>504540</v>
      </c>
      <c r="BG83" s="54">
        <v>629871</v>
      </c>
      <c r="BH83" s="54">
        <v>0</v>
      </c>
      <c r="BI83" s="54">
        <v>0</v>
      </c>
      <c r="BJ83" s="54">
        <v>2664130</v>
      </c>
      <c r="BK83" s="54">
        <v>3798541</v>
      </c>
      <c r="BL83" s="54">
        <v>740640</v>
      </c>
      <c r="BM83" s="54">
        <v>90000</v>
      </c>
      <c r="BN83" s="54">
        <v>0</v>
      </c>
      <c r="BO83" s="54">
        <v>0</v>
      </c>
      <c r="BP83" s="54">
        <v>1000</v>
      </c>
      <c r="BQ83" s="54">
        <v>831640</v>
      </c>
      <c r="BR83" s="54">
        <v>325513</v>
      </c>
      <c r="BS83" s="54">
        <v>83885</v>
      </c>
      <c r="BT83" s="54">
        <v>5321</v>
      </c>
      <c r="BU83" s="54">
        <v>12527</v>
      </c>
      <c r="BV83" s="54">
        <v>1442565</v>
      </c>
      <c r="BW83" s="54">
        <v>1869811</v>
      </c>
      <c r="BX83" s="54">
        <v>50000</v>
      </c>
      <c r="BY83" s="54">
        <v>90000</v>
      </c>
      <c r="BZ83" s="54">
        <v>0</v>
      </c>
      <c r="CA83" s="54">
        <v>0</v>
      </c>
      <c r="CB83" s="54">
        <v>0</v>
      </c>
      <c r="CC83" s="54">
        <v>140000</v>
      </c>
      <c r="CD83" s="54">
        <v>0</v>
      </c>
      <c r="CE83" s="54">
        <v>0</v>
      </c>
      <c r="CF83" s="54">
        <v>0</v>
      </c>
      <c r="CG83" s="54">
        <v>0</v>
      </c>
      <c r="CH83" s="54">
        <v>0</v>
      </c>
      <c r="CI83" s="54">
        <v>0</v>
      </c>
      <c r="CJ83" s="54">
        <v>0</v>
      </c>
      <c r="CK83" s="54">
        <v>0</v>
      </c>
      <c r="CL83" s="54">
        <v>0</v>
      </c>
      <c r="CM83" s="54">
        <v>0</v>
      </c>
      <c r="CN83" s="54">
        <v>9109963</v>
      </c>
      <c r="CO83" s="54">
        <v>9109963</v>
      </c>
      <c r="CP83" s="54">
        <v>263879</v>
      </c>
      <c r="CQ83" s="54">
        <v>112376</v>
      </c>
      <c r="CR83" s="54">
        <v>40126</v>
      </c>
      <c r="CS83" s="54">
        <v>125866</v>
      </c>
      <c r="CT83" s="54">
        <v>1156655</v>
      </c>
      <c r="CU83" s="54">
        <v>1698902</v>
      </c>
      <c r="CV83" s="54">
        <v>866083</v>
      </c>
      <c r="CW83" s="54">
        <v>764537</v>
      </c>
      <c r="CX83" s="54">
        <v>0</v>
      </c>
      <c r="CY83" s="54">
        <v>0</v>
      </c>
      <c r="CZ83" s="54">
        <v>877353</v>
      </c>
      <c r="DA83" s="54">
        <v>2507973</v>
      </c>
      <c r="DB83" s="54">
        <v>0</v>
      </c>
      <c r="DC83" s="54">
        <v>0</v>
      </c>
      <c r="DD83" s="54">
        <v>0</v>
      </c>
      <c r="DE83" s="54">
        <v>0</v>
      </c>
      <c r="DF83" s="54">
        <v>0</v>
      </c>
      <c r="DG83" s="54">
        <v>0</v>
      </c>
      <c r="DH83" s="54">
        <v>15440</v>
      </c>
      <c r="DI83" s="54">
        <v>36028</v>
      </c>
      <c r="DJ83" s="54">
        <v>0</v>
      </c>
      <c r="DK83" s="54">
        <v>0</v>
      </c>
      <c r="DL83" s="54">
        <v>0</v>
      </c>
      <c r="DM83" s="54">
        <v>51468</v>
      </c>
      <c r="DN83" s="54">
        <v>257951</v>
      </c>
      <c r="DO83" s="54">
        <v>217951</v>
      </c>
      <c r="DP83" s="54">
        <v>0</v>
      </c>
      <c r="DQ83" s="54">
        <v>0</v>
      </c>
      <c r="DR83" s="54">
        <v>89081</v>
      </c>
      <c r="DS83" s="54">
        <v>564983</v>
      </c>
      <c r="DT83" s="54">
        <v>0</v>
      </c>
      <c r="DU83" s="54">
        <v>0</v>
      </c>
      <c r="DV83" s="54">
        <v>0</v>
      </c>
      <c r="DW83" s="54">
        <v>0</v>
      </c>
      <c r="DX83" s="54">
        <v>0</v>
      </c>
      <c r="DY83" s="54">
        <v>0</v>
      </c>
      <c r="DZ83" s="54">
        <v>6410</v>
      </c>
      <c r="EA83" s="54">
        <v>6704</v>
      </c>
      <c r="EB83" s="54">
        <v>0</v>
      </c>
      <c r="EC83" s="54">
        <v>5562</v>
      </c>
      <c r="ED83" s="54">
        <v>86514</v>
      </c>
      <c r="EE83" s="54">
        <v>105190</v>
      </c>
      <c r="EF83" s="54">
        <v>2466</v>
      </c>
      <c r="EG83" s="54">
        <v>0</v>
      </c>
      <c r="EH83" s="54">
        <v>0</v>
      </c>
      <c r="EI83" s="54">
        <v>0</v>
      </c>
      <c r="EJ83" s="54">
        <v>131201</v>
      </c>
      <c r="EK83" s="54">
        <v>133667</v>
      </c>
      <c r="EL83" s="54">
        <v>3970936</v>
      </c>
      <c r="EM83" s="54">
        <v>2947401</v>
      </c>
      <c r="EN83" s="54">
        <v>45447</v>
      </c>
      <c r="EO83" s="54">
        <v>143955</v>
      </c>
      <c r="EP83" s="54">
        <v>15670205</v>
      </c>
      <c r="EQ83" s="54">
        <v>22777944</v>
      </c>
      <c r="ER83" s="54">
        <v>1739841</v>
      </c>
      <c r="ES83" s="54">
        <v>264522</v>
      </c>
      <c r="ET83" s="54">
        <v>371614</v>
      </c>
      <c r="EU83" s="54">
        <v>1780405</v>
      </c>
      <c r="EV83" s="54">
        <v>233020</v>
      </c>
      <c r="EW83" s="54">
        <v>4389402</v>
      </c>
      <c r="EX83" s="54">
        <v>200000</v>
      </c>
      <c r="EY83" s="54">
        <v>231500</v>
      </c>
      <c r="EZ83" s="54">
        <v>3000</v>
      </c>
      <c r="FA83" s="54">
        <v>6050</v>
      </c>
      <c r="FB83" s="54">
        <v>0</v>
      </c>
      <c r="FC83" s="54">
        <v>440550</v>
      </c>
      <c r="FD83" s="54">
        <v>1517425</v>
      </c>
      <c r="FE83" s="54">
        <v>1009363</v>
      </c>
      <c r="FF83" s="54">
        <v>306787</v>
      </c>
      <c r="FG83" s="54">
        <v>914123</v>
      </c>
      <c r="FH83" s="54">
        <v>0</v>
      </c>
      <c r="FI83" s="54">
        <v>3747698</v>
      </c>
      <c r="FJ83" s="54">
        <v>50000</v>
      </c>
      <c r="FK83" s="54">
        <v>90000</v>
      </c>
      <c r="FL83" s="54">
        <v>0</v>
      </c>
      <c r="FM83" s="54">
        <v>0</v>
      </c>
      <c r="FN83" s="54">
        <v>0</v>
      </c>
      <c r="FO83" s="54">
        <v>140000</v>
      </c>
      <c r="FP83" s="54">
        <v>0</v>
      </c>
      <c r="FQ83" s="54">
        <v>0</v>
      </c>
      <c r="FR83" s="54">
        <v>0</v>
      </c>
      <c r="FS83" s="54">
        <v>0</v>
      </c>
      <c r="FT83" s="54">
        <v>2376353</v>
      </c>
      <c r="FU83" s="54">
        <v>2376353</v>
      </c>
      <c r="FV83" s="54">
        <v>0</v>
      </c>
      <c r="FW83" s="54">
        <v>0</v>
      </c>
      <c r="FX83" s="54">
        <v>0</v>
      </c>
      <c r="FY83" s="54">
        <v>0</v>
      </c>
      <c r="FZ83" s="54">
        <v>0</v>
      </c>
      <c r="GA83" s="54">
        <v>0</v>
      </c>
      <c r="GB83" s="54">
        <v>0</v>
      </c>
      <c r="GC83" s="54">
        <v>0</v>
      </c>
      <c r="GD83" s="54">
        <v>0</v>
      </c>
      <c r="GE83" s="54">
        <v>0</v>
      </c>
      <c r="GF83" s="54">
        <v>0</v>
      </c>
      <c r="GG83" s="54">
        <v>0</v>
      </c>
      <c r="GH83" s="54">
        <v>256312</v>
      </c>
      <c r="GI83" s="54">
        <v>136140</v>
      </c>
      <c r="GJ83" s="54">
        <v>57307</v>
      </c>
      <c r="GK83" s="54">
        <v>117455</v>
      </c>
      <c r="GL83" s="54">
        <v>0</v>
      </c>
      <c r="GM83" s="54">
        <v>567214</v>
      </c>
      <c r="GN83" s="54">
        <v>489814</v>
      </c>
      <c r="GO83" s="54">
        <v>362654</v>
      </c>
      <c r="GP83" s="54">
        <v>172446</v>
      </c>
      <c r="GQ83" s="54">
        <v>1150021</v>
      </c>
      <c r="GR83" s="54">
        <v>0</v>
      </c>
      <c r="GS83" s="54">
        <v>2174935</v>
      </c>
      <c r="GT83" s="54">
        <v>338862</v>
      </c>
      <c r="GU83" s="54">
        <v>67158</v>
      </c>
      <c r="GV83" s="54">
        <v>42589</v>
      </c>
      <c r="GW83" s="54">
        <v>305264</v>
      </c>
      <c r="GX83" s="54">
        <v>280594</v>
      </c>
      <c r="GY83" s="54">
        <v>1034467</v>
      </c>
      <c r="GZ83" s="54">
        <v>72023</v>
      </c>
      <c r="HA83" s="54">
        <v>124735</v>
      </c>
      <c r="HB83" s="54">
        <v>71400</v>
      </c>
      <c r="HC83" s="54">
        <v>61958</v>
      </c>
      <c r="HD83" s="54">
        <v>0</v>
      </c>
      <c r="HE83" s="54">
        <v>330116</v>
      </c>
      <c r="HF83" s="54">
        <v>6550</v>
      </c>
      <c r="HG83" s="54">
        <v>0</v>
      </c>
      <c r="HH83" s="54">
        <v>0</v>
      </c>
      <c r="HI83" s="54">
        <v>1750</v>
      </c>
      <c r="HJ83" s="54">
        <v>150052</v>
      </c>
      <c r="HK83" s="54">
        <v>158352</v>
      </c>
      <c r="HL83" s="54">
        <v>0</v>
      </c>
      <c r="HM83" s="54">
        <v>0</v>
      </c>
      <c r="HN83" s="54">
        <v>0</v>
      </c>
      <c r="HO83" s="54">
        <v>0</v>
      </c>
      <c r="HP83" s="54">
        <v>0</v>
      </c>
      <c r="HQ83" s="54">
        <v>0</v>
      </c>
      <c r="HR83" s="54">
        <v>204999</v>
      </c>
      <c r="HS83" s="54">
        <v>197400</v>
      </c>
      <c r="HT83" s="54">
        <v>7714</v>
      </c>
      <c r="HU83" s="54">
        <v>24811</v>
      </c>
      <c r="HV83" s="54">
        <v>435313</v>
      </c>
      <c r="HW83" s="54">
        <v>870237</v>
      </c>
      <c r="HX83" s="54">
        <v>0</v>
      </c>
      <c r="HY83" s="54">
        <v>0</v>
      </c>
      <c r="HZ83" s="54">
        <v>0</v>
      </c>
      <c r="IA83" s="54">
        <v>0</v>
      </c>
      <c r="IB83" s="54">
        <v>0</v>
      </c>
      <c r="IC83" s="54">
        <v>0</v>
      </c>
      <c r="ID83" s="54">
        <v>263879</v>
      </c>
      <c r="IE83" s="54">
        <v>112376</v>
      </c>
      <c r="IF83" s="54">
        <v>40126</v>
      </c>
      <c r="IG83" s="54">
        <v>125866</v>
      </c>
      <c r="IH83" s="54">
        <v>1156655</v>
      </c>
      <c r="II83" s="54">
        <v>1698902</v>
      </c>
      <c r="IJ83" s="54">
        <v>0</v>
      </c>
      <c r="IK83" s="54">
        <v>0</v>
      </c>
      <c r="IL83" s="54">
        <v>0</v>
      </c>
      <c r="IM83" s="54">
        <v>0</v>
      </c>
      <c r="IN83" s="54">
        <v>355513</v>
      </c>
      <c r="IO83" s="54">
        <v>355513</v>
      </c>
      <c r="IP83" s="54">
        <v>0</v>
      </c>
      <c r="IQ83" s="54">
        <v>0</v>
      </c>
      <c r="IR83" s="54">
        <v>0</v>
      </c>
      <c r="IS83" s="54">
        <v>0</v>
      </c>
      <c r="IT83" s="54">
        <v>412921</v>
      </c>
      <c r="IU83" s="54">
        <v>412921</v>
      </c>
      <c r="IV83" s="54">
        <v>83685</v>
      </c>
      <c r="IW83" s="54">
        <v>61510</v>
      </c>
      <c r="IX83" s="54">
        <v>22797</v>
      </c>
      <c r="IY83" s="54">
        <v>86628</v>
      </c>
      <c r="IZ83" s="54">
        <v>749200</v>
      </c>
      <c r="JA83" s="54">
        <v>1003820</v>
      </c>
      <c r="JB83" s="54">
        <v>5223390</v>
      </c>
      <c r="JC83" s="54">
        <v>2657358</v>
      </c>
      <c r="JD83" s="54">
        <v>1095780</v>
      </c>
      <c r="JE83" s="54">
        <v>4574331</v>
      </c>
      <c r="JF83" s="54">
        <v>6149621</v>
      </c>
      <c r="JG83" s="54">
        <v>19700480</v>
      </c>
      <c r="JH83" s="54">
        <v>0</v>
      </c>
      <c r="JI83" s="54">
        <v>0</v>
      </c>
      <c r="JJ83" s="54">
        <v>0</v>
      </c>
      <c r="JK83" s="54">
        <v>0</v>
      </c>
      <c r="JL83" s="54">
        <v>0</v>
      </c>
      <c r="JM83" s="54">
        <v>0</v>
      </c>
      <c r="JN83" s="54">
        <v>5223390</v>
      </c>
      <c r="JO83" s="54">
        <v>2657358</v>
      </c>
      <c r="JP83" s="54">
        <v>1095780</v>
      </c>
      <c r="JQ83" s="54">
        <v>4574331</v>
      </c>
      <c r="JR83" s="54">
        <v>6149621</v>
      </c>
      <c r="JS83" s="54">
        <v>19700480</v>
      </c>
      <c r="JU83" s="5">
        <f t="shared" si="160"/>
        <v>1965806</v>
      </c>
      <c r="JV83" s="26">
        <f t="shared" si="161"/>
        <v>0</v>
      </c>
      <c r="JW83" s="5">
        <f t="shared" si="162"/>
        <v>3798541</v>
      </c>
      <c r="JX83" s="26">
        <f t="shared" si="163"/>
        <v>0</v>
      </c>
      <c r="JY83" s="5">
        <f t="shared" si="164"/>
        <v>831640</v>
      </c>
      <c r="JZ83" s="26">
        <f t="shared" si="165"/>
        <v>0</v>
      </c>
      <c r="KA83" s="5">
        <f t="shared" si="166"/>
        <v>1869811</v>
      </c>
      <c r="KB83" s="26">
        <f t="shared" si="167"/>
        <v>0</v>
      </c>
      <c r="KC83" s="5">
        <f t="shared" si="168"/>
        <v>140000</v>
      </c>
      <c r="KD83" s="26">
        <f t="shared" si="169"/>
        <v>0</v>
      </c>
      <c r="KE83" s="5">
        <f t="shared" si="170"/>
        <v>0</v>
      </c>
      <c r="KF83" s="26">
        <f t="shared" si="171"/>
        <v>0</v>
      </c>
      <c r="KG83" s="5">
        <f t="shared" si="172"/>
        <v>9109963</v>
      </c>
      <c r="KH83" s="26">
        <f t="shared" si="173"/>
        <v>0</v>
      </c>
      <c r="KI83" s="5">
        <f t="shared" si="174"/>
        <v>1698902</v>
      </c>
      <c r="KJ83" s="26">
        <f t="shared" si="175"/>
        <v>0</v>
      </c>
      <c r="KK83" s="5">
        <f t="shared" si="176"/>
        <v>2507973</v>
      </c>
      <c r="KL83" s="26">
        <f t="shared" si="177"/>
        <v>0</v>
      </c>
      <c r="KM83" s="5">
        <f t="shared" si="178"/>
        <v>0</v>
      </c>
      <c r="KN83" s="26">
        <f t="shared" si="179"/>
        <v>0</v>
      </c>
      <c r="KO83" s="5">
        <f t="shared" si="180"/>
        <v>51468</v>
      </c>
      <c r="KP83" s="26">
        <f t="shared" si="181"/>
        <v>0</v>
      </c>
      <c r="KQ83" s="5">
        <f t="shared" si="182"/>
        <v>564983</v>
      </c>
      <c r="KR83" s="26">
        <f t="shared" si="183"/>
        <v>0</v>
      </c>
      <c r="KS83" s="5">
        <f t="shared" si="184"/>
        <v>0</v>
      </c>
      <c r="KT83" s="26">
        <f t="shared" si="185"/>
        <v>0</v>
      </c>
      <c r="KU83" s="5">
        <f t="shared" si="186"/>
        <v>105190</v>
      </c>
      <c r="KV83" s="26">
        <f t="shared" si="187"/>
        <v>0</v>
      </c>
      <c r="KW83" s="5">
        <f t="shared" si="188"/>
        <v>133667</v>
      </c>
      <c r="KX83" s="26">
        <f t="shared" si="189"/>
        <v>0</v>
      </c>
      <c r="KY83" s="5">
        <f t="shared" si="190"/>
        <v>22777944</v>
      </c>
      <c r="KZ83" s="26">
        <f t="shared" si="191"/>
        <v>0</v>
      </c>
      <c r="LA83" s="5">
        <f t="shared" si="233"/>
        <v>4389402</v>
      </c>
      <c r="LB83" s="26">
        <f t="shared" si="234"/>
        <v>0</v>
      </c>
      <c r="LC83" s="5">
        <f t="shared" si="235"/>
        <v>440550</v>
      </c>
      <c r="LD83" s="26">
        <f t="shared" si="192"/>
        <v>0</v>
      </c>
      <c r="LE83" s="5">
        <f t="shared" si="193"/>
        <v>3747698</v>
      </c>
      <c r="LF83" s="26">
        <f t="shared" si="194"/>
        <v>0</v>
      </c>
      <c r="LG83" s="5">
        <f t="shared" si="195"/>
        <v>140000</v>
      </c>
      <c r="LH83" s="26">
        <f t="shared" si="196"/>
        <v>0</v>
      </c>
      <c r="LI83" s="5">
        <f t="shared" si="197"/>
        <v>2376353</v>
      </c>
      <c r="LJ83" s="26">
        <f t="shared" si="198"/>
        <v>0</v>
      </c>
      <c r="LK83" s="5">
        <f t="shared" si="199"/>
        <v>0</v>
      </c>
      <c r="LL83" s="26">
        <f t="shared" si="200"/>
        <v>0</v>
      </c>
      <c r="LM83" s="5">
        <f t="shared" si="201"/>
        <v>0</v>
      </c>
      <c r="LN83" s="26">
        <f t="shared" si="202"/>
        <v>0</v>
      </c>
      <c r="LO83" s="5">
        <f t="shared" si="203"/>
        <v>567214</v>
      </c>
      <c r="LP83" s="26">
        <f t="shared" si="204"/>
        <v>0</v>
      </c>
      <c r="LQ83" s="5">
        <f t="shared" si="205"/>
        <v>2174935</v>
      </c>
      <c r="LR83" s="26">
        <f t="shared" si="206"/>
        <v>0</v>
      </c>
      <c r="LS83" s="5">
        <f t="shared" si="207"/>
        <v>1034467</v>
      </c>
      <c r="LT83" s="26">
        <f t="shared" si="208"/>
        <v>0</v>
      </c>
      <c r="LU83" s="5">
        <f t="shared" si="209"/>
        <v>330116</v>
      </c>
      <c r="LV83" s="26">
        <f t="shared" si="210"/>
        <v>0</v>
      </c>
      <c r="LW83" s="5">
        <f t="shared" si="211"/>
        <v>158352</v>
      </c>
      <c r="LX83" s="26">
        <f t="shared" si="212"/>
        <v>0</v>
      </c>
      <c r="LY83" s="5">
        <f t="shared" si="213"/>
        <v>0</v>
      </c>
      <c r="LZ83" s="26">
        <f t="shared" si="214"/>
        <v>0</v>
      </c>
      <c r="MA83" s="5">
        <f t="shared" si="215"/>
        <v>870237</v>
      </c>
      <c r="MB83" s="26">
        <f t="shared" si="216"/>
        <v>0</v>
      </c>
      <c r="MC83" s="5">
        <f t="shared" si="217"/>
        <v>0</v>
      </c>
      <c r="MD83" s="26">
        <f t="shared" si="218"/>
        <v>0</v>
      </c>
      <c r="ME83" s="5">
        <f t="shared" si="219"/>
        <v>1698902</v>
      </c>
      <c r="MF83" s="26">
        <f t="shared" si="220"/>
        <v>0</v>
      </c>
      <c r="MG83" s="5">
        <f t="shared" si="221"/>
        <v>355513</v>
      </c>
      <c r="MH83" s="26">
        <f t="shared" si="222"/>
        <v>0</v>
      </c>
      <c r="MI83" s="5">
        <f t="shared" si="223"/>
        <v>412921</v>
      </c>
      <c r="MJ83" s="26">
        <f t="shared" si="224"/>
        <v>0</v>
      </c>
      <c r="MK83" s="5">
        <f t="shared" si="225"/>
        <v>1003820</v>
      </c>
      <c r="ML83" s="26">
        <f t="shared" si="226"/>
        <v>0</v>
      </c>
      <c r="MM83" s="5">
        <f t="shared" si="227"/>
        <v>19700480</v>
      </c>
      <c r="MN83" s="26">
        <f t="shared" si="228"/>
        <v>0</v>
      </c>
      <c r="MO83" s="5">
        <f t="shared" si="229"/>
        <v>0</v>
      </c>
      <c r="MP83" s="26">
        <f t="shared" si="230"/>
        <v>0</v>
      </c>
      <c r="MQ83" s="5">
        <f t="shared" si="231"/>
        <v>19700480</v>
      </c>
      <c r="MR83" s="26">
        <f t="shared" si="232"/>
        <v>0</v>
      </c>
      <c r="MT83" s="5">
        <f t="shared" si="158"/>
        <v>0</v>
      </c>
      <c r="MV83" s="4">
        <f t="shared" si="159"/>
        <v>0</v>
      </c>
    </row>
    <row r="84" spans="1:368" x14ac:dyDescent="0.15">
      <c r="A84" s="155" t="s">
        <v>297</v>
      </c>
      <c r="B84" s="25" t="s">
        <v>464</v>
      </c>
      <c r="C84" s="109">
        <v>228796</v>
      </c>
      <c r="D84" s="105">
        <v>2011</v>
      </c>
      <c r="E84" s="106">
        <v>1</v>
      </c>
      <c r="F84" s="106">
        <v>8</v>
      </c>
      <c r="G84" s="107">
        <v>5451</v>
      </c>
      <c r="H84" s="107">
        <v>6470</v>
      </c>
      <c r="I84" s="108">
        <v>358828925</v>
      </c>
      <c r="J84" s="108"/>
      <c r="K84" s="108">
        <v>1853403</v>
      </c>
      <c r="L84" s="108"/>
      <c r="M84" s="108">
        <v>15856308</v>
      </c>
      <c r="N84" s="108"/>
      <c r="O84" s="108">
        <v>16481783</v>
      </c>
      <c r="P84" s="108"/>
      <c r="Q84" s="108">
        <v>212320000</v>
      </c>
      <c r="R84" s="108"/>
      <c r="S84" s="108">
        <v>275558568</v>
      </c>
      <c r="T84" s="108"/>
      <c r="U84" s="108">
        <v>16265</v>
      </c>
      <c r="V84" s="108"/>
      <c r="W84" s="108">
        <v>25565</v>
      </c>
      <c r="X84" s="108"/>
      <c r="Y84" s="108">
        <v>19853</v>
      </c>
      <c r="Z84" s="108"/>
      <c r="AA84" s="108">
        <v>29153</v>
      </c>
      <c r="AB84" s="108"/>
      <c r="AC84" s="129">
        <v>6</v>
      </c>
      <c r="AD84" s="129">
        <v>10</v>
      </c>
      <c r="AE84" s="129">
        <v>0</v>
      </c>
      <c r="AF84" s="26">
        <v>2747961</v>
      </c>
      <c r="AG84" s="26">
        <v>2558148</v>
      </c>
      <c r="AH84" s="26">
        <v>356997</v>
      </c>
      <c r="AI84" s="26">
        <v>161002</v>
      </c>
      <c r="AJ84" s="26">
        <v>376008</v>
      </c>
      <c r="AK84" s="36">
        <v>3.75</v>
      </c>
      <c r="AL84" s="26">
        <v>282006</v>
      </c>
      <c r="AM84" s="36">
        <v>5</v>
      </c>
      <c r="AN84" s="26">
        <v>101280.23</v>
      </c>
      <c r="AO84" s="36">
        <v>8.75</v>
      </c>
      <c r="AP84" s="26">
        <v>88620.2</v>
      </c>
      <c r="AQ84" s="36">
        <v>10</v>
      </c>
      <c r="AR84" s="26">
        <v>116489.46</v>
      </c>
      <c r="AS84" s="36">
        <v>15.75</v>
      </c>
      <c r="AT84" s="26">
        <v>101928.28</v>
      </c>
      <c r="AU84" s="36">
        <v>18</v>
      </c>
      <c r="AV84" s="26">
        <v>60848.34</v>
      </c>
      <c r="AW84" s="36">
        <v>8.75</v>
      </c>
      <c r="AX84" s="26">
        <v>48402.09</v>
      </c>
      <c r="AY84" s="36">
        <v>11</v>
      </c>
      <c r="AZ84" s="54">
        <v>1645002</v>
      </c>
      <c r="BA84" s="54">
        <v>1632993</v>
      </c>
      <c r="BB84" s="54">
        <v>11096</v>
      </c>
      <c r="BC84" s="54">
        <v>19008</v>
      </c>
      <c r="BD84" s="54">
        <v>0</v>
      </c>
      <c r="BE84" s="54">
        <v>3308099</v>
      </c>
      <c r="BF84" s="54">
        <v>1714516</v>
      </c>
      <c r="BG84" s="54">
        <v>261718</v>
      </c>
      <c r="BH84" s="54">
        <v>302392</v>
      </c>
      <c r="BI84" s="54">
        <v>1829967</v>
      </c>
      <c r="BJ84" s="54">
        <v>111336</v>
      </c>
      <c r="BK84" s="54">
        <v>4219929</v>
      </c>
      <c r="BL84" s="54">
        <v>925000</v>
      </c>
      <c r="BM84" s="54">
        <v>55000</v>
      </c>
      <c r="BN84" s="54">
        <v>2500</v>
      </c>
      <c r="BO84" s="54">
        <v>1200</v>
      </c>
      <c r="BP84" s="54">
        <v>0</v>
      </c>
      <c r="BQ84" s="54">
        <v>983700</v>
      </c>
      <c r="BR84" s="54">
        <v>1115837</v>
      </c>
      <c r="BS84" s="54">
        <v>386792</v>
      </c>
      <c r="BT84" s="54">
        <v>160906</v>
      </c>
      <c r="BU84" s="54">
        <v>1300775</v>
      </c>
      <c r="BV84" s="54">
        <v>107545</v>
      </c>
      <c r="BW84" s="54">
        <v>3071855</v>
      </c>
      <c r="BX84" s="54">
        <v>42010</v>
      </c>
      <c r="BY84" s="54">
        <v>24510</v>
      </c>
      <c r="BZ84" s="54">
        <v>6922</v>
      </c>
      <c r="CA84" s="54">
        <v>12489</v>
      </c>
      <c r="CB84" s="54">
        <v>23376</v>
      </c>
      <c r="CC84" s="54">
        <v>109307</v>
      </c>
      <c r="CD84" s="54">
        <v>0</v>
      </c>
      <c r="CE84" s="54">
        <v>0</v>
      </c>
      <c r="CF84" s="54">
        <v>0</v>
      </c>
      <c r="CG84" s="54">
        <v>0</v>
      </c>
      <c r="CH84" s="54">
        <v>0</v>
      </c>
      <c r="CI84" s="54">
        <v>0</v>
      </c>
      <c r="CJ84" s="54">
        <v>2127744</v>
      </c>
      <c r="CK84" s="54">
        <v>402979</v>
      </c>
      <c r="CL84" s="54">
        <v>453397</v>
      </c>
      <c r="CM84" s="54">
        <v>2764307</v>
      </c>
      <c r="CN84" s="54">
        <v>676361</v>
      </c>
      <c r="CO84" s="54">
        <v>6424788</v>
      </c>
      <c r="CP84" s="54">
        <v>1346130</v>
      </c>
      <c r="CQ84" s="54">
        <v>205879</v>
      </c>
      <c r="CR84" s="54">
        <v>237552</v>
      </c>
      <c r="CS84" s="54">
        <v>1436399</v>
      </c>
      <c r="CT84" s="54">
        <v>0</v>
      </c>
      <c r="CU84" s="54">
        <v>3225960</v>
      </c>
      <c r="CV84" s="54">
        <v>1537118</v>
      </c>
      <c r="CW84" s="54">
        <v>233793</v>
      </c>
      <c r="CX84" s="54">
        <v>186502</v>
      </c>
      <c r="CY84" s="54">
        <v>1167388</v>
      </c>
      <c r="CZ84" s="54">
        <v>0</v>
      </c>
      <c r="DA84" s="54">
        <v>3124801</v>
      </c>
      <c r="DB84" s="54">
        <v>204247</v>
      </c>
      <c r="DC84" s="54">
        <v>133497</v>
      </c>
      <c r="DD84" s="54">
        <v>0</v>
      </c>
      <c r="DE84" s="54">
        <v>0</v>
      </c>
      <c r="DF84" s="54">
        <v>0</v>
      </c>
      <c r="DG84" s="54">
        <v>337744</v>
      </c>
      <c r="DH84" s="54">
        <v>311393</v>
      </c>
      <c r="DI84" s="54">
        <v>169054</v>
      </c>
      <c r="DJ84" s="54">
        <v>23683</v>
      </c>
      <c r="DK84" s="54">
        <v>100453</v>
      </c>
      <c r="DL84" s="54">
        <v>218</v>
      </c>
      <c r="DM84" s="54">
        <v>604801</v>
      </c>
      <c r="DN84" s="54">
        <v>834294</v>
      </c>
      <c r="DO84" s="54">
        <v>456908</v>
      </c>
      <c r="DP84" s="54">
        <v>27347</v>
      </c>
      <c r="DQ84" s="54">
        <v>46523</v>
      </c>
      <c r="DR84" s="54">
        <v>50687</v>
      </c>
      <c r="DS84" s="54">
        <v>1415759</v>
      </c>
      <c r="DT84" s="54">
        <v>23270</v>
      </c>
      <c r="DU84" s="54">
        <v>40314</v>
      </c>
      <c r="DV84" s="54">
        <v>5235</v>
      </c>
      <c r="DW84" s="54">
        <v>75235</v>
      </c>
      <c r="DX84" s="54">
        <v>23114</v>
      </c>
      <c r="DY84" s="54">
        <v>167168</v>
      </c>
      <c r="DZ84" s="54">
        <v>27428</v>
      </c>
      <c r="EA84" s="54">
        <v>19761</v>
      </c>
      <c r="EB84" s="54">
        <v>2987</v>
      </c>
      <c r="EC84" s="54">
        <v>24931</v>
      </c>
      <c r="ED84" s="54">
        <v>0</v>
      </c>
      <c r="EE84" s="54">
        <v>75107</v>
      </c>
      <c r="EF84" s="54">
        <v>209613</v>
      </c>
      <c r="EG84" s="54">
        <v>67619</v>
      </c>
      <c r="EH84" s="54">
        <v>46773</v>
      </c>
      <c r="EI84" s="54">
        <v>237909</v>
      </c>
      <c r="EJ84" s="54">
        <v>63426</v>
      </c>
      <c r="EK84" s="54">
        <v>625340</v>
      </c>
      <c r="EL84" s="54">
        <v>12063602</v>
      </c>
      <c r="EM84" s="54">
        <v>4090817</v>
      </c>
      <c r="EN84" s="54">
        <v>1467292</v>
      </c>
      <c r="EO84" s="54">
        <v>9016584</v>
      </c>
      <c r="EP84" s="54">
        <v>1056063</v>
      </c>
      <c r="EQ84" s="54">
        <v>27694358</v>
      </c>
      <c r="ER84" s="54">
        <v>1914837</v>
      </c>
      <c r="ES84" s="54">
        <v>325486</v>
      </c>
      <c r="ET84" s="54">
        <v>457119</v>
      </c>
      <c r="EU84" s="54">
        <v>2608667</v>
      </c>
      <c r="EV84" s="54">
        <v>1012045</v>
      </c>
      <c r="EW84" s="54">
        <v>6318154</v>
      </c>
      <c r="EX84" s="54">
        <v>275000</v>
      </c>
      <c r="EY84" s="54">
        <v>612785</v>
      </c>
      <c r="EZ84" s="54">
        <v>105828</v>
      </c>
      <c r="FA84" s="54">
        <v>19076</v>
      </c>
      <c r="FB84" s="54">
        <v>0</v>
      </c>
      <c r="FC84" s="54">
        <v>1012689</v>
      </c>
      <c r="FD84" s="54">
        <v>1718456</v>
      </c>
      <c r="FE84" s="54">
        <v>1217975</v>
      </c>
      <c r="FF84" s="54">
        <v>399340</v>
      </c>
      <c r="FG84" s="54">
        <v>1327593</v>
      </c>
      <c r="FH84" s="54">
        <v>0</v>
      </c>
      <c r="FI84" s="54">
        <v>4663364</v>
      </c>
      <c r="FJ84" s="54">
        <v>39010</v>
      </c>
      <c r="FK84" s="54">
        <v>23885</v>
      </c>
      <c r="FL84" s="54">
        <v>6922</v>
      </c>
      <c r="FM84" s="54">
        <v>12489</v>
      </c>
      <c r="FN84" s="54">
        <v>0</v>
      </c>
      <c r="FO84" s="54">
        <v>82306</v>
      </c>
      <c r="FP84" s="54">
        <v>396602</v>
      </c>
      <c r="FQ84" s="54">
        <v>169046</v>
      </c>
      <c r="FR84" s="54">
        <v>32212</v>
      </c>
      <c r="FS84" s="54">
        <v>99903</v>
      </c>
      <c r="FT84" s="54">
        <v>2441627</v>
      </c>
      <c r="FU84" s="54">
        <v>3139390</v>
      </c>
      <c r="FV84" s="54">
        <v>3000</v>
      </c>
      <c r="FW84" s="54">
        <v>625</v>
      </c>
      <c r="FX84" s="54">
        <v>0</v>
      </c>
      <c r="FY84" s="54">
        <v>0</v>
      </c>
      <c r="FZ84" s="54">
        <v>23376</v>
      </c>
      <c r="GA84" s="54">
        <v>27001</v>
      </c>
      <c r="GB84" s="54">
        <v>0</v>
      </c>
      <c r="GC84" s="54">
        <v>0</v>
      </c>
      <c r="GD84" s="54">
        <v>0</v>
      </c>
      <c r="GE84" s="54">
        <v>0</v>
      </c>
      <c r="GF84" s="54">
        <v>0</v>
      </c>
      <c r="GG84" s="54">
        <v>0</v>
      </c>
      <c r="GH84" s="54">
        <v>185158</v>
      </c>
      <c r="GI84" s="54">
        <v>147061</v>
      </c>
      <c r="GJ84" s="54">
        <v>65330</v>
      </c>
      <c r="GK84" s="54">
        <v>120450</v>
      </c>
      <c r="GL84" s="54">
        <v>0</v>
      </c>
      <c r="GM84" s="54">
        <v>517999</v>
      </c>
      <c r="GN84" s="54">
        <v>1002959</v>
      </c>
      <c r="GO84" s="54">
        <v>367200</v>
      </c>
      <c r="GP84" s="54">
        <v>196852</v>
      </c>
      <c r="GQ84" s="54">
        <v>992794</v>
      </c>
      <c r="GR84" s="54">
        <v>0</v>
      </c>
      <c r="GS84" s="54">
        <v>2559805</v>
      </c>
      <c r="GT84" s="54">
        <v>206510</v>
      </c>
      <c r="GU84" s="54">
        <v>22487</v>
      </c>
      <c r="GV84" s="54">
        <v>18982</v>
      </c>
      <c r="GW84" s="54">
        <v>192555</v>
      </c>
      <c r="GX84" s="54">
        <v>0</v>
      </c>
      <c r="GY84" s="54">
        <v>440534</v>
      </c>
      <c r="GZ84" s="54">
        <v>788889</v>
      </c>
      <c r="HA84" s="54">
        <v>366602</v>
      </c>
      <c r="HB84" s="54">
        <v>139464</v>
      </c>
      <c r="HC84" s="54">
        <v>189641</v>
      </c>
      <c r="HD84" s="54">
        <v>450</v>
      </c>
      <c r="HE84" s="54">
        <v>1485046</v>
      </c>
      <c r="HF84" s="54">
        <v>256364</v>
      </c>
      <c r="HG84" s="54">
        <v>85643</v>
      </c>
      <c r="HH84" s="54">
        <v>33855</v>
      </c>
      <c r="HI84" s="54">
        <v>210630</v>
      </c>
      <c r="HJ84" s="54">
        <v>164199</v>
      </c>
      <c r="HK84" s="54">
        <v>750691</v>
      </c>
      <c r="HL84" s="54">
        <v>111640</v>
      </c>
      <c r="HM84" s="54">
        <v>16793</v>
      </c>
      <c r="HN84" s="54">
        <v>2988</v>
      </c>
      <c r="HO84" s="54">
        <v>41682</v>
      </c>
      <c r="HP84" s="54">
        <v>6407</v>
      </c>
      <c r="HQ84" s="54">
        <v>179510</v>
      </c>
      <c r="HR84" s="54">
        <v>193720</v>
      </c>
      <c r="HS84" s="54">
        <v>41713</v>
      </c>
      <c r="HT84" s="54">
        <v>45119</v>
      </c>
      <c r="HU84" s="54">
        <v>231828</v>
      </c>
      <c r="HV84" s="54">
        <v>0</v>
      </c>
      <c r="HW84" s="54">
        <v>512380</v>
      </c>
      <c r="HX84" s="54">
        <v>69163</v>
      </c>
      <c r="HY84" s="54">
        <v>4169</v>
      </c>
      <c r="HZ84" s="54">
        <v>4810</v>
      </c>
      <c r="IA84" s="54">
        <v>29083</v>
      </c>
      <c r="IB84" s="54">
        <v>38536</v>
      </c>
      <c r="IC84" s="54">
        <v>145761</v>
      </c>
      <c r="ID84" s="54">
        <v>1346129</v>
      </c>
      <c r="IE84" s="54">
        <v>205879</v>
      </c>
      <c r="IF84" s="54">
        <v>237552</v>
      </c>
      <c r="IG84" s="54">
        <v>1436400</v>
      </c>
      <c r="IH84" s="54">
        <v>0</v>
      </c>
      <c r="II84" s="54">
        <v>3225960</v>
      </c>
      <c r="IJ84" s="54">
        <v>348164</v>
      </c>
      <c r="IK84" s="54">
        <v>53211</v>
      </c>
      <c r="IL84" s="54">
        <v>61428</v>
      </c>
      <c r="IM84" s="54">
        <v>371547</v>
      </c>
      <c r="IN84" s="54">
        <v>0</v>
      </c>
      <c r="IO84" s="54">
        <v>834350</v>
      </c>
      <c r="IP84" s="54">
        <v>125843</v>
      </c>
      <c r="IQ84" s="54">
        <v>19513</v>
      </c>
      <c r="IR84" s="54">
        <v>22057</v>
      </c>
      <c r="IS84" s="54">
        <v>135746</v>
      </c>
      <c r="IT84" s="54">
        <v>11605</v>
      </c>
      <c r="IU84" s="54">
        <v>314764</v>
      </c>
      <c r="IV84" s="54">
        <v>439783</v>
      </c>
      <c r="IW84" s="54">
        <v>150517</v>
      </c>
      <c r="IX84" s="54">
        <v>66741</v>
      </c>
      <c r="IY84" s="54">
        <v>398892</v>
      </c>
      <c r="IZ84" s="54">
        <v>394890</v>
      </c>
      <c r="JA84" s="54">
        <v>1450823</v>
      </c>
      <c r="JB84" s="54">
        <v>9421227</v>
      </c>
      <c r="JC84" s="54">
        <v>3830590</v>
      </c>
      <c r="JD84" s="54">
        <v>1896599</v>
      </c>
      <c r="JE84" s="54">
        <v>8418976</v>
      </c>
      <c r="JF84" s="54">
        <v>4093135</v>
      </c>
      <c r="JG84" s="54">
        <v>27660527</v>
      </c>
      <c r="JH84" s="54">
        <v>0</v>
      </c>
      <c r="JI84" s="54">
        <v>0</v>
      </c>
      <c r="JJ84" s="54">
        <v>0</v>
      </c>
      <c r="JK84" s="54">
        <v>0</v>
      </c>
      <c r="JL84" s="54">
        <v>0</v>
      </c>
      <c r="JM84" s="54">
        <v>0</v>
      </c>
      <c r="JN84" s="54">
        <v>9421227</v>
      </c>
      <c r="JO84" s="54">
        <v>3830590</v>
      </c>
      <c r="JP84" s="54">
        <v>1896599</v>
      </c>
      <c r="JQ84" s="54">
        <v>8418976</v>
      </c>
      <c r="JR84" s="54">
        <v>4093135</v>
      </c>
      <c r="JS84" s="54">
        <v>27660527</v>
      </c>
      <c r="JU84" s="5">
        <f t="shared" si="160"/>
        <v>3308099</v>
      </c>
      <c r="JV84" s="26">
        <f t="shared" si="161"/>
        <v>0</v>
      </c>
      <c r="JW84" s="5">
        <f t="shared" si="162"/>
        <v>4219929</v>
      </c>
      <c r="JX84" s="26">
        <f t="shared" si="163"/>
        <v>0</v>
      </c>
      <c r="JY84" s="5">
        <f t="shared" si="164"/>
        <v>983700</v>
      </c>
      <c r="JZ84" s="26">
        <f t="shared" si="165"/>
        <v>0</v>
      </c>
      <c r="KA84" s="5">
        <f t="shared" si="166"/>
        <v>3071855</v>
      </c>
      <c r="KB84" s="26">
        <f t="shared" si="167"/>
        <v>0</v>
      </c>
      <c r="KC84" s="5">
        <f t="shared" si="168"/>
        <v>109307</v>
      </c>
      <c r="KD84" s="26">
        <f t="shared" si="169"/>
        <v>0</v>
      </c>
      <c r="KE84" s="5">
        <f t="shared" si="170"/>
        <v>0</v>
      </c>
      <c r="KF84" s="26">
        <f t="shared" si="171"/>
        <v>0</v>
      </c>
      <c r="KG84" s="5">
        <f t="shared" si="172"/>
        <v>6424788</v>
      </c>
      <c r="KH84" s="26">
        <f t="shared" si="173"/>
        <v>0</v>
      </c>
      <c r="KI84" s="5">
        <f t="shared" si="174"/>
        <v>3225960</v>
      </c>
      <c r="KJ84" s="26">
        <f t="shared" si="175"/>
        <v>0</v>
      </c>
      <c r="KK84" s="5">
        <f t="shared" si="176"/>
        <v>3124801</v>
      </c>
      <c r="KL84" s="26">
        <f t="shared" si="177"/>
        <v>0</v>
      </c>
      <c r="KM84" s="5">
        <f t="shared" si="178"/>
        <v>337744</v>
      </c>
      <c r="KN84" s="26">
        <f t="shared" si="179"/>
        <v>0</v>
      </c>
      <c r="KO84" s="5">
        <f t="shared" si="180"/>
        <v>604801</v>
      </c>
      <c r="KP84" s="26">
        <f t="shared" si="181"/>
        <v>0</v>
      </c>
      <c r="KQ84" s="5">
        <f t="shared" si="182"/>
        <v>1415759</v>
      </c>
      <c r="KR84" s="26">
        <f t="shared" si="183"/>
        <v>0</v>
      </c>
      <c r="KS84" s="5">
        <f t="shared" si="184"/>
        <v>167168</v>
      </c>
      <c r="KT84" s="26">
        <f t="shared" si="185"/>
        <v>0</v>
      </c>
      <c r="KU84" s="5">
        <f t="shared" si="186"/>
        <v>75107</v>
      </c>
      <c r="KV84" s="26">
        <f t="shared" si="187"/>
        <v>0</v>
      </c>
      <c r="KW84" s="5">
        <f t="shared" si="188"/>
        <v>625340</v>
      </c>
      <c r="KX84" s="26">
        <f t="shared" si="189"/>
        <v>0</v>
      </c>
      <c r="KY84" s="5">
        <f t="shared" si="190"/>
        <v>27694358</v>
      </c>
      <c r="KZ84" s="26">
        <f t="shared" si="191"/>
        <v>0</v>
      </c>
      <c r="LA84" s="5">
        <f t="shared" si="233"/>
        <v>6318154</v>
      </c>
      <c r="LB84" s="26">
        <f t="shared" si="234"/>
        <v>0</v>
      </c>
      <c r="LC84" s="5">
        <f t="shared" si="235"/>
        <v>1012689</v>
      </c>
      <c r="LD84" s="26">
        <f t="shared" si="192"/>
        <v>0</v>
      </c>
      <c r="LE84" s="5">
        <f t="shared" si="193"/>
        <v>4663364</v>
      </c>
      <c r="LF84" s="26">
        <f t="shared" si="194"/>
        <v>0</v>
      </c>
      <c r="LG84" s="5">
        <f t="shared" si="195"/>
        <v>82306</v>
      </c>
      <c r="LH84" s="26">
        <f t="shared" si="196"/>
        <v>0</v>
      </c>
      <c r="LI84" s="5">
        <f t="shared" si="197"/>
        <v>3139390</v>
      </c>
      <c r="LJ84" s="26">
        <f t="shared" si="198"/>
        <v>0</v>
      </c>
      <c r="LK84" s="5">
        <f t="shared" si="199"/>
        <v>27001</v>
      </c>
      <c r="LL84" s="26">
        <f t="shared" si="200"/>
        <v>0</v>
      </c>
      <c r="LM84" s="5">
        <f t="shared" si="201"/>
        <v>0</v>
      </c>
      <c r="LN84" s="26">
        <f t="shared" si="202"/>
        <v>0</v>
      </c>
      <c r="LO84" s="5">
        <f t="shared" si="203"/>
        <v>517999</v>
      </c>
      <c r="LP84" s="26">
        <f t="shared" si="204"/>
        <v>0</v>
      </c>
      <c r="LQ84" s="5">
        <f t="shared" si="205"/>
        <v>2559805</v>
      </c>
      <c r="LR84" s="26">
        <f t="shared" si="206"/>
        <v>0</v>
      </c>
      <c r="LS84" s="5">
        <f t="shared" si="207"/>
        <v>440534</v>
      </c>
      <c r="LT84" s="26">
        <f t="shared" si="208"/>
        <v>0</v>
      </c>
      <c r="LU84" s="5">
        <f t="shared" si="209"/>
        <v>1485046</v>
      </c>
      <c r="LV84" s="26">
        <f t="shared" si="210"/>
        <v>0</v>
      </c>
      <c r="LW84" s="5">
        <f t="shared" si="211"/>
        <v>750691</v>
      </c>
      <c r="LX84" s="26">
        <f t="shared" si="212"/>
        <v>0</v>
      </c>
      <c r="LY84" s="5">
        <f t="shared" si="213"/>
        <v>179510</v>
      </c>
      <c r="LZ84" s="26">
        <f t="shared" si="214"/>
        <v>0</v>
      </c>
      <c r="MA84" s="5">
        <f t="shared" si="215"/>
        <v>512380</v>
      </c>
      <c r="MB84" s="26">
        <f t="shared" si="216"/>
        <v>0</v>
      </c>
      <c r="MC84" s="5">
        <f t="shared" si="217"/>
        <v>145761</v>
      </c>
      <c r="MD84" s="26">
        <f t="shared" si="218"/>
        <v>0</v>
      </c>
      <c r="ME84" s="5">
        <f t="shared" si="219"/>
        <v>3225960</v>
      </c>
      <c r="MF84" s="26">
        <f t="shared" si="220"/>
        <v>0</v>
      </c>
      <c r="MG84" s="5">
        <f t="shared" si="221"/>
        <v>834350</v>
      </c>
      <c r="MH84" s="26">
        <f t="shared" si="222"/>
        <v>0</v>
      </c>
      <c r="MI84" s="5">
        <f t="shared" si="223"/>
        <v>314764</v>
      </c>
      <c r="MJ84" s="26">
        <f t="shared" si="224"/>
        <v>0</v>
      </c>
      <c r="MK84" s="5">
        <f t="shared" si="225"/>
        <v>1450823</v>
      </c>
      <c r="ML84" s="26">
        <f t="shared" si="226"/>
        <v>0</v>
      </c>
      <c r="MM84" s="5">
        <f t="shared" si="227"/>
        <v>27660527</v>
      </c>
      <c r="MN84" s="26">
        <f t="shared" si="228"/>
        <v>0</v>
      </c>
      <c r="MO84" s="5">
        <f t="shared" si="229"/>
        <v>0</v>
      </c>
      <c r="MP84" s="26">
        <f t="shared" si="230"/>
        <v>0</v>
      </c>
      <c r="MQ84" s="5">
        <f t="shared" si="231"/>
        <v>27660527</v>
      </c>
      <c r="MR84" s="26">
        <f t="shared" si="232"/>
        <v>0</v>
      </c>
      <c r="MT84" s="5">
        <f t="shared" si="158"/>
        <v>0</v>
      </c>
      <c r="MV84" s="4">
        <f t="shared" si="159"/>
        <v>0</v>
      </c>
    </row>
    <row r="85" spans="1:368" x14ac:dyDescent="0.15">
      <c r="A85" s="155" t="s">
        <v>298</v>
      </c>
      <c r="B85" s="25" t="s">
        <v>464</v>
      </c>
      <c r="C85" s="105">
        <v>234076</v>
      </c>
      <c r="D85" s="105">
        <v>2011</v>
      </c>
      <c r="E85" s="106">
        <v>1</v>
      </c>
      <c r="F85" s="106">
        <v>1</v>
      </c>
      <c r="G85" s="107">
        <v>6128</v>
      </c>
      <c r="H85" s="107">
        <v>7698</v>
      </c>
      <c r="I85" s="108">
        <v>2223897661</v>
      </c>
      <c r="J85" s="108"/>
      <c r="K85" s="108">
        <v>5024342</v>
      </c>
      <c r="L85" s="108"/>
      <c r="M85" s="108">
        <v>43105234</v>
      </c>
      <c r="N85" s="108"/>
      <c r="O85" s="108">
        <v>55167489</v>
      </c>
      <c r="P85" s="108"/>
      <c r="Q85" s="108">
        <v>802265118</v>
      </c>
      <c r="R85" s="108"/>
      <c r="S85" s="108">
        <v>943626439</v>
      </c>
      <c r="T85" s="108"/>
      <c r="U85" s="108">
        <v>20136</v>
      </c>
      <c r="V85" s="108"/>
      <c r="W85" s="108">
        <v>43082</v>
      </c>
      <c r="X85" s="108"/>
      <c r="Y85" s="108">
        <v>23433</v>
      </c>
      <c r="Z85" s="108"/>
      <c r="AA85" s="108">
        <v>47547</v>
      </c>
      <c r="AB85" s="108"/>
      <c r="AC85" s="129">
        <v>11</v>
      </c>
      <c r="AD85" s="129">
        <v>13</v>
      </c>
      <c r="AE85" s="129">
        <v>0</v>
      </c>
      <c r="AF85" s="26">
        <v>6484423</v>
      </c>
      <c r="AG85" s="26">
        <v>5570730</v>
      </c>
      <c r="AH85" s="26">
        <v>730358</v>
      </c>
      <c r="AI85" s="26">
        <v>315535</v>
      </c>
      <c r="AJ85" s="26">
        <v>595569.56000000006</v>
      </c>
      <c r="AK85" s="36">
        <v>9</v>
      </c>
      <c r="AL85" s="26">
        <v>536012.6</v>
      </c>
      <c r="AM85" s="36">
        <v>10</v>
      </c>
      <c r="AN85" s="26">
        <v>241157</v>
      </c>
      <c r="AO85" s="36">
        <v>10</v>
      </c>
      <c r="AP85" s="26">
        <v>219233.64</v>
      </c>
      <c r="AQ85" s="36">
        <v>11</v>
      </c>
      <c r="AR85" s="26">
        <v>170418.48</v>
      </c>
      <c r="AS85" s="36">
        <v>27</v>
      </c>
      <c r="AT85" s="26">
        <v>143790.59</v>
      </c>
      <c r="AU85" s="36">
        <v>32</v>
      </c>
      <c r="AV85" s="26">
        <v>78963.210000000006</v>
      </c>
      <c r="AW85" s="36">
        <v>21.5</v>
      </c>
      <c r="AX85" s="26">
        <v>65296.5</v>
      </c>
      <c r="AY85" s="36">
        <v>26</v>
      </c>
      <c r="AZ85" s="61">
        <v>8049704</v>
      </c>
      <c r="BA85" s="61">
        <v>2588998</v>
      </c>
      <c r="BB85" s="61">
        <v>102916</v>
      </c>
      <c r="BC85" s="61">
        <v>809863</v>
      </c>
      <c r="BD85" s="61">
        <v>623596</v>
      </c>
      <c r="BE85" s="61">
        <v>12175077</v>
      </c>
      <c r="BF85" s="54">
        <v>0</v>
      </c>
      <c r="BG85" s="54">
        <v>0</v>
      </c>
      <c r="BH85" s="54">
        <v>0</v>
      </c>
      <c r="BI85" s="54">
        <v>0</v>
      </c>
      <c r="BJ85" s="54">
        <v>12973298</v>
      </c>
      <c r="BK85" s="54">
        <v>12973298</v>
      </c>
      <c r="BL85" s="61">
        <v>500000</v>
      </c>
      <c r="BM85" s="61">
        <v>0</v>
      </c>
      <c r="BN85" s="61">
        <v>0</v>
      </c>
      <c r="BO85" s="61">
        <v>0</v>
      </c>
      <c r="BP85" s="61">
        <v>0</v>
      </c>
      <c r="BQ85" s="61">
        <v>500000</v>
      </c>
      <c r="BR85" s="61">
        <v>2875457</v>
      </c>
      <c r="BS85" s="61">
        <v>2060176</v>
      </c>
      <c r="BT85" s="61">
        <v>88346</v>
      </c>
      <c r="BU85" s="61">
        <v>2194934</v>
      </c>
      <c r="BV85" s="61">
        <v>27284153</v>
      </c>
      <c r="BW85" s="61">
        <v>34503066</v>
      </c>
      <c r="BX85" s="61">
        <v>0</v>
      </c>
      <c r="BY85" s="61">
        <v>0</v>
      </c>
      <c r="BZ85" s="61">
        <v>0</v>
      </c>
      <c r="CA85" s="61">
        <v>0</v>
      </c>
      <c r="CB85" s="61">
        <v>0</v>
      </c>
      <c r="CC85" s="61">
        <v>0</v>
      </c>
      <c r="CD85" s="54">
        <v>0</v>
      </c>
      <c r="CE85" s="54">
        <v>0</v>
      </c>
      <c r="CF85" s="54">
        <v>0</v>
      </c>
      <c r="CG85" s="54">
        <v>0</v>
      </c>
      <c r="CH85" s="54">
        <v>0</v>
      </c>
      <c r="CI85" s="54">
        <v>0</v>
      </c>
      <c r="CJ85" s="54">
        <v>0</v>
      </c>
      <c r="CK85" s="54">
        <v>0</v>
      </c>
      <c r="CL85" s="54">
        <v>0</v>
      </c>
      <c r="CM85" s="54">
        <v>0</v>
      </c>
      <c r="CN85" s="54">
        <v>0</v>
      </c>
      <c r="CO85" s="54">
        <v>0</v>
      </c>
      <c r="CP85" s="54">
        <v>0</v>
      </c>
      <c r="CQ85" s="54">
        <v>0</v>
      </c>
      <c r="CR85" s="54">
        <v>0</v>
      </c>
      <c r="CS85" s="54">
        <v>0</v>
      </c>
      <c r="CT85" s="54">
        <v>0</v>
      </c>
      <c r="CU85" s="54">
        <v>0</v>
      </c>
      <c r="CV85" s="61">
        <v>4841342</v>
      </c>
      <c r="CW85" s="61">
        <v>4360723</v>
      </c>
      <c r="CX85" s="61">
        <v>40537</v>
      </c>
      <c r="CY85" s="61">
        <v>492602</v>
      </c>
      <c r="CZ85" s="61">
        <v>1869478</v>
      </c>
      <c r="DA85" s="61">
        <v>11604682</v>
      </c>
      <c r="DB85" s="61">
        <v>0</v>
      </c>
      <c r="DC85" s="61">
        <v>0</v>
      </c>
      <c r="DD85" s="61">
        <v>0</v>
      </c>
      <c r="DE85" s="61">
        <v>0</v>
      </c>
      <c r="DF85" s="61">
        <v>0</v>
      </c>
      <c r="DG85" s="61">
        <v>0</v>
      </c>
      <c r="DH85" s="61">
        <v>493313</v>
      </c>
      <c r="DI85" s="61">
        <v>154480</v>
      </c>
      <c r="DJ85" s="61">
        <v>47958</v>
      </c>
      <c r="DK85" s="61">
        <v>22971</v>
      </c>
      <c r="DL85" s="61">
        <v>218010</v>
      </c>
      <c r="DM85" s="61">
        <v>936732</v>
      </c>
      <c r="DN85" s="61">
        <v>0</v>
      </c>
      <c r="DO85" s="61">
        <v>0</v>
      </c>
      <c r="DP85" s="61">
        <v>0</v>
      </c>
      <c r="DQ85" s="61">
        <v>443318</v>
      </c>
      <c r="DR85" s="61">
        <v>3446741</v>
      </c>
      <c r="DS85" s="61">
        <v>3890059</v>
      </c>
      <c r="DT85" s="54">
        <v>5755</v>
      </c>
      <c r="DU85" s="54">
        <v>5873</v>
      </c>
      <c r="DV85" s="54">
        <v>6200</v>
      </c>
      <c r="DW85" s="54">
        <v>140558</v>
      </c>
      <c r="DX85" s="54">
        <v>16564</v>
      </c>
      <c r="DY85" s="54">
        <v>174950</v>
      </c>
      <c r="DZ85" s="61">
        <v>0</v>
      </c>
      <c r="EA85" s="61">
        <v>31</v>
      </c>
      <c r="EB85" s="61">
        <v>71</v>
      </c>
      <c r="EC85" s="61">
        <v>225</v>
      </c>
      <c r="ED85" s="61">
        <v>552115</v>
      </c>
      <c r="EE85" s="61">
        <v>552442</v>
      </c>
      <c r="EF85" s="61">
        <v>10300</v>
      </c>
      <c r="EG85" s="61">
        <v>0</v>
      </c>
      <c r="EH85" s="61">
        <v>5044</v>
      </c>
      <c r="EI85" s="61">
        <v>51818</v>
      </c>
      <c r="EJ85" s="61">
        <v>1061538</v>
      </c>
      <c r="EK85" s="61">
        <v>1128700</v>
      </c>
      <c r="EL85" s="61">
        <v>16775871</v>
      </c>
      <c r="EM85" s="61">
        <v>9170281</v>
      </c>
      <c r="EN85" s="61">
        <v>291072</v>
      </c>
      <c r="EO85" s="61">
        <v>4156289</v>
      </c>
      <c r="EP85" s="61">
        <v>48045493</v>
      </c>
      <c r="EQ85" s="61">
        <v>78439006</v>
      </c>
      <c r="ER85" s="61">
        <v>3169821</v>
      </c>
      <c r="ES85" s="61">
        <v>524970</v>
      </c>
      <c r="ET85" s="61">
        <v>648707</v>
      </c>
      <c r="EU85" s="61">
        <v>7711655</v>
      </c>
      <c r="EV85" s="61">
        <v>634838</v>
      </c>
      <c r="EW85" s="61">
        <v>12689991</v>
      </c>
      <c r="EX85" s="61">
        <v>1275000</v>
      </c>
      <c r="EY85" s="61">
        <v>470000</v>
      </c>
      <c r="EZ85" s="61">
        <v>114500</v>
      </c>
      <c r="FA85" s="61">
        <v>48000</v>
      </c>
      <c r="FB85" s="61">
        <v>0</v>
      </c>
      <c r="FC85" s="61">
        <v>1907500</v>
      </c>
      <c r="FD85" s="61">
        <v>4591248</v>
      </c>
      <c r="FE85" s="61">
        <v>2723070</v>
      </c>
      <c r="FF85" s="61">
        <v>1757001</v>
      </c>
      <c r="FG85" s="61">
        <v>4999385</v>
      </c>
      <c r="FH85" s="61">
        <v>0</v>
      </c>
      <c r="FI85" s="61">
        <v>14070704</v>
      </c>
      <c r="FJ85" s="61">
        <v>0</v>
      </c>
      <c r="FK85" s="61">
        <v>0</v>
      </c>
      <c r="FL85" s="61">
        <v>0</v>
      </c>
      <c r="FM85" s="61">
        <v>0</v>
      </c>
      <c r="FN85" s="61">
        <v>0</v>
      </c>
      <c r="FO85" s="61">
        <v>0</v>
      </c>
      <c r="FP85" s="61">
        <v>1156582</v>
      </c>
      <c r="FQ85" s="61">
        <v>507874</v>
      </c>
      <c r="FR85" s="61">
        <v>262227</v>
      </c>
      <c r="FS85" s="61">
        <v>186874</v>
      </c>
      <c r="FT85" s="61">
        <v>10838363</v>
      </c>
      <c r="FU85" s="61">
        <v>12951920</v>
      </c>
      <c r="FV85" s="61">
        <v>0</v>
      </c>
      <c r="FW85" s="61">
        <v>0</v>
      </c>
      <c r="FX85" s="61">
        <v>0</v>
      </c>
      <c r="FY85" s="61">
        <v>0</v>
      </c>
      <c r="FZ85" s="61">
        <v>0</v>
      </c>
      <c r="GA85" s="61">
        <v>0</v>
      </c>
      <c r="GB85" s="61">
        <v>2239996</v>
      </c>
      <c r="GC85" s="61">
        <v>1021188</v>
      </c>
      <c r="GD85" s="61">
        <v>474151</v>
      </c>
      <c r="GE85" s="61">
        <v>0</v>
      </c>
      <c r="GF85" s="61">
        <v>0</v>
      </c>
      <c r="GG85" s="61">
        <v>3735335</v>
      </c>
      <c r="GH85" s="61">
        <v>276806</v>
      </c>
      <c r="GI85" s="61">
        <v>186612</v>
      </c>
      <c r="GJ85" s="61">
        <v>92687</v>
      </c>
      <c r="GK85" s="61">
        <v>489788</v>
      </c>
      <c r="GL85" s="61">
        <v>77826</v>
      </c>
      <c r="GM85" s="61">
        <v>1123719</v>
      </c>
      <c r="GN85" s="61">
        <v>1135799</v>
      </c>
      <c r="GO85" s="61">
        <v>591163</v>
      </c>
      <c r="GP85" s="61">
        <v>496981</v>
      </c>
      <c r="GQ85" s="61">
        <v>2354080</v>
      </c>
      <c r="GR85" s="61">
        <v>10649</v>
      </c>
      <c r="GS85" s="61">
        <v>4588672</v>
      </c>
      <c r="GT85" s="61">
        <v>529029</v>
      </c>
      <c r="GU85" s="61">
        <v>24002</v>
      </c>
      <c r="GV85" s="61">
        <v>9385</v>
      </c>
      <c r="GW85" s="61">
        <v>494515</v>
      </c>
      <c r="GX85" s="61">
        <v>94194</v>
      </c>
      <c r="GY85" s="61">
        <v>1151125</v>
      </c>
      <c r="GZ85" s="61">
        <v>1471206</v>
      </c>
      <c r="HA85" s="61">
        <v>670444</v>
      </c>
      <c r="HB85" s="61">
        <v>467449</v>
      </c>
      <c r="HC85" s="61">
        <v>1178211</v>
      </c>
      <c r="HD85" s="61">
        <v>88304</v>
      </c>
      <c r="HE85" s="61">
        <v>3875614</v>
      </c>
      <c r="HF85" s="61">
        <v>205365</v>
      </c>
      <c r="HG85" s="61">
        <v>0</v>
      </c>
      <c r="HH85" s="61">
        <v>1376</v>
      </c>
      <c r="HI85" s="61">
        <v>2477</v>
      </c>
      <c r="HJ85" s="61">
        <v>680013</v>
      </c>
      <c r="HK85" s="61">
        <v>889231</v>
      </c>
      <c r="HL85" s="54">
        <v>0</v>
      </c>
      <c r="HM85" s="54">
        <v>0</v>
      </c>
      <c r="HN85" s="54">
        <v>0</v>
      </c>
      <c r="HO85" s="54">
        <v>0</v>
      </c>
      <c r="HP85" s="54">
        <v>0</v>
      </c>
      <c r="HQ85" s="54">
        <v>0</v>
      </c>
      <c r="HR85" s="61">
        <v>97068</v>
      </c>
      <c r="HS85" s="61">
        <v>55789</v>
      </c>
      <c r="HT85" s="61">
        <v>14498</v>
      </c>
      <c r="HU85" s="61">
        <v>464577</v>
      </c>
      <c r="HV85" s="61">
        <v>10129625</v>
      </c>
      <c r="HW85" s="61">
        <v>10761557</v>
      </c>
      <c r="HX85" s="61">
        <v>0</v>
      </c>
      <c r="HY85" s="61">
        <v>0</v>
      </c>
      <c r="HZ85" s="61">
        <v>0</v>
      </c>
      <c r="IA85" s="61">
        <v>0</v>
      </c>
      <c r="IB85" s="61">
        <v>61575</v>
      </c>
      <c r="IC85" s="61">
        <v>61575</v>
      </c>
      <c r="ID85" s="54">
        <v>0</v>
      </c>
      <c r="IE85" s="54">
        <v>0</v>
      </c>
      <c r="IF85" s="54">
        <v>0</v>
      </c>
      <c r="IG85" s="54">
        <v>0</v>
      </c>
      <c r="IH85" s="54">
        <v>0</v>
      </c>
      <c r="II85" s="54">
        <v>0</v>
      </c>
      <c r="IJ85" s="61">
        <v>93973</v>
      </c>
      <c r="IK85" s="61">
        <v>21137</v>
      </c>
      <c r="IL85" s="61">
        <v>15041</v>
      </c>
      <c r="IM85" s="61">
        <v>228559</v>
      </c>
      <c r="IN85" s="61">
        <v>949947</v>
      </c>
      <c r="IO85" s="61">
        <v>1308657</v>
      </c>
      <c r="IP85" s="61">
        <v>2094</v>
      </c>
      <c r="IQ85" s="61">
        <v>1737</v>
      </c>
      <c r="IR85" s="61">
        <v>4172</v>
      </c>
      <c r="IS85" s="61">
        <v>17527</v>
      </c>
      <c r="IT85" s="61">
        <v>30526</v>
      </c>
      <c r="IU85" s="61">
        <v>56056</v>
      </c>
      <c r="IV85" s="61">
        <v>495600</v>
      </c>
      <c r="IW85" s="61">
        <v>183216</v>
      </c>
      <c r="IX85" s="61">
        <v>259340</v>
      </c>
      <c r="IY85" s="61">
        <v>721588</v>
      </c>
      <c r="IZ85" s="61">
        <v>1568942</v>
      </c>
      <c r="JA85" s="61">
        <v>3228686</v>
      </c>
      <c r="JB85" s="61">
        <v>16739587</v>
      </c>
      <c r="JC85" s="61">
        <v>6981202</v>
      </c>
      <c r="JD85" s="61">
        <v>4617515</v>
      </c>
      <c r="JE85" s="61">
        <v>18897236</v>
      </c>
      <c r="JF85" s="61">
        <v>25164802</v>
      </c>
      <c r="JG85" s="61">
        <v>72400342</v>
      </c>
      <c r="JH85" s="61">
        <v>0</v>
      </c>
      <c r="JI85" s="61">
        <v>0</v>
      </c>
      <c r="JJ85" s="61">
        <v>0</v>
      </c>
      <c r="JK85" s="61">
        <v>0</v>
      </c>
      <c r="JL85" s="61">
        <v>0</v>
      </c>
      <c r="JM85" s="61">
        <v>0</v>
      </c>
      <c r="JN85" s="61">
        <v>16739587</v>
      </c>
      <c r="JO85" s="61">
        <v>6981202</v>
      </c>
      <c r="JP85" s="61">
        <v>4617515</v>
      </c>
      <c r="JQ85" s="61">
        <v>18897236</v>
      </c>
      <c r="JR85" s="61">
        <v>25164802</v>
      </c>
      <c r="JS85" s="61">
        <v>72400342</v>
      </c>
      <c r="JU85" s="5">
        <f t="shared" si="160"/>
        <v>12175077</v>
      </c>
      <c r="JV85" s="26">
        <f t="shared" si="161"/>
        <v>0</v>
      </c>
      <c r="JW85" s="5">
        <f t="shared" si="162"/>
        <v>12973298</v>
      </c>
      <c r="JX85" s="26">
        <f t="shared" si="163"/>
        <v>0</v>
      </c>
      <c r="JY85" s="5">
        <f t="shared" si="164"/>
        <v>500000</v>
      </c>
      <c r="JZ85" s="26">
        <f t="shared" si="165"/>
        <v>0</v>
      </c>
      <c r="KA85" s="5">
        <f t="shared" si="166"/>
        <v>34503066</v>
      </c>
      <c r="KB85" s="26">
        <f t="shared" si="167"/>
        <v>0</v>
      </c>
      <c r="KC85" s="5">
        <f t="shared" si="168"/>
        <v>0</v>
      </c>
      <c r="KD85" s="26">
        <f t="shared" si="169"/>
        <v>0</v>
      </c>
      <c r="KE85" s="5">
        <f t="shared" si="170"/>
        <v>0</v>
      </c>
      <c r="KF85" s="26">
        <f t="shared" si="171"/>
        <v>0</v>
      </c>
      <c r="KG85" s="5">
        <f t="shared" si="172"/>
        <v>0</v>
      </c>
      <c r="KH85" s="26">
        <f t="shared" si="173"/>
        <v>0</v>
      </c>
      <c r="KI85" s="5">
        <f t="shared" si="174"/>
        <v>0</v>
      </c>
      <c r="KJ85" s="26">
        <f t="shared" si="175"/>
        <v>0</v>
      </c>
      <c r="KK85" s="5">
        <f t="shared" si="176"/>
        <v>11604682</v>
      </c>
      <c r="KL85" s="26">
        <f t="shared" si="177"/>
        <v>0</v>
      </c>
      <c r="KM85" s="5">
        <f t="shared" si="178"/>
        <v>0</v>
      </c>
      <c r="KN85" s="26">
        <f t="shared" si="179"/>
        <v>0</v>
      </c>
      <c r="KO85" s="5">
        <f t="shared" si="180"/>
        <v>936732</v>
      </c>
      <c r="KP85" s="26">
        <f t="shared" si="181"/>
        <v>0</v>
      </c>
      <c r="KQ85" s="5">
        <f t="shared" si="182"/>
        <v>3890059</v>
      </c>
      <c r="KR85" s="26">
        <f t="shared" si="183"/>
        <v>0</v>
      </c>
      <c r="KS85" s="5">
        <f t="shared" si="184"/>
        <v>174950</v>
      </c>
      <c r="KT85" s="26">
        <f t="shared" si="185"/>
        <v>0</v>
      </c>
      <c r="KU85" s="5">
        <f t="shared" si="186"/>
        <v>552442</v>
      </c>
      <c r="KV85" s="26">
        <f t="shared" si="187"/>
        <v>0</v>
      </c>
      <c r="KW85" s="5">
        <f t="shared" si="188"/>
        <v>1128700</v>
      </c>
      <c r="KX85" s="26">
        <f t="shared" si="189"/>
        <v>0</v>
      </c>
      <c r="KY85" s="5">
        <f t="shared" si="190"/>
        <v>78439006</v>
      </c>
      <c r="KZ85" s="26">
        <f t="shared" si="191"/>
        <v>0</v>
      </c>
      <c r="LA85" s="5">
        <f t="shared" si="233"/>
        <v>12689991</v>
      </c>
      <c r="LB85" s="26">
        <f t="shared" si="234"/>
        <v>0</v>
      </c>
      <c r="LC85" s="5">
        <f t="shared" si="235"/>
        <v>1907500</v>
      </c>
      <c r="LD85" s="26">
        <f t="shared" si="192"/>
        <v>0</v>
      </c>
      <c r="LE85" s="5">
        <f t="shared" si="193"/>
        <v>14070704</v>
      </c>
      <c r="LF85" s="26">
        <f t="shared" si="194"/>
        <v>0</v>
      </c>
      <c r="LG85" s="5">
        <f t="shared" si="195"/>
        <v>0</v>
      </c>
      <c r="LH85" s="26">
        <f t="shared" si="196"/>
        <v>0</v>
      </c>
      <c r="LI85" s="5">
        <f t="shared" si="197"/>
        <v>12951920</v>
      </c>
      <c r="LJ85" s="26">
        <f t="shared" si="198"/>
        <v>0</v>
      </c>
      <c r="LK85" s="5">
        <f t="shared" si="199"/>
        <v>0</v>
      </c>
      <c r="LL85" s="26">
        <f t="shared" si="200"/>
        <v>0</v>
      </c>
      <c r="LM85" s="5">
        <f t="shared" si="201"/>
        <v>3735335</v>
      </c>
      <c r="LN85" s="26">
        <f t="shared" si="202"/>
        <v>0</v>
      </c>
      <c r="LO85" s="5">
        <f t="shared" si="203"/>
        <v>1123719</v>
      </c>
      <c r="LP85" s="26">
        <f t="shared" si="204"/>
        <v>0</v>
      </c>
      <c r="LQ85" s="5">
        <f t="shared" si="205"/>
        <v>4588672</v>
      </c>
      <c r="LR85" s="26">
        <f t="shared" si="206"/>
        <v>0</v>
      </c>
      <c r="LS85" s="5">
        <f t="shared" si="207"/>
        <v>1151125</v>
      </c>
      <c r="LT85" s="26">
        <f t="shared" si="208"/>
        <v>0</v>
      </c>
      <c r="LU85" s="5">
        <f t="shared" si="209"/>
        <v>3875614</v>
      </c>
      <c r="LV85" s="26">
        <f t="shared" si="210"/>
        <v>0</v>
      </c>
      <c r="LW85" s="5">
        <f t="shared" si="211"/>
        <v>889231</v>
      </c>
      <c r="LX85" s="26">
        <f t="shared" si="212"/>
        <v>0</v>
      </c>
      <c r="LY85" s="5">
        <f t="shared" si="213"/>
        <v>0</v>
      </c>
      <c r="LZ85" s="26">
        <f t="shared" si="214"/>
        <v>0</v>
      </c>
      <c r="MA85" s="5">
        <f t="shared" si="215"/>
        <v>10761557</v>
      </c>
      <c r="MB85" s="26">
        <f t="shared" si="216"/>
        <v>0</v>
      </c>
      <c r="MC85" s="5">
        <f t="shared" si="217"/>
        <v>61575</v>
      </c>
      <c r="MD85" s="26">
        <f t="shared" si="218"/>
        <v>0</v>
      </c>
      <c r="ME85" s="5">
        <f t="shared" si="219"/>
        <v>0</v>
      </c>
      <c r="MF85" s="26">
        <f t="shared" si="220"/>
        <v>0</v>
      </c>
      <c r="MG85" s="5">
        <f t="shared" si="221"/>
        <v>1308657</v>
      </c>
      <c r="MH85" s="26">
        <f t="shared" si="222"/>
        <v>0</v>
      </c>
      <c r="MI85" s="5">
        <f t="shared" si="223"/>
        <v>56056</v>
      </c>
      <c r="MJ85" s="26">
        <f t="shared" si="224"/>
        <v>0</v>
      </c>
      <c r="MK85" s="5">
        <f>SUM(IV85:IZ85)</f>
        <v>3228686</v>
      </c>
      <c r="ML85" s="26">
        <f>JA85-MK85</f>
        <v>0</v>
      </c>
      <c r="MM85" s="5">
        <f t="shared" si="227"/>
        <v>72400342</v>
      </c>
      <c r="MN85" s="26">
        <f t="shared" si="228"/>
        <v>0</v>
      </c>
      <c r="MO85" s="5">
        <f t="shared" si="229"/>
        <v>0</v>
      </c>
      <c r="MP85" s="26">
        <f t="shared" si="230"/>
        <v>0</v>
      </c>
      <c r="MQ85" s="5">
        <f t="shared" si="231"/>
        <v>72400342</v>
      </c>
      <c r="MR85" s="26">
        <f t="shared" si="232"/>
        <v>0</v>
      </c>
      <c r="MT85" s="5">
        <f t="shared" si="158"/>
        <v>0</v>
      </c>
      <c r="MV85" s="4">
        <f t="shared" si="159"/>
        <v>0</v>
      </c>
    </row>
    <row r="86" spans="1:368" x14ac:dyDescent="0.15">
      <c r="A86" s="155" t="s">
        <v>300</v>
      </c>
      <c r="B86" s="25" t="s">
        <v>464</v>
      </c>
      <c r="C86" s="109">
        <v>233921</v>
      </c>
      <c r="D86" s="105">
        <v>2011</v>
      </c>
      <c r="E86" s="106">
        <v>1</v>
      </c>
      <c r="F86" s="106">
        <v>1</v>
      </c>
      <c r="G86" s="107">
        <v>13386</v>
      </c>
      <c r="H86" s="107">
        <v>9798</v>
      </c>
      <c r="I86" s="108">
        <v>1025539000</v>
      </c>
      <c r="J86" s="108"/>
      <c r="K86" s="108">
        <v>5978000</v>
      </c>
      <c r="L86" s="108"/>
      <c r="M86" s="108">
        <v>33392000</v>
      </c>
      <c r="N86" s="108"/>
      <c r="O86" s="108">
        <v>63760000</v>
      </c>
      <c r="P86" s="108"/>
      <c r="Q86" s="108">
        <v>444272000</v>
      </c>
      <c r="R86" s="108"/>
      <c r="S86" s="108">
        <v>742191000</v>
      </c>
      <c r="T86" s="108"/>
      <c r="U86" s="108">
        <v>17591</v>
      </c>
      <c r="V86" s="108"/>
      <c r="W86" s="108">
        <v>31219</v>
      </c>
      <c r="X86" s="108"/>
      <c r="Y86" s="108">
        <v>20000</v>
      </c>
      <c r="Z86" s="108"/>
      <c r="AA86" s="108">
        <v>33900</v>
      </c>
      <c r="AB86" s="108"/>
      <c r="AC86" s="129">
        <v>11</v>
      </c>
      <c r="AD86" s="129">
        <v>10</v>
      </c>
      <c r="AE86" s="129">
        <v>0</v>
      </c>
      <c r="AF86" s="26">
        <v>5203550</v>
      </c>
      <c r="AG86" s="26">
        <v>3242718</v>
      </c>
      <c r="AH86" s="26">
        <v>650651</v>
      </c>
      <c r="AI86" s="26">
        <v>330416</v>
      </c>
      <c r="AJ86" s="26">
        <v>619369.6</v>
      </c>
      <c r="AK86" s="36">
        <v>7.5</v>
      </c>
      <c r="AL86" s="26">
        <v>516141.33</v>
      </c>
      <c r="AM86" s="36">
        <v>9</v>
      </c>
      <c r="AN86" s="26">
        <v>153249.57</v>
      </c>
      <c r="AO86" s="36">
        <v>7</v>
      </c>
      <c r="AP86" s="26">
        <v>134093.38</v>
      </c>
      <c r="AQ86" s="36">
        <v>8</v>
      </c>
      <c r="AR86" s="26">
        <v>184630.92</v>
      </c>
      <c r="AS86" s="36">
        <v>24</v>
      </c>
      <c r="AT86" s="26">
        <v>164116.37</v>
      </c>
      <c r="AU86" s="36">
        <v>27</v>
      </c>
      <c r="AV86" s="26">
        <v>61784.94</v>
      </c>
      <c r="AW86" s="36">
        <v>16</v>
      </c>
      <c r="AX86" s="26">
        <v>52029.42</v>
      </c>
      <c r="AY86" s="36">
        <v>19</v>
      </c>
      <c r="AZ86" s="54">
        <v>16339537</v>
      </c>
      <c r="BA86" s="54">
        <v>2498388</v>
      </c>
      <c r="BB86" s="54">
        <v>141204</v>
      </c>
      <c r="BC86" s="54">
        <v>0</v>
      </c>
      <c r="BD86" s="54">
        <v>0</v>
      </c>
      <c r="BE86" s="54">
        <v>18979129</v>
      </c>
      <c r="BF86" s="54">
        <v>0</v>
      </c>
      <c r="BG86" s="54">
        <v>0</v>
      </c>
      <c r="BH86" s="54">
        <v>0</v>
      </c>
      <c r="BI86" s="54">
        <v>2140751</v>
      </c>
      <c r="BJ86" s="54">
        <v>5096341</v>
      </c>
      <c r="BK86" s="54">
        <v>7237092</v>
      </c>
      <c r="BL86" s="54">
        <v>2361547</v>
      </c>
      <c r="BM86" s="54">
        <v>182500</v>
      </c>
      <c r="BN86" s="54">
        <v>0</v>
      </c>
      <c r="BO86" s="54">
        <f>3303+4250</f>
        <v>7553</v>
      </c>
      <c r="BP86" s="54">
        <v>0</v>
      </c>
      <c r="BQ86" s="54">
        <v>2551600</v>
      </c>
      <c r="BR86" s="54">
        <v>9026362</v>
      </c>
      <c r="BS86" s="54">
        <v>587591</v>
      </c>
      <c r="BT86" s="54">
        <v>501976</v>
      </c>
      <c r="BU86" s="54">
        <f>2524728+2595421</f>
        <v>5120149</v>
      </c>
      <c r="BV86" s="54">
        <v>613901</v>
      </c>
      <c r="BW86" s="54">
        <v>15849980</v>
      </c>
      <c r="BX86" s="54">
        <v>185000</v>
      </c>
      <c r="BY86" s="54">
        <v>0</v>
      </c>
      <c r="BZ86" s="54">
        <v>0</v>
      </c>
      <c r="CA86" s="54">
        <v>0</v>
      </c>
      <c r="CB86" s="54">
        <v>0</v>
      </c>
      <c r="CC86" s="54">
        <v>185000</v>
      </c>
      <c r="CD86" s="54">
        <v>0</v>
      </c>
      <c r="CE86" s="54">
        <v>0</v>
      </c>
      <c r="CF86" s="54">
        <v>0</v>
      </c>
      <c r="CG86" s="54">
        <v>0</v>
      </c>
      <c r="CH86" s="54">
        <v>492</v>
      </c>
      <c r="CI86" s="54">
        <v>492</v>
      </c>
      <c r="CJ86" s="54">
        <v>0</v>
      </c>
      <c r="CK86" s="54">
        <v>0</v>
      </c>
      <c r="CL86" s="54">
        <v>0</v>
      </c>
      <c r="CM86" s="54">
        <v>0</v>
      </c>
      <c r="CN86" s="54">
        <v>353531</v>
      </c>
      <c r="CO86" s="54">
        <v>353531</v>
      </c>
      <c r="CP86" s="54">
        <v>0</v>
      </c>
      <c r="CQ86" s="54">
        <v>0</v>
      </c>
      <c r="CR86" s="54">
        <v>0</v>
      </c>
      <c r="CS86" s="54">
        <v>0</v>
      </c>
      <c r="CT86" s="54">
        <v>0</v>
      </c>
      <c r="CU86" s="54">
        <v>0</v>
      </c>
      <c r="CV86" s="54">
        <v>6505429</v>
      </c>
      <c r="CW86" s="54">
        <v>4158382</v>
      </c>
      <c r="CX86" s="54">
        <v>30024</v>
      </c>
      <c r="CY86" s="54">
        <v>234960</v>
      </c>
      <c r="CZ86" s="54">
        <v>1539075</v>
      </c>
      <c r="DA86" s="54">
        <v>12467870</v>
      </c>
      <c r="DB86" s="54">
        <v>2966002</v>
      </c>
      <c r="DC86" s="54">
        <v>790934</v>
      </c>
      <c r="DD86" s="54">
        <v>197733</v>
      </c>
      <c r="DE86" s="54">
        <v>0</v>
      </c>
      <c r="DF86" s="54">
        <v>0</v>
      </c>
      <c r="DG86" s="54">
        <v>3954669</v>
      </c>
      <c r="DH86" s="54">
        <v>1225272</v>
      </c>
      <c r="DI86" s="54">
        <v>71593</v>
      </c>
      <c r="DJ86" s="54">
        <v>11160</v>
      </c>
      <c r="DK86" s="54">
        <v>28126</v>
      </c>
      <c r="DL86" s="54">
        <v>363942</v>
      </c>
      <c r="DM86" s="54">
        <v>1700093</v>
      </c>
      <c r="DN86" s="54">
        <v>580535</v>
      </c>
      <c r="DO86" s="54">
        <v>160063</v>
      </c>
      <c r="DP86" s="54">
        <v>73641</v>
      </c>
      <c r="DQ86" s="54">
        <v>184500</v>
      </c>
      <c r="DR86" s="54">
        <v>385698</v>
      </c>
      <c r="DS86" s="54">
        <v>1384435</v>
      </c>
      <c r="DT86" s="54">
        <v>0</v>
      </c>
      <c r="DU86" s="54">
        <v>0</v>
      </c>
      <c r="DV86" s="54">
        <v>0</v>
      </c>
      <c r="DW86" s="54">
        <v>0</v>
      </c>
      <c r="DX86" s="54">
        <v>0</v>
      </c>
      <c r="DY86" s="54">
        <v>0</v>
      </c>
      <c r="DZ86" s="54">
        <v>501415</v>
      </c>
      <c r="EA86" s="54">
        <v>93471</v>
      </c>
      <c r="EB86" s="54">
        <v>121331</v>
      </c>
      <c r="EC86" s="54">
        <v>1141677</v>
      </c>
      <c r="ED86" s="54">
        <v>160787</v>
      </c>
      <c r="EE86" s="54">
        <v>2018681</v>
      </c>
      <c r="EF86" s="54">
        <v>11500</v>
      </c>
      <c r="EG86" s="54">
        <v>0</v>
      </c>
      <c r="EH86" s="54">
        <v>0</v>
      </c>
      <c r="EI86" s="54">
        <v>106074</v>
      </c>
      <c r="EJ86" s="54">
        <v>109409</v>
      </c>
      <c r="EK86" s="54">
        <v>226983</v>
      </c>
      <c r="EL86" s="54">
        <v>39702599</v>
      </c>
      <c r="EM86" s="54">
        <v>8542921</v>
      </c>
      <c r="EN86" s="54">
        <v>1077069</v>
      </c>
      <c r="EO86" s="54">
        <f>3281653+5682136</f>
        <v>8963789</v>
      </c>
      <c r="EP86" s="54">
        <v>8623174</v>
      </c>
      <c r="EQ86" s="54">
        <v>66909553</v>
      </c>
      <c r="ER86" s="54">
        <v>2613187</v>
      </c>
      <c r="ES86" s="54">
        <v>538797</v>
      </c>
      <c r="ET86" s="54">
        <v>535122</v>
      </c>
      <c r="EU86" s="54">
        <f>2439688+2900893</f>
        <v>5340581</v>
      </c>
      <c r="EV86" s="54">
        <v>346779</v>
      </c>
      <c r="EW86" s="54">
        <v>9374465</v>
      </c>
      <c r="EX86" s="54">
        <v>1175000</v>
      </c>
      <c r="EY86" s="54">
        <v>248086</v>
      </c>
      <c r="EZ86" s="54">
        <v>121682</v>
      </c>
      <c r="FA86" s="54">
        <v>15063</v>
      </c>
      <c r="FB86" s="54">
        <v>0</v>
      </c>
      <c r="FC86" s="54">
        <v>1559831</v>
      </c>
      <c r="FD86" s="54">
        <v>5553325</v>
      </c>
      <c r="FE86" s="54">
        <v>1935016</v>
      </c>
      <c r="FF86" s="54">
        <v>785277</v>
      </c>
      <c r="FG86" s="54">
        <v>2864102</v>
      </c>
      <c r="FH86" s="54">
        <v>0</v>
      </c>
      <c r="FI86" s="54">
        <v>11137720</v>
      </c>
      <c r="FJ86" s="54">
        <v>185000</v>
      </c>
      <c r="FK86" s="54">
        <v>0</v>
      </c>
      <c r="FL86" s="54">
        <v>0</v>
      </c>
      <c r="FM86" s="54">
        <v>0</v>
      </c>
      <c r="FN86" s="54">
        <v>0</v>
      </c>
      <c r="FO86" s="54">
        <v>185000</v>
      </c>
      <c r="FP86" s="54">
        <v>1366470</v>
      </c>
      <c r="FQ86" s="54">
        <v>184525</v>
      </c>
      <c r="FR86" s="54">
        <v>130420</v>
      </c>
      <c r="FS86" s="54">
        <v>78436</v>
      </c>
      <c r="FT86" s="54">
        <v>6737237</v>
      </c>
      <c r="FU86" s="54">
        <v>8497088</v>
      </c>
      <c r="FV86" s="54">
        <v>0</v>
      </c>
      <c r="FW86" s="54">
        <v>0</v>
      </c>
      <c r="FX86" s="54">
        <v>0</v>
      </c>
      <c r="FY86" s="54">
        <v>0</v>
      </c>
      <c r="FZ86" s="54">
        <v>0</v>
      </c>
      <c r="GA86" s="54">
        <v>0</v>
      </c>
      <c r="GB86" s="54">
        <v>2520</v>
      </c>
      <c r="GC86" s="54">
        <v>13825</v>
      </c>
      <c r="GD86" s="54">
        <v>168</v>
      </c>
      <c r="GE86" s="54">
        <v>47303</v>
      </c>
      <c r="GF86" s="54">
        <v>19224</v>
      </c>
      <c r="GG86" s="54">
        <v>83040</v>
      </c>
      <c r="GH86" s="54">
        <v>243513</v>
      </c>
      <c r="GI86" s="54">
        <v>186399</v>
      </c>
      <c r="GJ86" s="54">
        <v>138603</v>
      </c>
      <c r="GK86" s="54">
        <v>412552</v>
      </c>
      <c r="GL86" s="54">
        <v>0</v>
      </c>
      <c r="GM86" s="54">
        <v>981067</v>
      </c>
      <c r="GN86" s="54">
        <v>1668574</v>
      </c>
      <c r="GO86" s="54">
        <v>520778</v>
      </c>
      <c r="GP86" s="54">
        <v>252953</v>
      </c>
      <c r="GQ86" s="54">
        <v>1616942</v>
      </c>
      <c r="GR86" s="54">
        <v>9936</v>
      </c>
      <c r="GS86" s="54">
        <v>4069183</v>
      </c>
      <c r="GT86" s="54">
        <v>636298</v>
      </c>
      <c r="GU86" s="54">
        <v>116805</v>
      </c>
      <c r="GV86" s="54">
        <v>84078</v>
      </c>
      <c r="GW86" s="54">
        <v>540480</v>
      </c>
      <c r="GX86" s="54">
        <v>201881</v>
      </c>
      <c r="GY86" s="54">
        <v>1579542</v>
      </c>
      <c r="GZ86" s="54">
        <v>1767989</v>
      </c>
      <c r="HA86" s="54">
        <v>318620</v>
      </c>
      <c r="HB86" s="54">
        <v>172856</v>
      </c>
      <c r="HC86" s="54">
        <f>233197+150976</f>
        <v>384173</v>
      </c>
      <c r="HD86" s="54">
        <v>467640</v>
      </c>
      <c r="HE86" s="54">
        <v>3111278</v>
      </c>
      <c r="HF86" s="54">
        <v>353151</v>
      </c>
      <c r="HG86" s="54">
        <v>284997</v>
      </c>
      <c r="HH86" s="54">
        <v>130937</v>
      </c>
      <c r="HI86" s="54">
        <v>139278</v>
      </c>
      <c r="HJ86" s="54">
        <v>396430</v>
      </c>
      <c r="HK86" s="54">
        <v>1304793</v>
      </c>
      <c r="HL86" s="54">
        <v>0</v>
      </c>
      <c r="HM86" s="54">
        <v>0</v>
      </c>
      <c r="HN86" s="54">
        <v>0</v>
      </c>
      <c r="HO86" s="54">
        <v>0</v>
      </c>
      <c r="HP86" s="54">
        <v>0</v>
      </c>
      <c r="HQ86" s="54">
        <v>0</v>
      </c>
      <c r="HR86" s="54">
        <v>7049982</v>
      </c>
      <c r="HS86" s="54">
        <v>433210</v>
      </c>
      <c r="HT86" s="54">
        <v>423924</v>
      </c>
      <c r="HU86" s="54">
        <v>975191</v>
      </c>
      <c r="HV86" s="54">
        <v>7154837</v>
      </c>
      <c r="HW86" s="54">
        <v>16037144</v>
      </c>
      <c r="HX86" s="54">
        <v>725400</v>
      </c>
      <c r="HY86" s="54">
        <v>28872</v>
      </c>
      <c r="HZ86" s="54">
        <v>11332</v>
      </c>
      <c r="IA86" s="54">
        <v>0</v>
      </c>
      <c r="IB86" s="54">
        <v>141170</v>
      </c>
      <c r="IC86" s="54">
        <v>906774</v>
      </c>
      <c r="ID86" s="54">
        <v>0</v>
      </c>
      <c r="IE86" s="54">
        <v>0</v>
      </c>
      <c r="IF86" s="54">
        <v>0</v>
      </c>
      <c r="IG86" s="54">
        <v>0</v>
      </c>
      <c r="IH86" s="54">
        <v>0</v>
      </c>
      <c r="II86" s="54">
        <v>0</v>
      </c>
      <c r="IJ86" s="54">
        <v>117008</v>
      </c>
      <c r="IK86" s="54">
        <v>41882</v>
      </c>
      <c r="IL86" s="54">
        <v>32665</v>
      </c>
      <c r="IM86" s="54">
        <f>193629+158915</f>
        <v>352544</v>
      </c>
      <c r="IN86" s="54">
        <v>211718</v>
      </c>
      <c r="IO86" s="54">
        <v>755818</v>
      </c>
      <c r="IP86" s="54">
        <v>1285</v>
      </c>
      <c r="IQ86" s="54">
        <v>780</v>
      </c>
      <c r="IR86" s="54">
        <v>848</v>
      </c>
      <c r="IS86" s="54">
        <f>4453+2914</f>
        <v>7367</v>
      </c>
      <c r="IT86" s="54">
        <v>24008</v>
      </c>
      <c r="IU86" s="54">
        <v>34288</v>
      </c>
      <c r="IV86" s="54">
        <v>1172722</v>
      </c>
      <c r="IW86" s="54">
        <v>272042</v>
      </c>
      <c r="IX86" s="54">
        <v>120104</v>
      </c>
      <c r="IY86" s="54">
        <f>202995+136811</f>
        <v>339806</v>
      </c>
      <c r="IZ86" s="54">
        <v>1073094</v>
      </c>
      <c r="JA86" s="54">
        <v>2977768</v>
      </c>
      <c r="JB86" s="54">
        <v>24631400</v>
      </c>
      <c r="JC86" s="54">
        <v>5124633</v>
      </c>
      <c r="JD86" s="54">
        <v>2940969</v>
      </c>
      <c r="JE86" s="54">
        <f>6546052+6645153</f>
        <v>13191205</v>
      </c>
      <c r="JF86" s="54">
        <v>16706594</v>
      </c>
      <c r="JG86" s="54">
        <v>62594802</v>
      </c>
      <c r="JH86" s="54">
        <v>0</v>
      </c>
      <c r="JI86" s="54">
        <v>0</v>
      </c>
      <c r="JJ86" s="54">
        <v>0</v>
      </c>
      <c r="JK86" s="54">
        <v>0</v>
      </c>
      <c r="JL86" s="54">
        <v>0</v>
      </c>
      <c r="JM86" s="54">
        <v>0</v>
      </c>
      <c r="JN86" s="54">
        <v>24631400</v>
      </c>
      <c r="JO86" s="54">
        <v>5124633</v>
      </c>
      <c r="JP86" s="54">
        <v>2940969</v>
      </c>
      <c r="JQ86" s="54">
        <f>6546052+6645153</f>
        <v>13191205</v>
      </c>
      <c r="JR86" s="54">
        <v>16706594</v>
      </c>
      <c r="JS86" s="54">
        <v>62594802</v>
      </c>
      <c r="JU86" s="5">
        <f t="shared" si="160"/>
        <v>18979129</v>
      </c>
      <c r="JV86" s="26">
        <f t="shared" si="161"/>
        <v>0</v>
      </c>
      <c r="JW86" s="5">
        <f t="shared" si="162"/>
        <v>7237092</v>
      </c>
      <c r="JX86" s="26">
        <f t="shared" si="163"/>
        <v>0</v>
      </c>
      <c r="JY86" s="5">
        <f t="shared" si="164"/>
        <v>2551600</v>
      </c>
      <c r="JZ86" s="26">
        <f t="shared" si="165"/>
        <v>0</v>
      </c>
      <c r="KA86" s="5">
        <f t="shared" si="166"/>
        <v>15849979</v>
      </c>
      <c r="KB86" s="26">
        <f t="shared" si="167"/>
        <v>1</v>
      </c>
      <c r="KC86" s="5">
        <f t="shared" si="168"/>
        <v>185000</v>
      </c>
      <c r="KD86" s="26">
        <f t="shared" si="169"/>
        <v>0</v>
      </c>
      <c r="KE86" s="5">
        <f t="shared" si="170"/>
        <v>492</v>
      </c>
      <c r="KF86" s="26">
        <f t="shared" si="171"/>
        <v>0</v>
      </c>
      <c r="KG86" s="5">
        <f t="shared" si="172"/>
        <v>353531</v>
      </c>
      <c r="KH86" s="26">
        <f t="shared" si="173"/>
        <v>0</v>
      </c>
      <c r="KI86" s="5">
        <f t="shared" si="174"/>
        <v>0</v>
      </c>
      <c r="KJ86" s="26">
        <f t="shared" si="175"/>
        <v>0</v>
      </c>
      <c r="KK86" s="5">
        <f t="shared" si="176"/>
        <v>12467870</v>
      </c>
      <c r="KL86" s="26">
        <f t="shared" si="177"/>
        <v>0</v>
      </c>
      <c r="KM86" s="5">
        <f t="shared" si="178"/>
        <v>3954669</v>
      </c>
      <c r="KN86" s="26">
        <f t="shared" si="179"/>
        <v>0</v>
      </c>
      <c r="KO86" s="5">
        <f t="shared" si="180"/>
        <v>1700093</v>
      </c>
      <c r="KP86" s="26">
        <f t="shared" si="181"/>
        <v>0</v>
      </c>
      <c r="KQ86" s="5">
        <f t="shared" si="182"/>
        <v>1384437</v>
      </c>
      <c r="KR86" s="26">
        <f t="shared" si="183"/>
        <v>-2</v>
      </c>
      <c r="KS86" s="5">
        <f t="shared" si="184"/>
        <v>0</v>
      </c>
      <c r="KT86" s="26">
        <f t="shared" si="185"/>
        <v>0</v>
      </c>
      <c r="KU86" s="5">
        <f t="shared" si="186"/>
        <v>2018681</v>
      </c>
      <c r="KV86" s="26">
        <f t="shared" si="187"/>
        <v>0</v>
      </c>
      <c r="KW86" s="5">
        <f t="shared" si="188"/>
        <v>226983</v>
      </c>
      <c r="KX86" s="26">
        <f t="shared" si="189"/>
        <v>0</v>
      </c>
      <c r="KY86" s="5">
        <f t="shared" si="190"/>
        <v>66909552</v>
      </c>
      <c r="KZ86" s="26">
        <f t="shared" si="191"/>
        <v>1</v>
      </c>
      <c r="LA86" s="5">
        <f t="shared" si="233"/>
        <v>9374466</v>
      </c>
      <c r="LB86" s="26">
        <f t="shared" si="234"/>
        <v>-1</v>
      </c>
      <c r="LC86" s="5">
        <f t="shared" si="235"/>
        <v>1559831</v>
      </c>
      <c r="LD86" s="26">
        <f t="shared" si="192"/>
        <v>0</v>
      </c>
      <c r="LE86" s="5">
        <f t="shared" si="193"/>
        <v>11137720</v>
      </c>
      <c r="LF86" s="26">
        <f t="shared" si="194"/>
        <v>0</v>
      </c>
      <c r="LG86" s="5">
        <f t="shared" si="195"/>
        <v>185000</v>
      </c>
      <c r="LH86" s="26">
        <f t="shared" si="196"/>
        <v>0</v>
      </c>
      <c r="LI86" s="5">
        <f t="shared" si="197"/>
        <v>8497088</v>
      </c>
      <c r="LJ86" s="26">
        <f t="shared" si="198"/>
        <v>0</v>
      </c>
      <c r="LK86" s="5">
        <f t="shared" si="199"/>
        <v>0</v>
      </c>
      <c r="LL86" s="26">
        <f t="shared" si="200"/>
        <v>0</v>
      </c>
      <c r="LM86" s="5">
        <f t="shared" si="201"/>
        <v>83040</v>
      </c>
      <c r="LN86" s="26">
        <f t="shared" si="202"/>
        <v>0</v>
      </c>
      <c r="LO86" s="5">
        <f t="shared" si="203"/>
        <v>981067</v>
      </c>
      <c r="LP86" s="26">
        <f t="shared" si="204"/>
        <v>0</v>
      </c>
      <c r="LQ86" s="5">
        <f t="shared" si="205"/>
        <v>4069183</v>
      </c>
      <c r="LR86" s="26">
        <f t="shared" si="206"/>
        <v>0</v>
      </c>
      <c r="LS86" s="5">
        <f t="shared" si="207"/>
        <v>1579542</v>
      </c>
      <c r="LT86" s="26">
        <f t="shared" si="208"/>
        <v>0</v>
      </c>
      <c r="LU86" s="5">
        <f t="shared" si="209"/>
        <v>3111278</v>
      </c>
      <c r="LV86" s="26">
        <f t="shared" si="210"/>
        <v>0</v>
      </c>
      <c r="LW86" s="5">
        <f t="shared" si="211"/>
        <v>1304793</v>
      </c>
      <c r="LX86" s="26">
        <f t="shared" si="212"/>
        <v>0</v>
      </c>
      <c r="LY86" s="5">
        <f t="shared" si="213"/>
        <v>0</v>
      </c>
      <c r="LZ86" s="26">
        <f t="shared" si="214"/>
        <v>0</v>
      </c>
      <c r="MA86" s="5">
        <f t="shared" si="215"/>
        <v>16037144</v>
      </c>
      <c r="MB86" s="26">
        <f t="shared" si="216"/>
        <v>0</v>
      </c>
      <c r="MC86" s="5">
        <f t="shared" si="217"/>
        <v>906774</v>
      </c>
      <c r="MD86" s="26">
        <f t="shared" si="218"/>
        <v>0</v>
      </c>
      <c r="ME86" s="5">
        <f t="shared" si="219"/>
        <v>0</v>
      </c>
      <c r="MF86" s="26">
        <f t="shared" si="220"/>
        <v>0</v>
      </c>
      <c r="MG86" s="5">
        <f t="shared" si="221"/>
        <v>755817</v>
      </c>
      <c r="MH86" s="26">
        <f t="shared" si="222"/>
        <v>1</v>
      </c>
      <c r="MI86" s="5">
        <f t="shared" si="223"/>
        <v>34288</v>
      </c>
      <c r="MJ86" s="26">
        <f t="shared" si="224"/>
        <v>0</v>
      </c>
      <c r="MK86" s="5">
        <f t="shared" si="225"/>
        <v>2977768</v>
      </c>
      <c r="ML86" s="26">
        <f t="shared" si="226"/>
        <v>0</v>
      </c>
      <c r="MM86" s="5">
        <f t="shared" si="227"/>
        <v>62594801</v>
      </c>
      <c r="MN86" s="26">
        <f t="shared" si="228"/>
        <v>1</v>
      </c>
      <c r="MO86" s="5">
        <f t="shared" si="229"/>
        <v>0</v>
      </c>
      <c r="MP86" s="26">
        <f t="shared" si="230"/>
        <v>0</v>
      </c>
      <c r="MQ86" s="5">
        <f t="shared" si="231"/>
        <v>62594801</v>
      </c>
      <c r="MR86" s="26">
        <f t="shared" si="232"/>
        <v>1</v>
      </c>
      <c r="MT86" s="5">
        <f t="shared" si="158"/>
        <v>2</v>
      </c>
      <c r="MV86" s="4">
        <f t="shared" si="159"/>
        <v>1</v>
      </c>
    </row>
    <row r="87" spans="1:368" x14ac:dyDescent="0.15">
      <c r="A87" s="155" t="s">
        <v>301</v>
      </c>
      <c r="B87" s="25" t="s">
        <v>475</v>
      </c>
      <c r="C87" s="105">
        <v>199120</v>
      </c>
      <c r="D87" s="105">
        <v>2011</v>
      </c>
      <c r="E87" s="106">
        <v>1</v>
      </c>
      <c r="F87" s="106">
        <v>4</v>
      </c>
      <c r="G87" s="107">
        <v>12257</v>
      </c>
      <c r="H87" s="107">
        <v>13307</v>
      </c>
      <c r="I87" s="108">
        <v>3774899000</v>
      </c>
      <c r="J87" s="108"/>
      <c r="K87" s="108">
        <v>1000000</v>
      </c>
      <c r="L87" s="108"/>
      <c r="M87" s="108">
        <v>100000000</v>
      </c>
      <c r="N87" s="108"/>
      <c r="O87" s="108">
        <v>3000000</v>
      </c>
      <c r="P87" s="108"/>
      <c r="Q87" s="108">
        <v>1415000000</v>
      </c>
      <c r="R87" s="108"/>
      <c r="S87" s="108">
        <v>2434405000</v>
      </c>
      <c r="T87" s="108"/>
      <c r="U87" s="108">
        <v>19085</v>
      </c>
      <c r="V87" s="108"/>
      <c r="W87" s="108">
        <v>35713</v>
      </c>
      <c r="X87" s="108"/>
      <c r="Y87" s="108">
        <v>22042</v>
      </c>
      <c r="Z87" s="108"/>
      <c r="AA87" s="108">
        <v>38670</v>
      </c>
      <c r="AB87" s="108"/>
      <c r="AC87" s="129">
        <v>11</v>
      </c>
      <c r="AD87" s="129">
        <v>12</v>
      </c>
      <c r="AE87" s="129">
        <v>0</v>
      </c>
      <c r="AF87" s="26">
        <v>5042171</v>
      </c>
      <c r="AG87" s="26">
        <v>3654134</v>
      </c>
      <c r="AH87" s="26">
        <v>776098</v>
      </c>
      <c r="AI87" s="26">
        <v>313484</v>
      </c>
      <c r="AJ87" s="26">
        <v>727480.27</v>
      </c>
      <c r="AK87" s="36">
        <v>7.5</v>
      </c>
      <c r="AL87" s="26">
        <v>682012.75</v>
      </c>
      <c r="AM87" s="36">
        <v>8</v>
      </c>
      <c r="AN87" s="26">
        <v>223522</v>
      </c>
      <c r="AO87" s="36">
        <v>8.5</v>
      </c>
      <c r="AP87" s="26">
        <v>211104.11</v>
      </c>
      <c r="AQ87" s="36">
        <v>9</v>
      </c>
      <c r="AR87" s="26">
        <v>202624.49</v>
      </c>
      <c r="AS87" s="36">
        <v>22.7</v>
      </c>
      <c r="AT87" s="26">
        <v>176906.77</v>
      </c>
      <c r="AU87" s="36">
        <v>26</v>
      </c>
      <c r="AV87" s="26">
        <v>80725.490000000005</v>
      </c>
      <c r="AW87" s="36">
        <v>17.5</v>
      </c>
      <c r="AX87" s="26">
        <v>70634.8</v>
      </c>
      <c r="AY87" s="36">
        <v>20</v>
      </c>
      <c r="AZ87" s="54">
        <v>16593182</v>
      </c>
      <c r="BA87" s="54">
        <v>3403209</v>
      </c>
      <c r="BB87" s="54">
        <v>207894</v>
      </c>
      <c r="BC87" s="54">
        <v>308991</v>
      </c>
      <c r="BD87" s="54">
        <v>21648</v>
      </c>
      <c r="BE87" s="54">
        <v>20534924</v>
      </c>
      <c r="BF87" s="54">
        <v>0</v>
      </c>
      <c r="BG87" s="54">
        <v>0</v>
      </c>
      <c r="BH87" s="54">
        <v>0</v>
      </c>
      <c r="BI87" s="54">
        <v>0</v>
      </c>
      <c r="BJ87" s="54">
        <v>0</v>
      </c>
      <c r="BK87" s="54">
        <v>0</v>
      </c>
      <c r="BL87" s="54">
        <v>1425815</v>
      </c>
      <c r="BM87" s="54">
        <v>40263</v>
      </c>
      <c r="BN87" s="54">
        <v>30000</v>
      </c>
      <c r="BO87" s="54">
        <v>3000</v>
      </c>
      <c r="BP87" s="54">
        <v>0</v>
      </c>
      <c r="BQ87" s="54">
        <v>1499078</v>
      </c>
      <c r="BR87" s="54">
        <v>9857660</v>
      </c>
      <c r="BS87" s="54">
        <v>3511061</v>
      </c>
      <c r="BT87" s="54">
        <v>63865</v>
      </c>
      <c r="BU87" s="54">
        <v>1013175</v>
      </c>
      <c r="BV87" s="54">
        <v>1394456</v>
      </c>
      <c r="BW87" s="54">
        <v>15840217</v>
      </c>
      <c r="BX87" s="54">
        <v>0</v>
      </c>
      <c r="BY87" s="54">
        <v>0</v>
      </c>
      <c r="BZ87" s="54">
        <v>0</v>
      </c>
      <c r="CA87" s="54">
        <v>0</v>
      </c>
      <c r="CB87" s="54">
        <v>0</v>
      </c>
      <c r="CC87" s="54">
        <v>0</v>
      </c>
      <c r="CD87" s="54">
        <v>0</v>
      </c>
      <c r="CE87" s="54">
        <v>0</v>
      </c>
      <c r="CF87" s="54">
        <v>0</v>
      </c>
      <c r="CG87" s="54">
        <v>0</v>
      </c>
      <c r="CH87" s="54">
        <v>0</v>
      </c>
      <c r="CI87" s="54">
        <v>0</v>
      </c>
      <c r="CJ87" s="54">
        <v>0</v>
      </c>
      <c r="CK87" s="54">
        <v>0</v>
      </c>
      <c r="CL87" s="54">
        <v>239658</v>
      </c>
      <c r="CM87" s="54">
        <v>2219325</v>
      </c>
      <c r="CN87" s="54">
        <v>0</v>
      </c>
      <c r="CO87" s="54">
        <v>2458983</v>
      </c>
      <c r="CP87" s="54">
        <v>0</v>
      </c>
      <c r="CQ87" s="54">
        <v>0</v>
      </c>
      <c r="CR87" s="54">
        <v>0</v>
      </c>
      <c r="CS87" s="54">
        <v>0</v>
      </c>
      <c r="CT87" s="54">
        <v>0</v>
      </c>
      <c r="CU87" s="54">
        <v>0</v>
      </c>
      <c r="CV87" s="54">
        <v>8346043</v>
      </c>
      <c r="CW87" s="54">
        <v>2841012</v>
      </c>
      <c r="CX87" s="54">
        <v>0</v>
      </c>
      <c r="CY87" s="54">
        <v>0</v>
      </c>
      <c r="CZ87" s="54">
        <v>1396616</v>
      </c>
      <c r="DA87" s="54">
        <v>12583671</v>
      </c>
      <c r="DB87" s="54">
        <v>760449</v>
      </c>
      <c r="DC87" s="54">
        <v>140716</v>
      </c>
      <c r="DD87" s="54">
        <v>26059</v>
      </c>
      <c r="DE87" s="54">
        <v>0</v>
      </c>
      <c r="DF87" s="54">
        <v>5264</v>
      </c>
      <c r="DG87" s="54">
        <v>932488</v>
      </c>
      <c r="DH87" s="54">
        <v>891759</v>
      </c>
      <c r="DI87" s="54">
        <v>118541</v>
      </c>
      <c r="DJ87" s="54">
        <v>24652</v>
      </c>
      <c r="DK87" s="54">
        <v>31209</v>
      </c>
      <c r="DL87" s="54">
        <v>193528</v>
      </c>
      <c r="DM87" s="54">
        <v>1259689</v>
      </c>
      <c r="DN87" s="54">
        <v>989600</v>
      </c>
      <c r="DO87" s="54">
        <v>294500</v>
      </c>
      <c r="DP87" s="54">
        <v>133000</v>
      </c>
      <c r="DQ87" s="54">
        <v>1296780</v>
      </c>
      <c r="DR87" s="54">
        <v>7029037</v>
      </c>
      <c r="DS87" s="54">
        <v>9742917</v>
      </c>
      <c r="DT87" s="54">
        <v>50642</v>
      </c>
      <c r="DU87" s="54">
        <v>0</v>
      </c>
      <c r="DV87" s="54">
        <v>0</v>
      </c>
      <c r="DW87" s="54">
        <v>0</v>
      </c>
      <c r="DX87" s="54">
        <v>0</v>
      </c>
      <c r="DY87" s="54">
        <v>50642</v>
      </c>
      <c r="DZ87" s="54">
        <v>472679</v>
      </c>
      <c r="EA87" s="54">
        <v>124738</v>
      </c>
      <c r="EB87" s="54">
        <v>11089</v>
      </c>
      <c r="EC87" s="54">
        <v>431823</v>
      </c>
      <c r="ED87" s="54">
        <v>2884516</v>
      </c>
      <c r="EE87" s="54">
        <v>3924845</v>
      </c>
      <c r="EF87" s="54">
        <v>17408</v>
      </c>
      <c r="EG87" s="54">
        <v>0</v>
      </c>
      <c r="EH87" s="54">
        <v>15800</v>
      </c>
      <c r="EI87" s="54">
        <v>509230</v>
      </c>
      <c r="EJ87" s="54">
        <v>861444</v>
      </c>
      <c r="EK87" s="54">
        <v>1403882</v>
      </c>
      <c r="EL87" s="54">
        <v>39405237</v>
      </c>
      <c r="EM87" s="54">
        <v>10474040</v>
      </c>
      <c r="EN87" s="54">
        <v>752017</v>
      </c>
      <c r="EO87" s="54">
        <v>5813533</v>
      </c>
      <c r="EP87" s="54">
        <v>13786509</v>
      </c>
      <c r="EQ87" s="54">
        <v>70231336</v>
      </c>
      <c r="ER87" s="54">
        <v>2787416</v>
      </c>
      <c r="ES87" s="54">
        <v>404577</v>
      </c>
      <c r="ET87" s="54">
        <v>345120</v>
      </c>
      <c r="EU87" s="54">
        <v>5159192</v>
      </c>
      <c r="EV87" s="54">
        <v>24046</v>
      </c>
      <c r="EW87" s="54">
        <v>8720351</v>
      </c>
      <c r="EX87" s="54">
        <v>1425000</v>
      </c>
      <c r="EY87" s="54">
        <v>488310</v>
      </c>
      <c r="EZ87" s="54">
        <v>16540</v>
      </c>
      <c r="FA87" s="54">
        <v>26127</v>
      </c>
      <c r="FB87" s="54">
        <v>0</v>
      </c>
      <c r="FC87" s="54">
        <v>1955977</v>
      </c>
      <c r="FD87" s="54">
        <v>5713386</v>
      </c>
      <c r="FE87" s="54">
        <v>2754358</v>
      </c>
      <c r="FF87" s="54">
        <v>792630</v>
      </c>
      <c r="FG87" s="54">
        <v>4107937</v>
      </c>
      <c r="FH87" s="54">
        <v>0</v>
      </c>
      <c r="FI87" s="54">
        <v>13368311</v>
      </c>
      <c r="FJ87" s="54">
        <v>0</v>
      </c>
      <c r="FK87" s="54">
        <v>0</v>
      </c>
      <c r="FL87" s="54">
        <v>0</v>
      </c>
      <c r="FM87" s="54">
        <v>0</v>
      </c>
      <c r="FN87" s="54">
        <v>0</v>
      </c>
      <c r="FO87" s="54">
        <v>0</v>
      </c>
      <c r="FP87" s="54">
        <v>878060</v>
      </c>
      <c r="FQ87" s="54">
        <v>248989</v>
      </c>
      <c r="FR87" s="54">
        <v>161981</v>
      </c>
      <c r="FS87" s="54">
        <v>463670</v>
      </c>
      <c r="FT87" s="54">
        <v>12015432</v>
      </c>
      <c r="FU87" s="54">
        <v>13768132</v>
      </c>
      <c r="FV87" s="54">
        <v>0</v>
      </c>
      <c r="FW87" s="54">
        <v>0</v>
      </c>
      <c r="FX87" s="54">
        <v>0</v>
      </c>
      <c r="FY87" s="54">
        <v>0</v>
      </c>
      <c r="FZ87" s="54">
        <v>0</v>
      </c>
      <c r="GA87" s="54">
        <v>0</v>
      </c>
      <c r="GB87" s="54">
        <v>0</v>
      </c>
      <c r="GC87" s="54">
        <v>0</v>
      </c>
      <c r="GD87" s="54">
        <v>257954</v>
      </c>
      <c r="GE87" s="54">
        <v>82133</v>
      </c>
      <c r="GF87" s="54">
        <v>0</v>
      </c>
      <c r="GG87" s="54">
        <v>340087</v>
      </c>
      <c r="GH87" s="54">
        <v>440931</v>
      </c>
      <c r="GI87" s="54">
        <v>158565</v>
      </c>
      <c r="GJ87" s="54">
        <v>81275</v>
      </c>
      <c r="GK87" s="54">
        <v>408811</v>
      </c>
      <c r="GL87" s="54">
        <v>0</v>
      </c>
      <c r="GM87" s="54">
        <v>1089582</v>
      </c>
      <c r="GN87" s="54">
        <v>1924458</v>
      </c>
      <c r="GO87" s="54">
        <v>288760</v>
      </c>
      <c r="GP87" s="54">
        <v>161255</v>
      </c>
      <c r="GQ87" s="54">
        <v>1842872</v>
      </c>
      <c r="GR87" s="54">
        <v>21585</v>
      </c>
      <c r="GS87" s="54">
        <v>4238930</v>
      </c>
      <c r="GT87" s="54">
        <v>1224899</v>
      </c>
      <c r="GU87" s="54">
        <v>235127</v>
      </c>
      <c r="GV87" s="54">
        <v>147815</v>
      </c>
      <c r="GW87" s="54">
        <v>1680203</v>
      </c>
      <c r="GX87" s="54">
        <v>713347</v>
      </c>
      <c r="GY87" s="54">
        <v>4001391</v>
      </c>
      <c r="GZ87" s="54">
        <v>3598749</v>
      </c>
      <c r="HA87" s="54">
        <v>559681</v>
      </c>
      <c r="HB87" s="54">
        <v>189255</v>
      </c>
      <c r="HC87" s="54">
        <v>441325</v>
      </c>
      <c r="HD87" s="54">
        <v>64965</v>
      </c>
      <c r="HE87" s="54">
        <v>4853975</v>
      </c>
      <c r="HF87" s="54">
        <v>1116704</v>
      </c>
      <c r="HG87" s="54">
        <v>288886</v>
      </c>
      <c r="HH87" s="54">
        <v>100447</v>
      </c>
      <c r="HI87" s="54">
        <v>146604</v>
      </c>
      <c r="HJ87" s="54">
        <v>1191560</v>
      </c>
      <c r="HK87" s="54">
        <v>2844201</v>
      </c>
      <c r="HL87" s="54">
        <v>18521</v>
      </c>
      <c r="HM87" s="54">
        <v>0</v>
      </c>
      <c r="HN87" s="54">
        <v>0</v>
      </c>
      <c r="HO87" s="54">
        <v>0</v>
      </c>
      <c r="HP87" s="54">
        <v>0</v>
      </c>
      <c r="HQ87" s="54">
        <v>18521</v>
      </c>
      <c r="HR87" s="54">
        <v>441842</v>
      </c>
      <c r="HS87" s="54">
        <v>0</v>
      </c>
      <c r="HT87" s="54">
        <v>0</v>
      </c>
      <c r="HU87" s="54">
        <v>174344</v>
      </c>
      <c r="HV87" s="54">
        <v>1684465</v>
      </c>
      <c r="HW87" s="54">
        <v>2300651</v>
      </c>
      <c r="HX87" s="54">
        <v>268870</v>
      </c>
      <c r="HY87" s="54">
        <v>67217</v>
      </c>
      <c r="HZ87" s="54">
        <v>67217</v>
      </c>
      <c r="IA87" s="54">
        <v>22406</v>
      </c>
      <c r="IB87" s="54">
        <v>22406</v>
      </c>
      <c r="IC87" s="54">
        <v>448116</v>
      </c>
      <c r="ID87" s="54">
        <v>0</v>
      </c>
      <c r="IE87" s="54">
        <v>0</v>
      </c>
      <c r="IF87" s="54">
        <v>0</v>
      </c>
      <c r="IG87" s="54">
        <v>0</v>
      </c>
      <c r="IH87" s="54">
        <v>0</v>
      </c>
      <c r="II87" s="54">
        <v>0</v>
      </c>
      <c r="IJ87" s="54">
        <v>227768</v>
      </c>
      <c r="IK87" s="54">
        <v>26013</v>
      </c>
      <c r="IL87" s="54">
        <v>62752</v>
      </c>
      <c r="IM87" s="54">
        <v>299983</v>
      </c>
      <c r="IN87" s="54">
        <v>9084</v>
      </c>
      <c r="IO87" s="54">
        <v>625600</v>
      </c>
      <c r="IP87" s="54">
        <v>16112</v>
      </c>
      <c r="IQ87" s="54">
        <v>2041</v>
      </c>
      <c r="IR87" s="54">
        <v>6502</v>
      </c>
      <c r="IS87" s="54">
        <v>89960</v>
      </c>
      <c r="IT87" s="54">
        <v>41439</v>
      </c>
      <c r="IU87" s="54">
        <v>156054</v>
      </c>
      <c r="IV87" s="54">
        <v>1223664</v>
      </c>
      <c r="IW87" s="54">
        <v>180038</v>
      </c>
      <c r="IX87" s="54">
        <v>58552</v>
      </c>
      <c r="IY87" s="54">
        <v>757098</v>
      </c>
      <c r="IZ87" s="54">
        <v>6951604</v>
      </c>
      <c r="JA87" s="54">
        <v>9170956</v>
      </c>
      <c r="JB87" s="54">
        <v>21306380</v>
      </c>
      <c r="JC87" s="54">
        <v>5702562</v>
      </c>
      <c r="JD87" s="54">
        <v>2449295</v>
      </c>
      <c r="JE87" s="54">
        <v>15702665</v>
      </c>
      <c r="JF87" s="54">
        <v>22739933</v>
      </c>
      <c r="JG87" s="54">
        <v>67900835</v>
      </c>
      <c r="JH87" s="54">
        <v>0</v>
      </c>
      <c r="JI87" s="54">
        <v>0</v>
      </c>
      <c r="JJ87" s="54">
        <v>0</v>
      </c>
      <c r="JK87" s="54">
        <v>0</v>
      </c>
      <c r="JL87" s="54">
        <v>0</v>
      </c>
      <c r="JM87" s="54">
        <v>0</v>
      </c>
      <c r="JN87" s="54">
        <v>21306380</v>
      </c>
      <c r="JO87" s="54">
        <v>5702562</v>
      </c>
      <c r="JP87" s="54">
        <v>2449295</v>
      </c>
      <c r="JQ87" s="54">
        <v>15702665</v>
      </c>
      <c r="JR87" s="54">
        <v>22739933</v>
      </c>
      <c r="JS87" s="54">
        <v>67900835</v>
      </c>
      <c r="JU87" s="5">
        <f t="shared" si="160"/>
        <v>20534924</v>
      </c>
      <c r="JV87" s="26">
        <f t="shared" si="161"/>
        <v>0</v>
      </c>
      <c r="JW87" s="5">
        <f t="shared" si="162"/>
        <v>0</v>
      </c>
      <c r="JX87" s="26">
        <f t="shared" si="163"/>
        <v>0</v>
      </c>
      <c r="JY87" s="5">
        <f t="shared" si="164"/>
        <v>1499078</v>
      </c>
      <c r="JZ87" s="26">
        <f t="shared" si="165"/>
        <v>0</v>
      </c>
      <c r="KA87" s="5">
        <f t="shared" si="166"/>
        <v>15840217</v>
      </c>
      <c r="KB87" s="26">
        <f t="shared" si="167"/>
        <v>0</v>
      </c>
      <c r="KC87" s="5">
        <f t="shared" si="168"/>
        <v>0</v>
      </c>
      <c r="KD87" s="26">
        <f t="shared" si="169"/>
        <v>0</v>
      </c>
      <c r="KE87" s="5">
        <f t="shared" si="170"/>
        <v>0</v>
      </c>
      <c r="KF87" s="26">
        <f t="shared" si="171"/>
        <v>0</v>
      </c>
      <c r="KG87" s="5">
        <f t="shared" si="172"/>
        <v>2458983</v>
      </c>
      <c r="KH87" s="26">
        <f t="shared" si="173"/>
        <v>0</v>
      </c>
      <c r="KI87" s="5">
        <f t="shared" si="174"/>
        <v>0</v>
      </c>
      <c r="KJ87" s="26">
        <f t="shared" si="175"/>
        <v>0</v>
      </c>
      <c r="KK87" s="5">
        <f t="shared" si="176"/>
        <v>12583671</v>
      </c>
      <c r="KL87" s="26">
        <f t="shared" si="177"/>
        <v>0</v>
      </c>
      <c r="KM87" s="5">
        <f t="shared" si="178"/>
        <v>932488</v>
      </c>
      <c r="KN87" s="26">
        <f t="shared" si="179"/>
        <v>0</v>
      </c>
      <c r="KO87" s="5">
        <f t="shared" si="180"/>
        <v>1259689</v>
      </c>
      <c r="KP87" s="26">
        <f t="shared" si="181"/>
        <v>0</v>
      </c>
      <c r="KQ87" s="5">
        <f t="shared" si="182"/>
        <v>9742917</v>
      </c>
      <c r="KR87" s="26">
        <f t="shared" si="183"/>
        <v>0</v>
      </c>
      <c r="KS87" s="5">
        <f t="shared" si="184"/>
        <v>50642</v>
      </c>
      <c r="KT87" s="26">
        <f t="shared" si="185"/>
        <v>0</v>
      </c>
      <c r="KU87" s="5">
        <f t="shared" si="186"/>
        <v>3924845</v>
      </c>
      <c r="KV87" s="26">
        <f t="shared" si="187"/>
        <v>0</v>
      </c>
      <c r="KW87" s="5">
        <f t="shared" si="188"/>
        <v>1403882</v>
      </c>
      <c r="KX87" s="26">
        <f t="shared" si="189"/>
        <v>0</v>
      </c>
      <c r="KY87" s="5">
        <f t="shared" si="190"/>
        <v>70231336</v>
      </c>
      <c r="KZ87" s="26">
        <f t="shared" si="191"/>
        <v>0</v>
      </c>
      <c r="LA87" s="5">
        <f t="shared" si="233"/>
        <v>8720351</v>
      </c>
      <c r="LB87" s="26">
        <f t="shared" si="234"/>
        <v>0</v>
      </c>
      <c r="LC87" s="5">
        <f t="shared" si="235"/>
        <v>1955977</v>
      </c>
      <c r="LD87" s="26">
        <f t="shared" si="192"/>
        <v>0</v>
      </c>
      <c r="LE87" s="5">
        <f t="shared" si="193"/>
        <v>13368311</v>
      </c>
      <c r="LF87" s="26">
        <f t="shared" si="194"/>
        <v>0</v>
      </c>
      <c r="LG87" s="5">
        <f t="shared" si="195"/>
        <v>0</v>
      </c>
      <c r="LH87" s="26">
        <f t="shared" si="196"/>
        <v>0</v>
      </c>
      <c r="LI87" s="5">
        <f t="shared" si="197"/>
        <v>13768132</v>
      </c>
      <c r="LJ87" s="26">
        <f t="shared" si="198"/>
        <v>0</v>
      </c>
      <c r="LK87" s="5">
        <f t="shared" si="199"/>
        <v>0</v>
      </c>
      <c r="LL87" s="26">
        <f t="shared" si="200"/>
        <v>0</v>
      </c>
      <c r="LM87" s="5">
        <f t="shared" si="201"/>
        <v>340087</v>
      </c>
      <c r="LN87" s="26">
        <f t="shared" si="202"/>
        <v>0</v>
      </c>
      <c r="LO87" s="5">
        <f t="shared" si="203"/>
        <v>1089582</v>
      </c>
      <c r="LP87" s="26">
        <f t="shared" si="204"/>
        <v>0</v>
      </c>
      <c r="LQ87" s="5">
        <f t="shared" si="205"/>
        <v>4238930</v>
      </c>
      <c r="LR87" s="26">
        <f t="shared" si="206"/>
        <v>0</v>
      </c>
      <c r="LS87" s="5">
        <f t="shared" si="207"/>
        <v>4001391</v>
      </c>
      <c r="LT87" s="26">
        <f t="shared" si="208"/>
        <v>0</v>
      </c>
      <c r="LU87" s="5">
        <f t="shared" si="209"/>
        <v>4853975</v>
      </c>
      <c r="LV87" s="26">
        <f t="shared" si="210"/>
        <v>0</v>
      </c>
      <c r="LW87" s="5">
        <f t="shared" si="211"/>
        <v>2844201</v>
      </c>
      <c r="LX87" s="26">
        <f t="shared" si="212"/>
        <v>0</v>
      </c>
      <c r="LY87" s="5">
        <f t="shared" si="213"/>
        <v>18521</v>
      </c>
      <c r="LZ87" s="26">
        <f t="shared" si="214"/>
        <v>0</v>
      </c>
      <c r="MA87" s="5">
        <f t="shared" si="215"/>
        <v>2300651</v>
      </c>
      <c r="MB87" s="26">
        <f t="shared" si="216"/>
        <v>0</v>
      </c>
      <c r="MC87" s="5">
        <f t="shared" si="217"/>
        <v>448116</v>
      </c>
      <c r="MD87" s="26">
        <f t="shared" si="218"/>
        <v>0</v>
      </c>
      <c r="ME87" s="5">
        <f t="shared" si="219"/>
        <v>0</v>
      </c>
      <c r="MF87" s="26">
        <f t="shared" si="220"/>
        <v>0</v>
      </c>
      <c r="MG87" s="5">
        <f t="shared" si="221"/>
        <v>625600</v>
      </c>
      <c r="MH87" s="26">
        <f t="shared" si="222"/>
        <v>0</v>
      </c>
      <c r="MI87" s="5">
        <f t="shared" si="223"/>
        <v>156054</v>
      </c>
      <c r="MJ87" s="26">
        <f t="shared" si="224"/>
        <v>0</v>
      </c>
      <c r="MK87" s="5">
        <f t="shared" si="225"/>
        <v>9170956</v>
      </c>
      <c r="ML87" s="26">
        <f t="shared" si="226"/>
        <v>0</v>
      </c>
      <c r="MM87" s="5">
        <f t="shared" si="227"/>
        <v>67900835</v>
      </c>
      <c r="MN87" s="26">
        <f t="shared" si="228"/>
        <v>0</v>
      </c>
      <c r="MO87" s="5">
        <f t="shared" si="229"/>
        <v>0</v>
      </c>
      <c r="MP87" s="26">
        <f t="shared" si="230"/>
        <v>0</v>
      </c>
      <c r="MQ87" s="5">
        <f t="shared" si="231"/>
        <v>67900835</v>
      </c>
      <c r="MR87" s="26">
        <f t="shared" si="232"/>
        <v>0</v>
      </c>
      <c r="MT87" s="5">
        <f t="shared" si="158"/>
        <v>0</v>
      </c>
      <c r="MV87" s="4">
        <f t="shared" si="159"/>
        <v>0</v>
      </c>
    </row>
    <row r="88" spans="1:368" x14ac:dyDescent="0.15">
      <c r="A88" s="155" t="s">
        <v>403</v>
      </c>
      <c r="B88" s="25" t="s">
        <v>461</v>
      </c>
      <c r="C88" s="109">
        <v>236939</v>
      </c>
      <c r="D88" s="105">
        <v>2011</v>
      </c>
      <c r="E88" s="106">
        <v>1</v>
      </c>
      <c r="F88" s="106">
        <v>4</v>
      </c>
      <c r="G88" s="107">
        <v>7837</v>
      </c>
      <c r="H88" s="107">
        <v>6930</v>
      </c>
      <c r="I88" s="108">
        <v>858242366</v>
      </c>
      <c r="J88" s="108"/>
      <c r="K88" s="108">
        <v>1588344</v>
      </c>
      <c r="L88" s="108"/>
      <c r="M88" s="108">
        <v>26942603</v>
      </c>
      <c r="N88" s="108"/>
      <c r="O88" s="108">
        <v>21950000</v>
      </c>
      <c r="P88" s="108"/>
      <c r="Q88" s="108">
        <v>384610000</v>
      </c>
      <c r="R88" s="108"/>
      <c r="S88" s="108">
        <v>581762406</v>
      </c>
      <c r="T88" s="108"/>
      <c r="U88" s="108">
        <v>20947</v>
      </c>
      <c r="V88" s="108"/>
      <c r="W88" s="108">
        <v>31989</v>
      </c>
      <c r="X88" s="108"/>
      <c r="Y88" s="108">
        <v>23630</v>
      </c>
      <c r="Z88" s="108"/>
      <c r="AA88" s="108">
        <v>34672</v>
      </c>
      <c r="AB88" s="108"/>
      <c r="AC88" s="130">
        <v>7</v>
      </c>
      <c r="AD88" s="130">
        <v>10</v>
      </c>
      <c r="AE88" s="130">
        <v>0</v>
      </c>
      <c r="AF88" s="26">
        <v>3968075</v>
      </c>
      <c r="AG88" s="26">
        <v>3140484</v>
      </c>
      <c r="AH88" s="26">
        <v>370911</v>
      </c>
      <c r="AI88" s="26">
        <v>240848</v>
      </c>
      <c r="AJ88" s="26">
        <v>416800.22</v>
      </c>
      <c r="AK88" s="36">
        <v>4.5</v>
      </c>
      <c r="AL88" s="26">
        <v>375120.2</v>
      </c>
      <c r="AM88" s="36">
        <v>5</v>
      </c>
      <c r="AN88" s="26">
        <v>144436.13</v>
      </c>
      <c r="AO88" s="36">
        <v>7.5</v>
      </c>
      <c r="AP88" s="26">
        <v>135408.88</v>
      </c>
      <c r="AQ88" s="36">
        <v>8</v>
      </c>
      <c r="AR88" s="26">
        <v>150126.67000000001</v>
      </c>
      <c r="AS88" s="36">
        <v>16.5</v>
      </c>
      <c r="AT88" s="26">
        <v>130373.16</v>
      </c>
      <c r="AU88" s="36">
        <v>19</v>
      </c>
      <c r="AV88" s="26">
        <v>84198</v>
      </c>
      <c r="AW88" s="36">
        <v>13.5</v>
      </c>
      <c r="AX88" s="26">
        <v>71042</v>
      </c>
      <c r="AY88" s="36">
        <v>16</v>
      </c>
      <c r="AZ88" s="54">
        <v>2823314</v>
      </c>
      <c r="BA88" s="65">
        <v>1073603</v>
      </c>
      <c r="BB88" s="65">
        <v>21758</v>
      </c>
      <c r="BC88" s="65">
        <v>53150</v>
      </c>
      <c r="BD88" s="65">
        <v>1129920</v>
      </c>
      <c r="BE88" s="65">
        <v>5101745</v>
      </c>
      <c r="BF88" s="65">
        <v>0</v>
      </c>
      <c r="BG88" s="54">
        <v>0</v>
      </c>
      <c r="BH88" s="54">
        <v>0</v>
      </c>
      <c r="BI88" s="54">
        <v>0</v>
      </c>
      <c r="BJ88" s="54">
        <v>1608068</v>
      </c>
      <c r="BK88" s="54">
        <v>1608068</v>
      </c>
      <c r="BL88" s="54">
        <v>1197761</v>
      </c>
      <c r="BM88" s="65">
        <v>87261</v>
      </c>
      <c r="BN88" s="65">
        <v>0</v>
      </c>
      <c r="BO88" s="65">
        <v>0</v>
      </c>
      <c r="BP88" s="65">
        <v>0</v>
      </c>
      <c r="BQ88" s="65">
        <v>1285022</v>
      </c>
      <c r="BR88" s="65">
        <v>1117783</v>
      </c>
      <c r="BS88" s="65">
        <v>205720</v>
      </c>
      <c r="BT88" s="65">
        <v>233487</v>
      </c>
      <c r="BU88" s="65">
        <v>1456636</v>
      </c>
      <c r="BV88" s="65">
        <v>4094679</v>
      </c>
      <c r="BW88" s="65">
        <v>7108305</v>
      </c>
      <c r="BX88" s="65">
        <v>0</v>
      </c>
      <c r="BY88" s="54">
        <v>0</v>
      </c>
      <c r="BZ88" s="54">
        <v>0</v>
      </c>
      <c r="CA88" s="54">
        <v>0</v>
      </c>
      <c r="CB88" s="54">
        <v>0</v>
      </c>
      <c r="CC88" s="54">
        <v>0</v>
      </c>
      <c r="CD88" s="54">
        <v>0</v>
      </c>
      <c r="CE88" s="54">
        <v>0</v>
      </c>
      <c r="CF88" s="54">
        <v>0</v>
      </c>
      <c r="CG88" s="54">
        <v>0</v>
      </c>
      <c r="CH88" s="54">
        <v>0</v>
      </c>
      <c r="CI88" s="54">
        <v>0</v>
      </c>
      <c r="CJ88" s="54">
        <v>1309812</v>
      </c>
      <c r="CK88" s="65">
        <v>250855</v>
      </c>
      <c r="CL88" s="65">
        <v>352621</v>
      </c>
      <c r="CM88" s="65">
        <v>2103451</v>
      </c>
      <c r="CN88" s="65">
        <v>3661303</v>
      </c>
      <c r="CO88" s="65">
        <v>7678042</v>
      </c>
      <c r="CP88" s="65">
        <v>0</v>
      </c>
      <c r="CQ88" s="54">
        <v>0</v>
      </c>
      <c r="CR88" s="54">
        <v>0</v>
      </c>
      <c r="CS88" s="54">
        <v>0</v>
      </c>
      <c r="CT88" s="54">
        <v>2245531</v>
      </c>
      <c r="CU88" s="54">
        <v>2245531</v>
      </c>
      <c r="CV88" s="54">
        <v>5199671</v>
      </c>
      <c r="CW88" s="65">
        <v>2511040</v>
      </c>
      <c r="CX88" s="65">
        <v>0</v>
      </c>
      <c r="CY88" s="65">
        <v>0</v>
      </c>
      <c r="CZ88" s="65">
        <v>1221860</v>
      </c>
      <c r="DA88" s="65">
        <v>8932571</v>
      </c>
      <c r="DB88" s="65">
        <v>0</v>
      </c>
      <c r="DC88" s="54">
        <v>0</v>
      </c>
      <c r="DD88" s="54">
        <v>0</v>
      </c>
      <c r="DE88" s="54">
        <v>0</v>
      </c>
      <c r="DF88" s="54">
        <v>120473</v>
      </c>
      <c r="DG88" s="54">
        <v>120473</v>
      </c>
      <c r="DH88" s="54">
        <v>0</v>
      </c>
      <c r="DI88" s="65">
        <v>0</v>
      </c>
      <c r="DJ88" s="65">
        <v>0</v>
      </c>
      <c r="DK88" s="65">
        <v>0</v>
      </c>
      <c r="DL88" s="65">
        <v>171340</v>
      </c>
      <c r="DM88" s="65">
        <v>171340</v>
      </c>
      <c r="DN88" s="65">
        <v>383521</v>
      </c>
      <c r="DO88" s="65">
        <v>72192</v>
      </c>
      <c r="DP88" s="65">
        <v>72063</v>
      </c>
      <c r="DQ88" s="65">
        <v>511257</v>
      </c>
      <c r="DR88" s="65">
        <v>2866393</v>
      </c>
      <c r="DS88" s="65">
        <v>3905426</v>
      </c>
      <c r="DT88" s="65">
        <v>120813</v>
      </c>
      <c r="DU88" s="65">
        <v>21150</v>
      </c>
      <c r="DV88" s="65">
        <v>0</v>
      </c>
      <c r="DW88" s="65">
        <v>284879</v>
      </c>
      <c r="DX88" s="65">
        <v>855</v>
      </c>
      <c r="DY88" s="65">
        <v>427697</v>
      </c>
      <c r="DZ88" s="65">
        <v>183678</v>
      </c>
      <c r="EA88" s="65">
        <v>24685</v>
      </c>
      <c r="EB88" s="65">
        <v>26968</v>
      </c>
      <c r="EC88" s="65">
        <v>236073</v>
      </c>
      <c r="ED88" s="65">
        <v>10007</v>
      </c>
      <c r="EE88" s="65">
        <v>481411</v>
      </c>
      <c r="EF88" s="65">
        <v>405345</v>
      </c>
      <c r="EG88" s="65">
        <v>256559</v>
      </c>
      <c r="EH88" s="65">
        <v>47046</v>
      </c>
      <c r="EI88" s="65">
        <v>184197</v>
      </c>
      <c r="EJ88" s="65">
        <v>24704</v>
      </c>
      <c r="EK88" s="65">
        <v>917851</v>
      </c>
      <c r="EL88" s="65">
        <v>12741698</v>
      </c>
      <c r="EM88" s="65">
        <v>4503065</v>
      </c>
      <c r="EN88" s="65">
        <v>753943</v>
      </c>
      <c r="EO88" s="65">
        <v>4829643</v>
      </c>
      <c r="EP88" s="65">
        <v>17155133</v>
      </c>
      <c r="EQ88" s="65">
        <v>39983482</v>
      </c>
      <c r="ER88" s="65">
        <v>2764134</v>
      </c>
      <c r="ES88" s="65">
        <v>379108</v>
      </c>
      <c r="ET88" s="65">
        <v>442658</v>
      </c>
      <c r="EU88" s="65">
        <v>3523023</v>
      </c>
      <c r="EV88" s="65">
        <v>129493</v>
      </c>
      <c r="EW88" s="65">
        <v>7238416</v>
      </c>
      <c r="EX88" s="65">
        <v>1059227</v>
      </c>
      <c r="EY88" s="65">
        <v>287263</v>
      </c>
      <c r="EZ88" s="65">
        <v>4500</v>
      </c>
      <c r="FA88" s="65">
        <v>50444</v>
      </c>
      <c r="FB88" s="65">
        <v>0</v>
      </c>
      <c r="FC88" s="65">
        <v>1401434</v>
      </c>
      <c r="FD88" s="65">
        <v>2224742</v>
      </c>
      <c r="FE88" s="65">
        <v>1300386</v>
      </c>
      <c r="FF88" s="65">
        <v>621935</v>
      </c>
      <c r="FG88" s="65">
        <v>2396755</v>
      </c>
      <c r="FH88" s="65">
        <v>28817</v>
      </c>
      <c r="FI88" s="65">
        <v>6572635</v>
      </c>
      <c r="FJ88" s="65">
        <v>0</v>
      </c>
      <c r="FK88" s="54">
        <v>0</v>
      </c>
      <c r="FL88" s="54">
        <v>0</v>
      </c>
      <c r="FM88" s="54">
        <v>0</v>
      </c>
      <c r="FN88" s="54">
        <v>0</v>
      </c>
      <c r="FO88" s="54">
        <v>0</v>
      </c>
      <c r="FP88" s="54">
        <v>341707</v>
      </c>
      <c r="FQ88" s="65">
        <v>162964</v>
      </c>
      <c r="FR88" s="65">
        <v>145509</v>
      </c>
      <c r="FS88" s="65">
        <v>220447</v>
      </c>
      <c r="FT88" s="65">
        <v>5630611</v>
      </c>
      <c r="FU88" s="65">
        <v>6501238</v>
      </c>
      <c r="FV88" s="65">
        <v>0</v>
      </c>
      <c r="FW88" s="54">
        <v>0</v>
      </c>
      <c r="FX88" s="54">
        <v>0</v>
      </c>
      <c r="FY88" s="54">
        <v>0</v>
      </c>
      <c r="FZ88" s="54">
        <v>0</v>
      </c>
      <c r="GA88" s="54">
        <v>0</v>
      </c>
      <c r="GB88" s="54">
        <v>0</v>
      </c>
      <c r="GC88" s="54">
        <v>0</v>
      </c>
      <c r="GD88" s="54">
        <v>0</v>
      </c>
      <c r="GE88" s="54">
        <v>105338</v>
      </c>
      <c r="GF88" s="54">
        <v>0</v>
      </c>
      <c r="GG88" s="54">
        <v>105338</v>
      </c>
      <c r="GH88" s="54">
        <v>202172</v>
      </c>
      <c r="GI88" s="54">
        <v>114328</v>
      </c>
      <c r="GJ88" s="54">
        <v>72111</v>
      </c>
      <c r="GK88" s="54">
        <v>223148</v>
      </c>
      <c r="GL88" s="54">
        <v>0</v>
      </c>
      <c r="GM88" s="54">
        <v>611759</v>
      </c>
      <c r="GN88" s="54">
        <v>898232</v>
      </c>
      <c r="GO88" s="54">
        <v>423902</v>
      </c>
      <c r="GP88" s="54">
        <v>330652</v>
      </c>
      <c r="GQ88" s="54">
        <v>1311027</v>
      </c>
      <c r="GR88" s="54">
        <v>0</v>
      </c>
      <c r="GS88" s="54">
        <v>2963813</v>
      </c>
      <c r="GT88" s="54">
        <v>1068113</v>
      </c>
      <c r="GU88" s="54">
        <v>198427</v>
      </c>
      <c r="GV88" s="54">
        <v>179149</v>
      </c>
      <c r="GW88" s="54">
        <v>1153006</v>
      </c>
      <c r="GX88" s="54">
        <v>0</v>
      </c>
      <c r="GY88" s="54">
        <v>2598695</v>
      </c>
      <c r="GZ88" s="54">
        <v>551057</v>
      </c>
      <c r="HA88" s="54">
        <v>289821</v>
      </c>
      <c r="HB88" s="54">
        <v>168686</v>
      </c>
      <c r="HC88" s="54">
        <v>229290</v>
      </c>
      <c r="HD88" s="54">
        <v>21022</v>
      </c>
      <c r="HE88" s="54">
        <v>1259876</v>
      </c>
      <c r="HF88" s="54">
        <v>0</v>
      </c>
      <c r="HG88" s="54">
        <v>0</v>
      </c>
      <c r="HH88" s="54">
        <v>0</v>
      </c>
      <c r="HI88" s="54">
        <v>0</v>
      </c>
      <c r="HJ88" s="54">
        <v>1814187</v>
      </c>
      <c r="HK88" s="54">
        <v>1814187</v>
      </c>
      <c r="HL88" s="54">
        <v>84169</v>
      </c>
      <c r="HM88" s="54">
        <v>73061</v>
      </c>
      <c r="HN88" s="54">
        <v>0</v>
      </c>
      <c r="HO88" s="54">
        <v>196187</v>
      </c>
      <c r="HP88" s="54">
        <v>1822</v>
      </c>
      <c r="HQ88" s="54">
        <v>355239</v>
      </c>
      <c r="HR88" s="54">
        <v>0</v>
      </c>
      <c r="HS88" s="54">
        <v>0</v>
      </c>
      <c r="HT88" s="54">
        <v>0</v>
      </c>
      <c r="HU88" s="54">
        <v>0</v>
      </c>
      <c r="HV88" s="54">
        <v>2107125</v>
      </c>
      <c r="HW88" s="54">
        <v>2107125</v>
      </c>
      <c r="HX88" s="54">
        <v>0</v>
      </c>
      <c r="HY88" s="54">
        <v>0</v>
      </c>
      <c r="HZ88" s="54">
        <v>0</v>
      </c>
      <c r="IA88" s="54">
        <v>0</v>
      </c>
      <c r="IB88" s="54">
        <v>84141</v>
      </c>
      <c r="IC88" s="54">
        <v>84141</v>
      </c>
      <c r="ID88" s="54">
        <v>0</v>
      </c>
      <c r="IE88" s="54">
        <v>0</v>
      </c>
      <c r="IF88" s="54">
        <v>0</v>
      </c>
      <c r="IG88" s="54">
        <v>0</v>
      </c>
      <c r="IH88" s="54">
        <v>2245531</v>
      </c>
      <c r="II88" s="54">
        <v>2245531</v>
      </c>
      <c r="IJ88" s="54">
        <v>0</v>
      </c>
      <c r="IK88" s="54">
        <v>0</v>
      </c>
      <c r="IL88" s="54">
        <v>0</v>
      </c>
      <c r="IM88" s="54">
        <v>0</v>
      </c>
      <c r="IN88" s="54">
        <v>745702</v>
      </c>
      <c r="IO88" s="54">
        <v>745702</v>
      </c>
      <c r="IP88" s="54">
        <v>0</v>
      </c>
      <c r="IQ88" s="54">
        <v>0</v>
      </c>
      <c r="IR88" s="54">
        <v>0</v>
      </c>
      <c r="IS88" s="54">
        <v>0</v>
      </c>
      <c r="IT88" s="54">
        <v>2400680</v>
      </c>
      <c r="IU88" s="54">
        <v>2400680</v>
      </c>
      <c r="IV88" s="54">
        <v>0</v>
      </c>
      <c r="IW88" s="54">
        <v>0</v>
      </c>
      <c r="IX88" s="54">
        <v>0</v>
      </c>
      <c r="IY88" s="54">
        <v>0</v>
      </c>
      <c r="IZ88" s="54">
        <v>1611284</v>
      </c>
      <c r="JA88" s="54">
        <v>1611284</v>
      </c>
      <c r="JB88" s="54">
        <v>9193553</v>
      </c>
      <c r="JC88" s="54">
        <v>3229260</v>
      </c>
      <c r="JD88" s="54">
        <v>1965200</v>
      </c>
      <c r="JE88" s="54">
        <v>9408665</v>
      </c>
      <c r="JF88" s="54">
        <v>16820415</v>
      </c>
      <c r="JG88" s="54">
        <v>40617093</v>
      </c>
      <c r="JH88" s="54">
        <v>0</v>
      </c>
      <c r="JI88" s="54">
        <v>0</v>
      </c>
      <c r="JJ88" s="54">
        <v>0</v>
      </c>
      <c r="JK88" s="54">
        <v>0</v>
      </c>
      <c r="JL88" s="54">
        <v>0</v>
      </c>
      <c r="JM88" s="54">
        <v>0</v>
      </c>
      <c r="JN88" s="54">
        <v>9193553</v>
      </c>
      <c r="JO88" s="54">
        <v>3229260</v>
      </c>
      <c r="JP88" s="54">
        <v>1965200</v>
      </c>
      <c r="JQ88" s="54">
        <v>9408665</v>
      </c>
      <c r="JR88" s="54">
        <v>16820415</v>
      </c>
      <c r="JS88" s="54">
        <v>40617093</v>
      </c>
      <c r="JU88" s="5">
        <f t="shared" si="160"/>
        <v>5101745</v>
      </c>
      <c r="JV88" s="26">
        <f t="shared" si="161"/>
        <v>0</v>
      </c>
      <c r="JW88" s="5">
        <f t="shared" si="162"/>
        <v>1608068</v>
      </c>
      <c r="JX88" s="26">
        <f t="shared" si="163"/>
        <v>0</v>
      </c>
      <c r="JY88" s="5">
        <f t="shared" si="164"/>
        <v>1285022</v>
      </c>
      <c r="JZ88" s="26">
        <f t="shared" si="165"/>
        <v>0</v>
      </c>
      <c r="KA88" s="5">
        <f>SUM(BR88:BV88)</f>
        <v>7108305</v>
      </c>
      <c r="KB88" s="26">
        <f>BW88-KA88</f>
        <v>0</v>
      </c>
      <c r="KC88" s="5">
        <f t="shared" si="168"/>
        <v>0</v>
      </c>
      <c r="KD88" s="26">
        <f t="shared" si="169"/>
        <v>0</v>
      </c>
      <c r="KE88" s="5">
        <f t="shared" si="170"/>
        <v>0</v>
      </c>
      <c r="KF88" s="26">
        <f t="shared" si="171"/>
        <v>0</v>
      </c>
      <c r="KG88" s="5">
        <f t="shared" si="172"/>
        <v>7678042</v>
      </c>
      <c r="KH88" s="26">
        <f t="shared" si="173"/>
        <v>0</v>
      </c>
      <c r="KI88" s="5">
        <f t="shared" si="174"/>
        <v>2245531</v>
      </c>
      <c r="KJ88" s="26">
        <f t="shared" si="175"/>
        <v>0</v>
      </c>
      <c r="KK88" s="5">
        <f t="shared" si="176"/>
        <v>8932571</v>
      </c>
      <c r="KL88" s="26">
        <f t="shared" si="177"/>
        <v>0</v>
      </c>
      <c r="KM88" s="5">
        <f t="shared" si="178"/>
        <v>120473</v>
      </c>
      <c r="KN88" s="26">
        <f t="shared" si="179"/>
        <v>0</v>
      </c>
      <c r="KO88" s="5">
        <f t="shared" si="180"/>
        <v>171340</v>
      </c>
      <c r="KP88" s="26">
        <f t="shared" si="181"/>
        <v>0</v>
      </c>
      <c r="KQ88" s="5">
        <f t="shared" si="182"/>
        <v>3905426</v>
      </c>
      <c r="KR88" s="26">
        <f t="shared" si="183"/>
        <v>0</v>
      </c>
      <c r="KS88" s="5">
        <f t="shared" si="184"/>
        <v>427697</v>
      </c>
      <c r="KT88" s="26">
        <f t="shared" si="185"/>
        <v>0</v>
      </c>
      <c r="KU88" s="5">
        <f t="shared" si="186"/>
        <v>481411</v>
      </c>
      <c r="KV88" s="26">
        <f t="shared" si="187"/>
        <v>0</v>
      </c>
      <c r="KW88" s="5">
        <f t="shared" si="188"/>
        <v>917851</v>
      </c>
      <c r="KX88" s="26">
        <f t="shared" si="189"/>
        <v>0</v>
      </c>
      <c r="KY88" s="5">
        <f t="shared" si="190"/>
        <v>39983482</v>
      </c>
      <c r="KZ88" s="26">
        <f t="shared" si="191"/>
        <v>0</v>
      </c>
      <c r="LA88" s="5">
        <f t="shared" si="233"/>
        <v>7238416</v>
      </c>
      <c r="LB88" s="26">
        <f t="shared" si="234"/>
        <v>0</v>
      </c>
      <c r="LC88" s="5">
        <f t="shared" si="235"/>
        <v>1401434</v>
      </c>
      <c r="LD88" s="26">
        <f t="shared" si="192"/>
        <v>0</v>
      </c>
      <c r="LE88" s="5">
        <f t="shared" si="193"/>
        <v>6572635</v>
      </c>
      <c r="LF88" s="26">
        <f t="shared" si="194"/>
        <v>0</v>
      </c>
      <c r="LG88" s="5">
        <f t="shared" si="195"/>
        <v>0</v>
      </c>
      <c r="LH88" s="26">
        <f t="shared" si="196"/>
        <v>0</v>
      </c>
      <c r="LI88" s="5">
        <f t="shared" si="197"/>
        <v>6501238</v>
      </c>
      <c r="LJ88" s="26">
        <f t="shared" si="198"/>
        <v>0</v>
      </c>
      <c r="LK88" s="5">
        <f t="shared" si="199"/>
        <v>0</v>
      </c>
      <c r="LL88" s="26">
        <f t="shared" si="200"/>
        <v>0</v>
      </c>
      <c r="LM88" s="5">
        <f t="shared" si="201"/>
        <v>105338</v>
      </c>
      <c r="LN88" s="26">
        <f t="shared" si="202"/>
        <v>0</v>
      </c>
      <c r="LO88" s="5">
        <f t="shared" si="203"/>
        <v>611759</v>
      </c>
      <c r="LP88" s="26">
        <f t="shared" si="204"/>
        <v>0</v>
      </c>
      <c r="LQ88" s="5">
        <f t="shared" si="205"/>
        <v>2963813</v>
      </c>
      <c r="LR88" s="26">
        <f t="shared" si="206"/>
        <v>0</v>
      </c>
      <c r="LS88" s="5">
        <f t="shared" si="207"/>
        <v>2598695</v>
      </c>
      <c r="LT88" s="26">
        <f t="shared" si="208"/>
        <v>0</v>
      </c>
      <c r="LU88" s="5">
        <f t="shared" si="209"/>
        <v>1259876</v>
      </c>
      <c r="LV88" s="26">
        <f t="shared" si="210"/>
        <v>0</v>
      </c>
      <c r="LW88" s="5">
        <f t="shared" si="211"/>
        <v>1814187</v>
      </c>
      <c r="LX88" s="26">
        <f t="shared" si="212"/>
        <v>0</v>
      </c>
      <c r="LY88" s="5">
        <f t="shared" si="213"/>
        <v>355239</v>
      </c>
      <c r="LZ88" s="26">
        <f t="shared" si="214"/>
        <v>0</v>
      </c>
      <c r="MA88" s="5">
        <f t="shared" si="215"/>
        <v>2107125</v>
      </c>
      <c r="MB88" s="26">
        <f t="shared" si="216"/>
        <v>0</v>
      </c>
      <c r="MC88" s="5">
        <f t="shared" si="217"/>
        <v>84141</v>
      </c>
      <c r="MD88" s="26">
        <f t="shared" si="218"/>
        <v>0</v>
      </c>
      <c r="ME88" s="5">
        <f t="shared" si="219"/>
        <v>2245531</v>
      </c>
      <c r="MF88" s="26">
        <f t="shared" si="220"/>
        <v>0</v>
      </c>
      <c r="MG88" s="5">
        <f t="shared" si="221"/>
        <v>745702</v>
      </c>
      <c r="MH88" s="26">
        <f t="shared" si="222"/>
        <v>0</v>
      </c>
      <c r="MI88" s="5">
        <f t="shared" si="223"/>
        <v>2400680</v>
      </c>
      <c r="MJ88" s="26">
        <f t="shared" si="224"/>
        <v>0</v>
      </c>
      <c r="MK88" s="5">
        <f t="shared" si="225"/>
        <v>1611284</v>
      </c>
      <c r="ML88" s="26">
        <f t="shared" si="226"/>
        <v>0</v>
      </c>
      <c r="MM88" s="5">
        <f t="shared" si="227"/>
        <v>40617093</v>
      </c>
      <c r="MN88" s="26">
        <f t="shared" si="228"/>
        <v>0</v>
      </c>
      <c r="MO88" s="5">
        <f t="shared" si="229"/>
        <v>0</v>
      </c>
      <c r="MP88" s="26">
        <f t="shared" si="230"/>
        <v>0</v>
      </c>
      <c r="MQ88" s="5">
        <f t="shared" si="231"/>
        <v>40617093</v>
      </c>
      <c r="MR88" s="26">
        <f t="shared" si="232"/>
        <v>0</v>
      </c>
      <c r="MT88" s="5">
        <f t="shared" si="158"/>
        <v>0</v>
      </c>
      <c r="MV88" s="4">
        <f t="shared" si="159"/>
        <v>0</v>
      </c>
    </row>
    <row r="89" spans="1:368" x14ac:dyDescent="0.15">
      <c r="A89" s="155" t="s">
        <v>303</v>
      </c>
      <c r="B89" s="25" t="s">
        <v>406</v>
      </c>
      <c r="C89" s="105">
        <v>157951</v>
      </c>
      <c r="D89" s="105">
        <v>2011</v>
      </c>
      <c r="E89" s="106">
        <v>1</v>
      </c>
      <c r="F89" s="106">
        <v>8</v>
      </c>
      <c r="G89" s="107">
        <v>6972</v>
      </c>
      <c r="H89" s="107">
        <v>9573</v>
      </c>
      <c r="I89" s="108">
        <v>300714557</v>
      </c>
      <c r="J89" s="108"/>
      <c r="K89" s="108">
        <v>4903333</v>
      </c>
      <c r="L89" s="108"/>
      <c r="M89" s="108">
        <v>12935594</v>
      </c>
      <c r="N89" s="108"/>
      <c r="O89" s="108">
        <v>61904300</v>
      </c>
      <c r="P89" s="108"/>
      <c r="Q89" s="108">
        <v>148517380</v>
      </c>
      <c r="R89" s="108"/>
      <c r="S89" s="108">
        <v>279943657</v>
      </c>
      <c r="T89" s="108"/>
      <c r="U89" s="108">
        <v>14280</v>
      </c>
      <c r="V89" s="108"/>
      <c r="W89" s="108">
        <v>25560</v>
      </c>
      <c r="X89" s="108"/>
      <c r="Y89" s="108">
        <v>17594</v>
      </c>
      <c r="Z89" s="108"/>
      <c r="AA89" s="108">
        <v>28874</v>
      </c>
      <c r="AB89" s="108"/>
      <c r="AC89" s="130">
        <v>9</v>
      </c>
      <c r="AD89" s="130">
        <v>10</v>
      </c>
      <c r="AE89" s="130">
        <v>0</v>
      </c>
      <c r="AF89" s="26">
        <v>3191888</v>
      </c>
      <c r="AG89" s="26">
        <v>1826307</v>
      </c>
      <c r="AH89" s="26">
        <v>349431</v>
      </c>
      <c r="AI89" s="26">
        <v>138016</v>
      </c>
      <c r="AJ89" s="26">
        <v>148923.85999999999</v>
      </c>
      <c r="AK89" s="36">
        <v>7</v>
      </c>
      <c r="AL89" s="26">
        <v>148923.85999999999</v>
      </c>
      <c r="AM89" s="36">
        <v>7</v>
      </c>
      <c r="AN89" s="26">
        <v>76001.25</v>
      </c>
      <c r="AO89" s="36">
        <v>8</v>
      </c>
      <c r="AP89" s="26">
        <v>76001</v>
      </c>
      <c r="AQ89" s="36">
        <v>8</v>
      </c>
      <c r="AR89" s="26">
        <v>82435.41</v>
      </c>
      <c r="AS89" s="36">
        <v>18.5</v>
      </c>
      <c r="AT89" s="26">
        <v>80266.05</v>
      </c>
      <c r="AU89" s="36">
        <v>19</v>
      </c>
      <c r="AV89" s="26">
        <v>59171.24</v>
      </c>
      <c r="AW89" s="36">
        <v>10.5</v>
      </c>
      <c r="AX89" s="26">
        <v>56481.64</v>
      </c>
      <c r="AY89" s="36">
        <v>11</v>
      </c>
      <c r="AZ89" s="91">
        <v>505284</v>
      </c>
      <c r="BA89" s="91">
        <v>820993</v>
      </c>
      <c r="BB89" s="91">
        <v>120580</v>
      </c>
      <c r="BC89" s="91">
        <v>40448</v>
      </c>
      <c r="BD89" s="91">
        <v>100076</v>
      </c>
      <c r="BE89" s="91">
        <v>1587381</v>
      </c>
      <c r="BF89" s="91">
        <v>1463828</v>
      </c>
      <c r="BG89" s="91">
        <v>496997</v>
      </c>
      <c r="BH89" s="91">
        <v>415357</v>
      </c>
      <c r="BI89" s="91">
        <v>1556465</v>
      </c>
      <c r="BJ89" s="91">
        <v>2588464</v>
      </c>
      <c r="BK89" s="91">
        <v>6521111</v>
      </c>
      <c r="BL89" s="91">
        <v>1650000</v>
      </c>
      <c r="BM89" s="91">
        <v>90000</v>
      </c>
      <c r="BN89" s="91">
        <v>22500</v>
      </c>
      <c r="BO89" s="91">
        <v>0</v>
      </c>
      <c r="BP89" s="91">
        <v>0</v>
      </c>
      <c r="BQ89" s="91">
        <v>1762500</v>
      </c>
      <c r="BR89" s="91">
        <v>227808</v>
      </c>
      <c r="BS89" s="91">
        <v>321233</v>
      </c>
      <c r="BT89" s="91">
        <v>17816</v>
      </c>
      <c r="BU89" s="91">
        <v>417797</v>
      </c>
      <c r="BV89" s="91">
        <v>1358349</v>
      </c>
      <c r="BW89" s="91">
        <v>2343003</v>
      </c>
      <c r="BX89" s="91">
        <v>21006</v>
      </c>
      <c r="BY89" s="91">
        <v>13394</v>
      </c>
      <c r="BZ89" s="91">
        <v>8289</v>
      </c>
      <c r="CA89" s="91">
        <v>12534</v>
      </c>
      <c r="CB89" s="91">
        <v>17902</v>
      </c>
      <c r="CC89" s="91">
        <v>73125</v>
      </c>
      <c r="CD89" s="91">
        <v>0</v>
      </c>
      <c r="CE89" s="91">
        <v>0</v>
      </c>
      <c r="CF89" s="91">
        <v>0</v>
      </c>
      <c r="CG89" s="91">
        <v>0</v>
      </c>
      <c r="CH89" s="91">
        <v>0</v>
      </c>
      <c r="CI89" s="91">
        <v>0</v>
      </c>
      <c r="CJ89" s="91">
        <v>977460</v>
      </c>
      <c r="CK89" s="91">
        <v>522839</v>
      </c>
      <c r="CL89" s="91">
        <v>626147</v>
      </c>
      <c r="CM89" s="91">
        <v>3256100</v>
      </c>
      <c r="CN89" s="91">
        <v>846828</v>
      </c>
      <c r="CO89" s="91">
        <v>6229374</v>
      </c>
      <c r="CP89" s="91">
        <v>0</v>
      </c>
      <c r="CQ89" s="91">
        <v>0</v>
      </c>
      <c r="CR89" s="91">
        <v>0</v>
      </c>
      <c r="CS89" s="91">
        <v>0</v>
      </c>
      <c r="CT89" s="91">
        <v>1346130</v>
      </c>
      <c r="CU89" s="91">
        <v>1346130</v>
      </c>
      <c r="CV89" s="91">
        <v>0</v>
      </c>
      <c r="CW89" s="91">
        <v>0</v>
      </c>
      <c r="CX89" s="91">
        <v>0</v>
      </c>
      <c r="CY89" s="91">
        <v>0</v>
      </c>
      <c r="CZ89" s="91">
        <v>858240</v>
      </c>
      <c r="DA89" s="91">
        <v>858240</v>
      </c>
      <c r="DB89" s="91">
        <v>0</v>
      </c>
      <c r="DC89" s="91">
        <v>0</v>
      </c>
      <c r="DD89" s="91">
        <v>0</v>
      </c>
      <c r="DE89" s="91">
        <v>0</v>
      </c>
      <c r="DF89" s="91">
        <v>0</v>
      </c>
      <c r="DG89" s="91">
        <v>0</v>
      </c>
      <c r="DH89" s="91">
        <v>0</v>
      </c>
      <c r="DI89" s="91">
        <v>0</v>
      </c>
      <c r="DJ89" s="91">
        <v>0</v>
      </c>
      <c r="DK89" s="91">
        <v>0</v>
      </c>
      <c r="DL89" s="91">
        <v>155614</v>
      </c>
      <c r="DM89" s="91">
        <v>155614</v>
      </c>
      <c r="DN89" s="91">
        <v>0</v>
      </c>
      <c r="DO89" s="91">
        <v>0</v>
      </c>
      <c r="DP89" s="91">
        <v>0</v>
      </c>
      <c r="DQ89" s="91">
        <v>0</v>
      </c>
      <c r="DR89" s="91">
        <v>669058</v>
      </c>
      <c r="DS89" s="91">
        <v>669058</v>
      </c>
      <c r="DT89" s="91">
        <v>24621</v>
      </c>
      <c r="DU89" s="91">
        <v>19768</v>
      </c>
      <c r="DV89" s="91">
        <v>10440</v>
      </c>
      <c r="DW89" s="91">
        <v>196875</v>
      </c>
      <c r="DX89" s="91">
        <v>0</v>
      </c>
      <c r="DY89" s="91">
        <v>251704</v>
      </c>
      <c r="DZ89" s="91">
        <v>166237</v>
      </c>
      <c r="EA89" s="91">
        <v>179265</v>
      </c>
      <c r="EB89" s="91">
        <v>3055</v>
      </c>
      <c r="EC89" s="91">
        <v>24171</v>
      </c>
      <c r="ED89" s="91">
        <v>2668</v>
      </c>
      <c r="EE89" s="91">
        <v>375396</v>
      </c>
      <c r="EF89" s="91">
        <v>67082</v>
      </c>
      <c r="EG89" s="91">
        <v>0</v>
      </c>
      <c r="EH89" s="91">
        <v>0</v>
      </c>
      <c r="EI89" s="91">
        <v>0</v>
      </c>
      <c r="EJ89" s="91">
        <v>29766</v>
      </c>
      <c r="EK89" s="91">
        <v>96848</v>
      </c>
      <c r="EL89" s="91">
        <v>5103326</v>
      </c>
      <c r="EM89" s="91">
        <v>2464489</v>
      </c>
      <c r="EN89" s="91">
        <v>1224184</v>
      </c>
      <c r="EO89" s="91">
        <v>5504390</v>
      </c>
      <c r="EP89" s="91">
        <v>7973095</v>
      </c>
      <c r="EQ89" s="91">
        <v>22269484</v>
      </c>
      <c r="ER89" s="91">
        <v>1910889</v>
      </c>
      <c r="ES89" s="91">
        <v>394058</v>
      </c>
      <c r="ET89" s="91">
        <v>282729</v>
      </c>
      <c r="EU89" s="91">
        <v>2430519</v>
      </c>
      <c r="EV89" s="91">
        <v>356810</v>
      </c>
      <c r="EW89" s="91">
        <v>5375005</v>
      </c>
      <c r="EX89" s="91">
        <v>350000</v>
      </c>
      <c r="EY89" s="91">
        <v>218277</v>
      </c>
      <c r="EZ89" s="91">
        <v>28000</v>
      </c>
      <c r="FA89" s="91">
        <v>11702</v>
      </c>
      <c r="FB89" s="91">
        <v>0</v>
      </c>
      <c r="FC89" s="91">
        <v>607979</v>
      </c>
      <c r="FD89" s="91">
        <v>1171544</v>
      </c>
      <c r="FE89" s="91">
        <v>746157</v>
      </c>
      <c r="FF89" s="91">
        <v>460522</v>
      </c>
      <c r="FG89" s="91">
        <v>1418607</v>
      </c>
      <c r="FH89" s="91">
        <v>0</v>
      </c>
      <c r="FI89" s="91">
        <v>3796830</v>
      </c>
      <c r="FJ89" s="91">
        <v>21006</v>
      </c>
      <c r="FK89" s="91">
        <v>13394</v>
      </c>
      <c r="FL89" s="91">
        <v>8289</v>
      </c>
      <c r="FM89" s="91">
        <v>12534</v>
      </c>
      <c r="FN89" s="91">
        <v>0</v>
      </c>
      <c r="FO89" s="91">
        <v>55223</v>
      </c>
      <c r="FP89" s="91">
        <v>434398</v>
      </c>
      <c r="FQ89" s="91">
        <v>216727</v>
      </c>
      <c r="FR89" s="91">
        <v>68978</v>
      </c>
      <c r="FS89" s="91">
        <v>24523</v>
      </c>
      <c r="FT89" s="91">
        <v>2345700</v>
      </c>
      <c r="FU89" s="91">
        <v>3090326</v>
      </c>
      <c r="FV89" s="91">
        <v>0</v>
      </c>
      <c r="FW89" s="91">
        <v>0</v>
      </c>
      <c r="FX89" s="91">
        <v>0</v>
      </c>
      <c r="FY89" s="91">
        <v>0</v>
      </c>
      <c r="FZ89" s="91">
        <v>17902</v>
      </c>
      <c r="GA89" s="91">
        <v>17902</v>
      </c>
      <c r="GB89" s="91">
        <v>0</v>
      </c>
      <c r="GC89" s="91">
        <v>0</v>
      </c>
      <c r="GD89" s="91">
        <v>0</v>
      </c>
      <c r="GE89" s="91">
        <v>0</v>
      </c>
      <c r="GF89" s="91">
        <v>0</v>
      </c>
      <c r="GG89" s="91">
        <v>0</v>
      </c>
      <c r="GH89" s="91">
        <v>170323</v>
      </c>
      <c r="GI89" s="91">
        <v>126911</v>
      </c>
      <c r="GJ89" s="91">
        <v>67814</v>
      </c>
      <c r="GK89" s="91">
        <v>122399</v>
      </c>
      <c r="GL89" s="91">
        <v>0</v>
      </c>
      <c r="GM89" s="91">
        <v>487447</v>
      </c>
      <c r="GN89" s="91">
        <v>466952</v>
      </c>
      <c r="GO89" s="91">
        <v>305289</v>
      </c>
      <c r="GP89" s="91">
        <v>180264</v>
      </c>
      <c r="GQ89" s="91">
        <v>559358</v>
      </c>
      <c r="GR89" s="91">
        <v>285194</v>
      </c>
      <c r="GS89" s="91">
        <v>1797057</v>
      </c>
      <c r="GT89" s="91">
        <v>157063</v>
      </c>
      <c r="GU89" s="91">
        <v>22768</v>
      </c>
      <c r="GV89" s="91">
        <v>12700</v>
      </c>
      <c r="GW89" s="91">
        <v>282382</v>
      </c>
      <c r="GX89" s="91">
        <v>0</v>
      </c>
      <c r="GY89" s="91">
        <v>474913</v>
      </c>
      <c r="GZ89" s="91">
        <v>76623</v>
      </c>
      <c r="HA89" s="91">
        <v>53607</v>
      </c>
      <c r="HB89" s="91">
        <v>47811</v>
      </c>
      <c r="HC89" s="91">
        <v>77760</v>
      </c>
      <c r="HD89" s="91">
        <v>335434</v>
      </c>
      <c r="HE89" s="91">
        <v>591235</v>
      </c>
      <c r="HF89" s="91">
        <v>27279</v>
      </c>
      <c r="HG89" s="91">
        <v>4215</v>
      </c>
      <c r="HH89" s="91">
        <v>1721</v>
      </c>
      <c r="HI89" s="91">
        <v>7745</v>
      </c>
      <c r="HJ89" s="91">
        <v>61394</v>
      </c>
      <c r="HK89" s="91">
        <v>102354</v>
      </c>
      <c r="HL89" s="91">
        <v>49478</v>
      </c>
      <c r="HM89" s="91">
        <v>23762</v>
      </c>
      <c r="HN89" s="91">
        <v>14123</v>
      </c>
      <c r="HO89" s="91">
        <v>205866</v>
      </c>
      <c r="HP89" s="91">
        <v>0</v>
      </c>
      <c r="HQ89" s="91">
        <v>293229</v>
      </c>
      <c r="HR89" s="91">
        <v>7273</v>
      </c>
      <c r="HS89" s="91">
        <v>0</v>
      </c>
      <c r="HT89" s="91">
        <v>435</v>
      </c>
      <c r="HU89" s="91">
        <v>41020</v>
      </c>
      <c r="HV89" s="91">
        <v>2018766</v>
      </c>
      <c r="HW89" s="91">
        <v>2067494</v>
      </c>
      <c r="HX89" s="91">
        <v>0</v>
      </c>
      <c r="HY89" s="91">
        <v>0</v>
      </c>
      <c r="HZ89" s="91">
        <v>0</v>
      </c>
      <c r="IA89" s="91">
        <v>0</v>
      </c>
      <c r="IB89" s="91">
        <v>111313</v>
      </c>
      <c r="IC89" s="91">
        <v>111313</v>
      </c>
      <c r="ID89" s="91">
        <v>0</v>
      </c>
      <c r="IE89" s="91">
        <v>0</v>
      </c>
      <c r="IF89" s="91">
        <v>0</v>
      </c>
      <c r="IG89" s="91">
        <v>0</v>
      </c>
      <c r="IH89" s="91">
        <v>1346130</v>
      </c>
      <c r="II89" s="91">
        <v>1346130</v>
      </c>
      <c r="IJ89" s="91">
        <v>0</v>
      </c>
      <c r="IK89" s="91">
        <v>0</v>
      </c>
      <c r="IL89" s="91">
        <v>0</v>
      </c>
      <c r="IM89" s="91">
        <v>0</v>
      </c>
      <c r="IN89" s="91">
        <v>464992</v>
      </c>
      <c r="IO89" s="91">
        <v>464992</v>
      </c>
      <c r="IP89" s="91">
        <v>0</v>
      </c>
      <c r="IQ89" s="91">
        <v>0</v>
      </c>
      <c r="IR89" s="91">
        <v>0</v>
      </c>
      <c r="IS89" s="91">
        <v>0</v>
      </c>
      <c r="IT89" s="91">
        <v>103404</v>
      </c>
      <c r="IU89" s="91">
        <v>103404</v>
      </c>
      <c r="IV89" s="91">
        <v>260498</v>
      </c>
      <c r="IW89" s="91">
        <v>334189</v>
      </c>
      <c r="IX89" s="91">
        <v>50218</v>
      </c>
      <c r="IY89" s="91">
        <v>309975</v>
      </c>
      <c r="IZ89" s="91">
        <v>526056</v>
      </c>
      <c r="JA89" s="91">
        <v>1480936</v>
      </c>
      <c r="JB89" s="91">
        <v>5103326</v>
      </c>
      <c r="JC89" s="91">
        <v>2464489</v>
      </c>
      <c r="JD89" s="91">
        <v>1224184</v>
      </c>
      <c r="JE89" s="91">
        <v>5504390</v>
      </c>
      <c r="JF89" s="91">
        <v>7273095</v>
      </c>
      <c r="JG89" s="91">
        <v>21569484</v>
      </c>
      <c r="JH89" s="91">
        <v>0</v>
      </c>
      <c r="JI89" s="91">
        <v>0</v>
      </c>
      <c r="JJ89" s="91">
        <v>0</v>
      </c>
      <c r="JK89" s="91">
        <v>0</v>
      </c>
      <c r="JL89" s="91">
        <v>0</v>
      </c>
      <c r="JM89" s="91">
        <v>0</v>
      </c>
      <c r="JN89" s="91">
        <v>5103326</v>
      </c>
      <c r="JO89" s="91">
        <v>2464489</v>
      </c>
      <c r="JP89" s="91">
        <v>1224184</v>
      </c>
      <c r="JQ89" s="91">
        <v>5504390</v>
      </c>
      <c r="JR89" s="91">
        <v>7273095</v>
      </c>
      <c r="JS89" s="91">
        <v>21569484</v>
      </c>
      <c r="JU89" s="5">
        <f t="shared" si="160"/>
        <v>1587381</v>
      </c>
      <c r="JV89" s="26">
        <f t="shared" si="161"/>
        <v>0</v>
      </c>
      <c r="JW89" s="5">
        <f t="shared" si="162"/>
        <v>6521111</v>
      </c>
      <c r="JX89" s="26">
        <f t="shared" si="163"/>
        <v>0</v>
      </c>
      <c r="JY89" s="5">
        <f t="shared" si="164"/>
        <v>1762500</v>
      </c>
      <c r="JZ89" s="26">
        <f t="shared" si="165"/>
        <v>0</v>
      </c>
      <c r="KA89" s="5">
        <f t="shared" si="166"/>
        <v>2343003</v>
      </c>
      <c r="KB89" s="26">
        <f t="shared" si="167"/>
        <v>0</v>
      </c>
      <c r="KC89" s="5">
        <f t="shared" si="168"/>
        <v>73125</v>
      </c>
      <c r="KD89" s="26">
        <f t="shared" si="169"/>
        <v>0</v>
      </c>
      <c r="KE89" s="5">
        <f t="shared" si="170"/>
        <v>0</v>
      </c>
      <c r="KF89" s="26">
        <f t="shared" si="171"/>
        <v>0</v>
      </c>
      <c r="KG89" s="5">
        <f t="shared" si="172"/>
        <v>6229374</v>
      </c>
      <c r="KH89" s="26">
        <f t="shared" si="173"/>
        <v>0</v>
      </c>
      <c r="KI89" s="5">
        <f t="shared" si="174"/>
        <v>1346130</v>
      </c>
      <c r="KJ89" s="26">
        <f t="shared" si="175"/>
        <v>0</v>
      </c>
      <c r="KK89" s="5">
        <f t="shared" si="176"/>
        <v>858240</v>
      </c>
      <c r="KL89" s="26">
        <f t="shared" si="177"/>
        <v>0</v>
      </c>
      <c r="KM89" s="5">
        <f t="shared" si="178"/>
        <v>0</v>
      </c>
      <c r="KN89" s="26">
        <f t="shared" si="179"/>
        <v>0</v>
      </c>
      <c r="KO89" s="5">
        <f t="shared" si="180"/>
        <v>155614</v>
      </c>
      <c r="KP89" s="26">
        <f t="shared" si="181"/>
        <v>0</v>
      </c>
      <c r="KQ89" s="5">
        <f t="shared" si="182"/>
        <v>669058</v>
      </c>
      <c r="KR89" s="26">
        <f t="shared" si="183"/>
        <v>0</v>
      </c>
      <c r="KS89" s="5">
        <f t="shared" si="184"/>
        <v>251704</v>
      </c>
      <c r="KT89" s="26">
        <f t="shared" si="185"/>
        <v>0</v>
      </c>
      <c r="KU89" s="5">
        <f t="shared" si="186"/>
        <v>375396</v>
      </c>
      <c r="KV89" s="26">
        <f t="shared" si="187"/>
        <v>0</v>
      </c>
      <c r="KW89" s="5">
        <f t="shared" si="188"/>
        <v>96848</v>
      </c>
      <c r="KX89" s="26">
        <f t="shared" si="189"/>
        <v>0</v>
      </c>
      <c r="KY89" s="5">
        <f t="shared" si="190"/>
        <v>22269484</v>
      </c>
      <c r="KZ89" s="26">
        <f t="shared" si="191"/>
        <v>0</v>
      </c>
      <c r="LA89" s="5">
        <f t="shared" si="233"/>
        <v>5375005</v>
      </c>
      <c r="LB89" s="26">
        <f t="shared" si="234"/>
        <v>0</v>
      </c>
      <c r="LC89" s="5">
        <f t="shared" si="235"/>
        <v>607979</v>
      </c>
      <c r="LD89" s="26">
        <f t="shared" si="192"/>
        <v>0</v>
      </c>
      <c r="LE89" s="5">
        <f t="shared" si="193"/>
        <v>3796830</v>
      </c>
      <c r="LF89" s="26">
        <f t="shared" si="194"/>
        <v>0</v>
      </c>
      <c r="LG89" s="5">
        <f t="shared" si="195"/>
        <v>55223</v>
      </c>
      <c r="LH89" s="26">
        <f t="shared" si="196"/>
        <v>0</v>
      </c>
      <c r="LI89" s="5">
        <f t="shared" si="197"/>
        <v>3090326</v>
      </c>
      <c r="LJ89" s="26">
        <f t="shared" si="198"/>
        <v>0</v>
      </c>
      <c r="LK89" s="5">
        <f t="shared" si="199"/>
        <v>17902</v>
      </c>
      <c r="LL89" s="26">
        <f t="shared" si="200"/>
        <v>0</v>
      </c>
      <c r="LM89" s="5">
        <f t="shared" si="201"/>
        <v>0</v>
      </c>
      <c r="LN89" s="26">
        <f t="shared" si="202"/>
        <v>0</v>
      </c>
      <c r="LO89" s="5">
        <f t="shared" si="203"/>
        <v>487447</v>
      </c>
      <c r="LP89" s="26">
        <f t="shared" si="204"/>
        <v>0</v>
      </c>
      <c r="LQ89" s="5">
        <f t="shared" si="205"/>
        <v>1797057</v>
      </c>
      <c r="LR89" s="26">
        <f t="shared" si="206"/>
        <v>0</v>
      </c>
      <c r="LS89" s="5">
        <f t="shared" si="207"/>
        <v>474913</v>
      </c>
      <c r="LT89" s="26">
        <f t="shared" si="208"/>
        <v>0</v>
      </c>
      <c r="LU89" s="5">
        <f t="shared" si="209"/>
        <v>591235</v>
      </c>
      <c r="LV89" s="26">
        <f t="shared" si="210"/>
        <v>0</v>
      </c>
      <c r="LW89" s="5">
        <f t="shared" si="211"/>
        <v>102354</v>
      </c>
      <c r="LX89" s="26">
        <f t="shared" si="212"/>
        <v>0</v>
      </c>
      <c r="LY89" s="5">
        <f t="shared" si="213"/>
        <v>293229</v>
      </c>
      <c r="LZ89" s="26">
        <f t="shared" si="214"/>
        <v>0</v>
      </c>
      <c r="MA89" s="5">
        <f t="shared" si="215"/>
        <v>2067494</v>
      </c>
      <c r="MB89" s="26">
        <f t="shared" si="216"/>
        <v>0</v>
      </c>
      <c r="MC89" s="5">
        <f t="shared" si="217"/>
        <v>111313</v>
      </c>
      <c r="MD89" s="26">
        <f t="shared" si="218"/>
        <v>0</v>
      </c>
      <c r="ME89" s="5">
        <f t="shared" si="219"/>
        <v>1346130</v>
      </c>
      <c r="MF89" s="26">
        <f t="shared" si="220"/>
        <v>0</v>
      </c>
      <c r="MG89" s="5">
        <f t="shared" si="221"/>
        <v>464992</v>
      </c>
      <c r="MH89" s="26">
        <f t="shared" si="222"/>
        <v>0</v>
      </c>
      <c r="MI89" s="5">
        <f t="shared" si="223"/>
        <v>103404</v>
      </c>
      <c r="MJ89" s="26">
        <f t="shared" si="224"/>
        <v>0</v>
      </c>
      <c r="MK89" s="5">
        <f>SUM(IV89:IZ89)</f>
        <v>1480936</v>
      </c>
      <c r="ML89" s="26">
        <f>JA89-MK89</f>
        <v>0</v>
      </c>
      <c r="MM89" s="5">
        <f t="shared" si="227"/>
        <v>21569484</v>
      </c>
      <c r="MN89" s="26">
        <f t="shared" si="228"/>
        <v>0</v>
      </c>
      <c r="MO89" s="5">
        <f t="shared" si="229"/>
        <v>0</v>
      </c>
      <c r="MP89" s="26">
        <f t="shared" si="230"/>
        <v>0</v>
      </c>
      <c r="MQ89" s="5">
        <f t="shared" si="231"/>
        <v>21569484</v>
      </c>
      <c r="MR89" s="26">
        <f t="shared" si="232"/>
        <v>0</v>
      </c>
      <c r="MT89" s="5">
        <f t="shared" si="158"/>
        <v>0</v>
      </c>
      <c r="MV89" s="4">
        <f t="shared" si="159"/>
        <v>0</v>
      </c>
    </row>
    <row r="90" spans="1:368" x14ac:dyDescent="0.15">
      <c r="A90" s="157" t="s">
        <v>305</v>
      </c>
      <c r="B90" s="25" t="s">
        <v>458</v>
      </c>
      <c r="C90" s="109">
        <v>172699</v>
      </c>
      <c r="D90" s="105">
        <v>2011</v>
      </c>
      <c r="E90" s="106">
        <v>1</v>
      </c>
      <c r="F90" s="106">
        <v>9</v>
      </c>
      <c r="G90" s="107">
        <v>8793</v>
      </c>
      <c r="H90" s="107">
        <v>8494</v>
      </c>
      <c r="I90" s="108">
        <v>506734892</v>
      </c>
      <c r="J90" s="108"/>
      <c r="K90" s="108">
        <v>3000000</v>
      </c>
      <c r="L90" s="108"/>
      <c r="M90" s="108">
        <v>23000000</v>
      </c>
      <c r="N90" s="108"/>
      <c r="O90" s="108">
        <v>33000000</v>
      </c>
      <c r="P90" s="108"/>
      <c r="Q90" s="108">
        <v>313000000</v>
      </c>
      <c r="R90" s="108"/>
      <c r="S90" s="112">
        <v>339858016</v>
      </c>
      <c r="T90" s="112"/>
      <c r="U90" s="112">
        <v>18359</v>
      </c>
      <c r="V90" s="112"/>
      <c r="W90" s="112">
        <v>31667</v>
      </c>
      <c r="X90" s="112"/>
      <c r="Y90" s="112">
        <v>31667</v>
      </c>
      <c r="Z90" s="112"/>
      <c r="AA90" s="112">
        <v>31667</v>
      </c>
      <c r="AB90" s="108"/>
      <c r="AC90" s="133">
        <v>6</v>
      </c>
      <c r="AD90" s="133">
        <v>8</v>
      </c>
      <c r="AE90" s="133">
        <v>0</v>
      </c>
      <c r="AF90" s="26">
        <v>3704398</v>
      </c>
      <c r="AG90" s="26">
        <v>3704398</v>
      </c>
      <c r="AH90" s="26">
        <v>257092</v>
      </c>
      <c r="AI90" s="26">
        <v>66616</v>
      </c>
      <c r="AJ90" s="26">
        <v>249037.17</v>
      </c>
      <c r="AK90" s="36">
        <v>6</v>
      </c>
      <c r="AL90" s="26">
        <v>249037.17</v>
      </c>
      <c r="AM90" s="36">
        <v>6</v>
      </c>
      <c r="AN90" s="26">
        <v>116554.38</v>
      </c>
      <c r="AO90" s="36">
        <v>8</v>
      </c>
      <c r="AP90" s="26">
        <v>116554.38</v>
      </c>
      <c r="AQ90" s="36">
        <v>8</v>
      </c>
      <c r="AR90" s="26">
        <v>118367.58</v>
      </c>
      <c r="AS90" s="36">
        <v>16.07</v>
      </c>
      <c r="AT90" s="26">
        <v>105675.94</v>
      </c>
      <c r="AU90" s="36">
        <v>18</v>
      </c>
      <c r="AV90" s="26">
        <v>60283.18</v>
      </c>
      <c r="AW90" s="36">
        <v>11</v>
      </c>
      <c r="AX90" s="26">
        <v>55259.58</v>
      </c>
      <c r="AY90" s="36">
        <v>12</v>
      </c>
      <c r="AZ90" s="54">
        <v>785443</v>
      </c>
      <c r="BA90" s="54">
        <v>220166</v>
      </c>
      <c r="BB90" s="54">
        <v>11112</v>
      </c>
      <c r="BC90" s="54">
        <f>1179399+24983-AZ90-BA90-BB90</f>
        <v>187661</v>
      </c>
      <c r="BD90" s="54">
        <v>28100</v>
      </c>
      <c r="BE90" s="54">
        <v>1232482</v>
      </c>
      <c r="BF90" s="54">
        <v>0</v>
      </c>
      <c r="BG90" s="54">
        <v>0</v>
      </c>
      <c r="BH90" s="54">
        <v>0</v>
      </c>
      <c r="BI90" s="54">
        <v>0</v>
      </c>
      <c r="BJ90" s="54">
        <v>0</v>
      </c>
      <c r="BK90" s="54">
        <v>0</v>
      </c>
      <c r="BL90" s="54">
        <v>1500000</v>
      </c>
      <c r="BM90" s="54">
        <v>130000</v>
      </c>
      <c r="BN90" s="54">
        <v>13383</v>
      </c>
      <c r="BO90" s="54">
        <f>1668300+29083-BL90-BM90-BN90</f>
        <v>54000</v>
      </c>
      <c r="BP90" s="54">
        <v>3660</v>
      </c>
      <c r="BQ90" s="54">
        <v>1701043</v>
      </c>
      <c r="BR90" s="54">
        <v>92426</v>
      </c>
      <c r="BS90" s="54">
        <v>18980</v>
      </c>
      <c r="BT90" s="54">
        <v>7279</v>
      </c>
      <c r="BU90" s="54">
        <f>169708+46973-BR90-BS90-BT90</f>
        <v>97996</v>
      </c>
      <c r="BV90" s="54">
        <v>709000</v>
      </c>
      <c r="BW90" s="54">
        <v>925681</v>
      </c>
      <c r="BX90" s="54">
        <v>0</v>
      </c>
      <c r="BY90" s="54">
        <v>0</v>
      </c>
      <c r="BZ90" s="54">
        <v>0</v>
      </c>
      <c r="CA90" s="54">
        <v>0</v>
      </c>
      <c r="CB90" s="54">
        <v>0</v>
      </c>
      <c r="CC90" s="54">
        <v>0</v>
      </c>
      <c r="CD90" s="54">
        <v>0</v>
      </c>
      <c r="CE90" s="54">
        <v>0</v>
      </c>
      <c r="CF90" s="54">
        <v>0</v>
      </c>
      <c r="CG90" s="54">
        <v>0</v>
      </c>
      <c r="CH90" s="54">
        <v>0</v>
      </c>
      <c r="CI90" s="54">
        <v>0</v>
      </c>
      <c r="CJ90" s="54">
        <v>0</v>
      </c>
      <c r="CK90" s="54">
        <v>0</v>
      </c>
      <c r="CL90" s="54">
        <v>0</v>
      </c>
      <c r="CM90" s="54">
        <v>0</v>
      </c>
      <c r="CN90" s="54">
        <v>15303748</v>
      </c>
      <c r="CO90" s="54">
        <v>15303748</v>
      </c>
      <c r="CP90" s="54">
        <v>0</v>
      </c>
      <c r="CQ90" s="54">
        <v>0</v>
      </c>
      <c r="CR90" s="54">
        <v>0</v>
      </c>
      <c r="CS90" s="54">
        <v>0</v>
      </c>
      <c r="CT90" s="54">
        <v>3298483</v>
      </c>
      <c r="CU90" s="54">
        <v>3298483</v>
      </c>
      <c r="CV90" s="54">
        <v>0</v>
      </c>
      <c r="CW90" s="54">
        <v>0</v>
      </c>
      <c r="CX90" s="54">
        <v>0</v>
      </c>
      <c r="CY90" s="54">
        <f>11100+2917-CV90-CW90-CX90</f>
        <v>14017</v>
      </c>
      <c r="CZ90" s="54">
        <v>1125521</v>
      </c>
      <c r="DA90" s="54">
        <v>1139538</v>
      </c>
      <c r="DB90" s="54">
        <v>0</v>
      </c>
      <c r="DC90" s="54">
        <v>0</v>
      </c>
      <c r="DD90" s="54">
        <v>0</v>
      </c>
      <c r="DE90" s="54">
        <v>0</v>
      </c>
      <c r="DF90" s="54">
        <v>0</v>
      </c>
      <c r="DG90" s="54">
        <v>0</v>
      </c>
      <c r="DH90" s="54">
        <v>6806</v>
      </c>
      <c r="DI90" s="54">
        <v>4254</v>
      </c>
      <c r="DJ90" s="54">
        <v>851</v>
      </c>
      <c r="DK90" s="54">
        <f>15314+1702-DH90-DI90-DJ90</f>
        <v>5105</v>
      </c>
      <c r="DL90" s="54">
        <v>0</v>
      </c>
      <c r="DM90" s="54">
        <v>17016</v>
      </c>
      <c r="DN90" s="54">
        <v>383934</v>
      </c>
      <c r="DO90" s="54">
        <v>239959</v>
      </c>
      <c r="DP90" s="54">
        <v>47992</v>
      </c>
      <c r="DQ90" s="54">
        <f>863852+95984-DN90-DO90-DP90</f>
        <v>287951</v>
      </c>
      <c r="DR90" s="54">
        <v>149550</v>
      </c>
      <c r="DS90" s="54">
        <v>1109386</v>
      </c>
      <c r="DT90" s="54">
        <v>16110</v>
      </c>
      <c r="DU90" s="54">
        <v>7552</v>
      </c>
      <c r="DV90" s="54">
        <v>10209</v>
      </c>
      <c r="DW90" s="54">
        <f>108699+152884-DT90-DU90-DV90</f>
        <v>227712</v>
      </c>
      <c r="DX90" s="54">
        <v>0</v>
      </c>
      <c r="DY90" s="54">
        <v>261583</v>
      </c>
      <c r="DZ90" s="54">
        <v>34460</v>
      </c>
      <c r="EA90" s="54">
        <v>2433</v>
      </c>
      <c r="EB90" s="54">
        <v>0</v>
      </c>
      <c r="EC90" s="54">
        <f>73519+65029-DZ90-EA90-EB90</f>
        <v>101655</v>
      </c>
      <c r="ED90" s="54">
        <v>0</v>
      </c>
      <c r="EE90" s="54">
        <v>138548</v>
      </c>
      <c r="EF90" s="54">
        <v>10850</v>
      </c>
      <c r="EG90" s="54">
        <v>7515</v>
      </c>
      <c r="EH90" s="54">
        <v>9858</v>
      </c>
      <c r="EI90" s="54">
        <f>98995+85599-EF90-EG90-EH90</f>
        <v>156371</v>
      </c>
      <c r="EJ90" s="54">
        <v>315650</v>
      </c>
      <c r="EK90" s="54">
        <v>500244</v>
      </c>
      <c r="EL90" s="54">
        <v>2830029</v>
      </c>
      <c r="EM90" s="54">
        <v>630859</v>
      </c>
      <c r="EN90" s="54">
        <v>100684</v>
      </c>
      <c r="EO90" s="54">
        <f>4188886+505154-EL90-EM90-EN90</f>
        <v>1132468</v>
      </c>
      <c r="EP90" s="54">
        <v>20933712</v>
      </c>
      <c r="EQ90" s="54">
        <v>25627752</v>
      </c>
      <c r="ER90" s="54">
        <v>2360852</v>
      </c>
      <c r="ES90" s="54">
        <v>325055</v>
      </c>
      <c r="ET90" s="54">
        <v>408538</v>
      </c>
      <c r="EU90" s="54">
        <f>3704398+2351866-ER90-ES90-ET90</f>
        <v>2961819</v>
      </c>
      <c r="EV90" s="54">
        <v>59026</v>
      </c>
      <c r="EW90" s="54">
        <v>6115290</v>
      </c>
      <c r="EX90" s="54">
        <v>500000</v>
      </c>
      <c r="EY90" s="54">
        <v>114000</v>
      </c>
      <c r="EZ90" s="54">
        <v>0</v>
      </c>
      <c r="FA90" s="54">
        <f>637393+750-EX90-EY90-EZ90</f>
        <v>24143</v>
      </c>
      <c r="FB90" s="54">
        <v>0</v>
      </c>
      <c r="FC90" s="54">
        <v>638143</v>
      </c>
      <c r="FD90" s="54">
        <f>35046+1185428</f>
        <v>1220474</v>
      </c>
      <c r="FE90" s="54">
        <f>410814+317105</f>
        <v>727919</v>
      </c>
      <c r="FF90" s="54">
        <f>250700+243298</f>
        <v>493998</v>
      </c>
      <c r="FG90" s="54">
        <f>1494223+1902167+932435+663115-FD90-FE90-FF90</f>
        <v>2549549</v>
      </c>
      <c r="FH90" s="54">
        <v>0</v>
      </c>
      <c r="FI90" s="54">
        <v>4991940</v>
      </c>
      <c r="FJ90" s="54">
        <v>0</v>
      </c>
      <c r="FK90" s="54">
        <v>0</v>
      </c>
      <c r="FL90" s="54">
        <v>0</v>
      </c>
      <c r="FM90" s="54">
        <v>0</v>
      </c>
      <c r="FN90" s="54">
        <v>0</v>
      </c>
      <c r="FO90" s="54">
        <v>0</v>
      </c>
      <c r="FP90" s="54">
        <v>81578</v>
      </c>
      <c r="FQ90" s="54">
        <v>43478</v>
      </c>
      <c r="FR90" s="54">
        <v>27069</v>
      </c>
      <c r="FS90" s="54">
        <f>126341+40802-FP90-FQ90-FR90</f>
        <v>15018</v>
      </c>
      <c r="FT90" s="54">
        <v>2805583</v>
      </c>
      <c r="FU90" s="54">
        <v>2972726</v>
      </c>
      <c r="FV90" s="54">
        <v>0</v>
      </c>
      <c r="FW90" s="54">
        <v>0</v>
      </c>
      <c r="FX90" s="54">
        <v>0</v>
      </c>
      <c r="FY90" s="54">
        <v>0</v>
      </c>
      <c r="FZ90" s="54">
        <v>0</v>
      </c>
      <c r="GA90" s="54">
        <v>0</v>
      </c>
      <c r="GB90" s="54">
        <v>0</v>
      </c>
      <c r="GC90" s="54">
        <v>0</v>
      </c>
      <c r="GD90" s="54">
        <v>0</v>
      </c>
      <c r="GE90" s="54">
        <v>0</v>
      </c>
      <c r="GF90" s="54">
        <v>0</v>
      </c>
      <c r="GG90" s="54">
        <v>0</v>
      </c>
      <c r="GH90" s="54">
        <v>166306</v>
      </c>
      <c r="GI90" s="54">
        <v>38239</v>
      </c>
      <c r="GJ90" s="54">
        <v>48219</v>
      </c>
      <c r="GK90" s="54">
        <f>257092+66616-GH90-GI90-GJ90</f>
        <v>70944</v>
      </c>
      <c r="GL90" s="54">
        <v>0</v>
      </c>
      <c r="GM90" s="54">
        <v>323708</v>
      </c>
      <c r="GN90" s="54">
        <v>327283</v>
      </c>
      <c r="GO90" s="54">
        <v>181261</v>
      </c>
      <c r="GP90" s="54">
        <v>179463</v>
      </c>
      <c r="GQ90" s="54">
        <f>897012+651797-GN90-GO90-GP90</f>
        <v>860802</v>
      </c>
      <c r="GR90" s="54">
        <v>36878</v>
      </c>
      <c r="GS90" s="54">
        <v>1585687</v>
      </c>
      <c r="GT90" s="54">
        <v>372272</v>
      </c>
      <c r="GU90" s="54">
        <v>72606</v>
      </c>
      <c r="GV90" s="54">
        <v>60421</v>
      </c>
      <c r="GW90" s="54">
        <f>720213+189582-GT90-GU90-GV90</f>
        <v>404496</v>
      </c>
      <c r="GX90" s="54">
        <v>19082</v>
      </c>
      <c r="GY90" s="54">
        <v>928877</v>
      </c>
      <c r="GZ90" s="54">
        <v>65254</v>
      </c>
      <c r="HA90" s="54">
        <v>61975</v>
      </c>
      <c r="HB90" s="54">
        <v>36750</v>
      </c>
      <c r="HC90" s="54">
        <f>151642+69765-GZ90-HA90-HB90</f>
        <v>57428</v>
      </c>
      <c r="HD90" s="54">
        <v>549346</v>
      </c>
      <c r="HE90" s="54">
        <v>770753</v>
      </c>
      <c r="HF90" s="54">
        <v>1376</v>
      </c>
      <c r="HG90" s="54">
        <v>0</v>
      </c>
      <c r="HH90" s="54">
        <v>0</v>
      </c>
      <c r="HI90" s="54">
        <f>1919+0-HF90-HG90-HH90</f>
        <v>543</v>
      </c>
      <c r="HJ90" s="54">
        <v>585713</v>
      </c>
      <c r="HK90" s="54">
        <v>587632</v>
      </c>
      <c r="HL90" s="54">
        <v>17714</v>
      </c>
      <c r="HM90" s="54">
        <v>13159</v>
      </c>
      <c r="HN90" s="54">
        <v>6184</v>
      </c>
      <c r="HO90" s="54">
        <f>121313+117993-HL90-HM90-HN90</f>
        <v>202249</v>
      </c>
      <c r="HP90" s="54">
        <v>0</v>
      </c>
      <c r="HQ90" s="54">
        <v>239306</v>
      </c>
      <c r="HR90" s="54">
        <v>7287</v>
      </c>
      <c r="HS90" s="54">
        <v>650</v>
      </c>
      <c r="HT90" s="54">
        <v>331</v>
      </c>
      <c r="HU90" s="54">
        <f>119185+24668-HR90-HS90-HT90</f>
        <v>135585</v>
      </c>
      <c r="HV90" s="54">
        <v>714675</v>
      </c>
      <c r="HW90" s="54">
        <v>858528</v>
      </c>
      <c r="HX90" s="54">
        <v>0</v>
      </c>
      <c r="HY90" s="54">
        <v>0</v>
      </c>
      <c r="HZ90" s="54">
        <v>0</v>
      </c>
      <c r="IA90" s="54">
        <v>0</v>
      </c>
      <c r="IB90" s="54">
        <v>72103</v>
      </c>
      <c r="IC90" s="54">
        <v>72103</v>
      </c>
      <c r="ID90" s="54">
        <v>0</v>
      </c>
      <c r="IE90" s="54">
        <v>0</v>
      </c>
      <c r="IF90" s="54">
        <v>0</v>
      </c>
      <c r="IG90" s="54">
        <v>0</v>
      </c>
      <c r="IH90" s="54">
        <v>3298483</v>
      </c>
      <c r="II90" s="54">
        <v>3298483</v>
      </c>
      <c r="IJ90" s="54">
        <v>0</v>
      </c>
      <c r="IK90" s="54">
        <v>0</v>
      </c>
      <c r="IL90" s="54">
        <v>0</v>
      </c>
      <c r="IM90" s="54">
        <v>0</v>
      </c>
      <c r="IN90" s="54">
        <v>656764</v>
      </c>
      <c r="IO90" s="54">
        <v>656764</v>
      </c>
      <c r="IP90" s="54">
        <v>9750</v>
      </c>
      <c r="IQ90" s="54">
        <v>288</v>
      </c>
      <c r="IR90" s="54">
        <v>814</v>
      </c>
      <c r="IS90" s="54">
        <f>10560+4530-IP90-IQ90-IR90</f>
        <v>4238</v>
      </c>
      <c r="IT90" s="54">
        <v>345487</v>
      </c>
      <c r="IU90" s="54">
        <v>360577</v>
      </c>
      <c r="IV90" s="54">
        <v>145227</v>
      </c>
      <c r="IW90" s="54">
        <v>33824</v>
      </c>
      <c r="IX90" s="54">
        <v>20773</v>
      </c>
      <c r="IY90" s="54">
        <f>282984+77595-IV90-IW90-IX90</f>
        <v>160755</v>
      </c>
      <c r="IZ90" s="54">
        <v>649324</v>
      </c>
      <c r="JA90" s="54">
        <v>1009903</v>
      </c>
      <c r="JB90" s="54">
        <v>5775373</v>
      </c>
      <c r="JC90" s="54">
        <v>1612454</v>
      </c>
      <c r="JD90" s="54">
        <v>1282560</v>
      </c>
      <c r="JE90" s="54">
        <f>10426442+5191514-JB90-JC90-JD90</f>
        <v>6947569</v>
      </c>
      <c r="JF90" s="54">
        <v>9792464</v>
      </c>
      <c r="JG90" s="54">
        <v>25410420</v>
      </c>
      <c r="JH90" s="54" t="s">
        <v>485</v>
      </c>
      <c r="JI90" s="54">
        <v>0</v>
      </c>
      <c r="JJ90" s="54">
        <v>0</v>
      </c>
      <c r="JK90" s="54">
        <v>0</v>
      </c>
      <c r="JL90" s="54">
        <v>0</v>
      </c>
      <c r="JM90" s="54">
        <v>0</v>
      </c>
      <c r="JN90" s="54">
        <v>5775373</v>
      </c>
      <c r="JO90" s="54">
        <v>1612454</v>
      </c>
      <c r="JP90" s="54">
        <v>1282560</v>
      </c>
      <c r="JQ90" s="54">
        <f>10426442+5191514-JN90-JO90-JP90</f>
        <v>6947569</v>
      </c>
      <c r="JR90" s="54">
        <v>9792464</v>
      </c>
      <c r="JS90" s="54">
        <v>25410420</v>
      </c>
      <c r="JU90" s="5">
        <f t="shared" si="160"/>
        <v>1232482</v>
      </c>
      <c r="JV90" s="26">
        <f t="shared" si="161"/>
        <v>0</v>
      </c>
      <c r="JW90" s="5">
        <f t="shared" si="162"/>
        <v>0</v>
      </c>
      <c r="JX90" s="26">
        <f t="shared" si="163"/>
        <v>0</v>
      </c>
      <c r="JY90" s="5">
        <f t="shared" si="164"/>
        <v>1701043</v>
      </c>
      <c r="JZ90" s="26">
        <f t="shared" si="165"/>
        <v>0</v>
      </c>
      <c r="KA90" s="5">
        <f t="shared" si="166"/>
        <v>925681</v>
      </c>
      <c r="KB90" s="26">
        <f t="shared" si="167"/>
        <v>0</v>
      </c>
      <c r="KC90" s="5">
        <f t="shared" si="168"/>
        <v>0</v>
      </c>
      <c r="KD90" s="26">
        <f t="shared" si="169"/>
        <v>0</v>
      </c>
      <c r="KE90" s="5">
        <f t="shared" si="170"/>
        <v>0</v>
      </c>
      <c r="KF90" s="26">
        <f t="shared" si="171"/>
        <v>0</v>
      </c>
      <c r="KG90" s="5">
        <f t="shared" si="172"/>
        <v>15303748</v>
      </c>
      <c r="KH90" s="26">
        <f t="shared" si="173"/>
        <v>0</v>
      </c>
      <c r="KI90" s="5">
        <f t="shared" si="174"/>
        <v>3298483</v>
      </c>
      <c r="KJ90" s="26">
        <f t="shared" si="175"/>
        <v>0</v>
      </c>
      <c r="KK90" s="5">
        <f t="shared" si="176"/>
        <v>1139538</v>
      </c>
      <c r="KL90" s="26">
        <f t="shared" si="177"/>
        <v>0</v>
      </c>
      <c r="KM90" s="5">
        <f t="shared" si="178"/>
        <v>0</v>
      </c>
      <c r="KN90" s="26">
        <f t="shared" si="179"/>
        <v>0</v>
      </c>
      <c r="KO90" s="5">
        <f t="shared" si="180"/>
        <v>17016</v>
      </c>
      <c r="KP90" s="26">
        <f t="shared" si="181"/>
        <v>0</v>
      </c>
      <c r="KQ90" s="5">
        <f t="shared" si="182"/>
        <v>1109386</v>
      </c>
      <c r="KR90" s="26">
        <f t="shared" si="183"/>
        <v>0</v>
      </c>
      <c r="KS90" s="5">
        <f t="shared" si="184"/>
        <v>261583</v>
      </c>
      <c r="KT90" s="26">
        <f t="shared" si="185"/>
        <v>0</v>
      </c>
      <c r="KU90" s="5">
        <f t="shared" si="186"/>
        <v>138548</v>
      </c>
      <c r="KV90" s="26">
        <f t="shared" si="187"/>
        <v>0</v>
      </c>
      <c r="KW90" s="5">
        <f t="shared" si="188"/>
        <v>500244</v>
      </c>
      <c r="KX90" s="26">
        <f t="shared" si="189"/>
        <v>0</v>
      </c>
      <c r="KY90" s="5">
        <f t="shared" si="190"/>
        <v>25627752</v>
      </c>
      <c r="KZ90" s="26">
        <f t="shared" si="191"/>
        <v>0</v>
      </c>
      <c r="LA90" s="5">
        <f t="shared" si="233"/>
        <v>6115290</v>
      </c>
      <c r="LB90" s="26">
        <f t="shared" si="234"/>
        <v>0</v>
      </c>
      <c r="LC90" s="5">
        <f t="shared" si="235"/>
        <v>638143</v>
      </c>
      <c r="LD90" s="26">
        <f t="shared" si="192"/>
        <v>0</v>
      </c>
      <c r="LE90" s="5">
        <f t="shared" si="193"/>
        <v>4991940</v>
      </c>
      <c r="LF90" s="26">
        <f t="shared" si="194"/>
        <v>0</v>
      </c>
      <c r="LG90" s="5">
        <f t="shared" si="195"/>
        <v>0</v>
      </c>
      <c r="LH90" s="26">
        <f t="shared" si="196"/>
        <v>0</v>
      </c>
      <c r="LI90" s="5">
        <f t="shared" si="197"/>
        <v>2972726</v>
      </c>
      <c r="LJ90" s="26">
        <f t="shared" si="198"/>
        <v>0</v>
      </c>
      <c r="LK90" s="5">
        <f t="shared" si="199"/>
        <v>0</v>
      </c>
      <c r="LL90" s="26">
        <f t="shared" si="200"/>
        <v>0</v>
      </c>
      <c r="LM90" s="5">
        <f t="shared" si="201"/>
        <v>0</v>
      </c>
      <c r="LN90" s="26">
        <f t="shared" si="202"/>
        <v>0</v>
      </c>
      <c r="LO90" s="5">
        <f t="shared" si="203"/>
        <v>323708</v>
      </c>
      <c r="LP90" s="26">
        <f t="shared" si="204"/>
        <v>0</v>
      </c>
      <c r="LQ90" s="5">
        <f t="shared" si="205"/>
        <v>1585687</v>
      </c>
      <c r="LR90" s="26">
        <f t="shared" si="206"/>
        <v>0</v>
      </c>
      <c r="LS90" s="5">
        <f t="shared" si="207"/>
        <v>928877</v>
      </c>
      <c r="LT90" s="26">
        <f t="shared" si="208"/>
        <v>0</v>
      </c>
      <c r="LU90" s="5">
        <f t="shared" si="209"/>
        <v>770753</v>
      </c>
      <c r="LV90" s="26">
        <f t="shared" si="210"/>
        <v>0</v>
      </c>
      <c r="LW90" s="5">
        <f t="shared" si="211"/>
        <v>587632</v>
      </c>
      <c r="LX90" s="26">
        <f t="shared" si="212"/>
        <v>0</v>
      </c>
      <c r="LY90" s="5">
        <f t="shared" si="213"/>
        <v>239306</v>
      </c>
      <c r="LZ90" s="26">
        <f t="shared" si="214"/>
        <v>0</v>
      </c>
      <c r="MA90" s="5">
        <f t="shared" si="215"/>
        <v>858528</v>
      </c>
      <c r="MB90" s="26">
        <f t="shared" si="216"/>
        <v>0</v>
      </c>
      <c r="MC90" s="5">
        <f t="shared" si="217"/>
        <v>72103</v>
      </c>
      <c r="MD90" s="26">
        <f t="shared" si="218"/>
        <v>0</v>
      </c>
      <c r="ME90" s="5">
        <f t="shared" si="219"/>
        <v>3298483</v>
      </c>
      <c r="MF90" s="26">
        <f t="shared" si="220"/>
        <v>0</v>
      </c>
      <c r="MG90" s="5">
        <f t="shared" si="221"/>
        <v>656764</v>
      </c>
      <c r="MH90" s="26">
        <f t="shared" si="222"/>
        <v>0</v>
      </c>
      <c r="MI90" s="5">
        <f t="shared" si="223"/>
        <v>360577</v>
      </c>
      <c r="MJ90" s="26">
        <f t="shared" si="224"/>
        <v>0</v>
      </c>
      <c r="MK90" s="5">
        <f t="shared" si="225"/>
        <v>1009903</v>
      </c>
      <c r="ML90" s="26">
        <f t="shared" si="226"/>
        <v>0</v>
      </c>
      <c r="MM90" s="5">
        <f t="shared" si="227"/>
        <v>25410420</v>
      </c>
      <c r="MN90" s="26">
        <f t="shared" si="228"/>
        <v>0</v>
      </c>
      <c r="MO90" s="5">
        <f t="shared" si="229"/>
        <v>0</v>
      </c>
      <c r="MP90" s="26">
        <f t="shared" si="230"/>
        <v>0</v>
      </c>
      <c r="MQ90" s="5">
        <f t="shared" si="231"/>
        <v>25410420</v>
      </c>
      <c r="MR90" s="26">
        <f t="shared" si="232"/>
        <v>0</v>
      </c>
      <c r="MT90" s="5">
        <f t="shared" si="158"/>
        <v>0</v>
      </c>
      <c r="MV90" s="4">
        <f t="shared" si="159"/>
        <v>0</v>
      </c>
    </row>
    <row r="91" spans="1:368" x14ac:dyDescent="0.15">
      <c r="A91" s="18" t="s">
        <v>306</v>
      </c>
      <c r="B91" s="25" t="s">
        <v>458</v>
      </c>
      <c r="C91" s="109">
        <v>240444</v>
      </c>
      <c r="D91" s="105">
        <v>2011</v>
      </c>
      <c r="E91" s="106">
        <v>1</v>
      </c>
      <c r="F91" s="106">
        <v>3</v>
      </c>
      <c r="G91" s="107">
        <v>13259</v>
      </c>
      <c r="H91" s="107">
        <v>14115</v>
      </c>
      <c r="I91" s="108">
        <v>2270529389</v>
      </c>
      <c r="J91" s="108"/>
      <c r="K91" s="108">
        <v>9933107</v>
      </c>
      <c r="L91" s="108"/>
      <c r="M91" s="108">
        <v>45986245</v>
      </c>
      <c r="N91" s="108"/>
      <c r="O91" s="108">
        <v>91077543</v>
      </c>
      <c r="P91" s="108"/>
      <c r="Q91" s="108">
        <v>623314319</v>
      </c>
      <c r="R91" s="108"/>
      <c r="S91" s="108">
        <v>1967433683</v>
      </c>
      <c r="T91" s="108"/>
      <c r="U91" s="108">
        <v>18928</v>
      </c>
      <c r="V91" s="108"/>
      <c r="W91" s="108">
        <v>34178</v>
      </c>
      <c r="X91" s="108"/>
      <c r="Y91" s="108">
        <v>22568</v>
      </c>
      <c r="Z91" s="108"/>
      <c r="AA91" s="108">
        <v>38708</v>
      </c>
      <c r="AB91" s="108"/>
      <c r="AC91" s="129">
        <v>12</v>
      </c>
      <c r="AD91" s="129">
        <v>11</v>
      </c>
      <c r="AE91" s="129">
        <v>0</v>
      </c>
      <c r="AF91" s="26">
        <v>5253804</v>
      </c>
      <c r="AG91" s="26">
        <v>4341452</v>
      </c>
      <c r="AH91" s="26">
        <v>448623</v>
      </c>
      <c r="AI91" s="26">
        <v>316760</v>
      </c>
      <c r="AJ91" s="26">
        <v>550306.86</v>
      </c>
      <c r="AK91" s="36">
        <v>10.5</v>
      </c>
      <c r="AL91" s="26">
        <v>525292.91</v>
      </c>
      <c r="AM91" s="36">
        <v>11</v>
      </c>
      <c r="AN91" s="26">
        <v>192128.32</v>
      </c>
      <c r="AO91" s="36">
        <v>9.5</v>
      </c>
      <c r="AP91" s="26">
        <v>182521.9</v>
      </c>
      <c r="AQ91" s="36">
        <v>10</v>
      </c>
      <c r="AR91" s="26">
        <v>191230.12</v>
      </c>
      <c r="AS91" s="36">
        <v>25</v>
      </c>
      <c r="AT91" s="26">
        <v>177064.93</v>
      </c>
      <c r="AU91" s="36">
        <v>27</v>
      </c>
      <c r="AV91" s="26">
        <v>83993.81</v>
      </c>
      <c r="AW91" s="36">
        <v>21</v>
      </c>
      <c r="AX91" s="26">
        <v>76690</v>
      </c>
      <c r="AY91" s="36">
        <v>23</v>
      </c>
      <c r="AZ91" s="54">
        <v>18285170</v>
      </c>
      <c r="BA91" s="65">
        <v>5369181</v>
      </c>
      <c r="BB91" s="65">
        <v>138893</v>
      </c>
      <c r="BC91" s="65">
        <v>3539985</v>
      </c>
      <c r="BD91" s="65">
        <v>0</v>
      </c>
      <c r="BE91" s="65">
        <v>27333229</v>
      </c>
      <c r="BF91" s="65">
        <v>0</v>
      </c>
      <c r="BG91" s="54">
        <v>0</v>
      </c>
      <c r="BH91" s="54">
        <v>0</v>
      </c>
      <c r="BI91" s="54">
        <v>0</v>
      </c>
      <c r="BJ91" s="54">
        <v>0</v>
      </c>
      <c r="BK91" s="54">
        <v>0</v>
      </c>
      <c r="BL91" s="54">
        <v>300000</v>
      </c>
      <c r="BM91" s="65">
        <v>0</v>
      </c>
      <c r="BN91" s="65">
        <v>0</v>
      </c>
      <c r="BO91" s="65">
        <v>28000</v>
      </c>
      <c r="BP91" s="65">
        <v>0</v>
      </c>
      <c r="BQ91" s="65">
        <v>328000</v>
      </c>
      <c r="BR91" s="65">
        <v>7126375</v>
      </c>
      <c r="BS91" s="65">
        <v>1119408</v>
      </c>
      <c r="BT91" s="65">
        <v>920079</v>
      </c>
      <c r="BU91" s="65">
        <v>1336994</v>
      </c>
      <c r="BV91" s="65">
        <v>4408302</v>
      </c>
      <c r="BW91" s="65">
        <v>14911158</v>
      </c>
      <c r="BX91" s="65">
        <v>0</v>
      </c>
      <c r="BY91" s="54">
        <v>0</v>
      </c>
      <c r="BZ91" s="54">
        <v>0</v>
      </c>
      <c r="CA91" s="54">
        <v>0</v>
      </c>
      <c r="CB91" s="54">
        <v>0</v>
      </c>
      <c r="CC91" s="54">
        <v>0</v>
      </c>
      <c r="CD91" s="54">
        <v>0</v>
      </c>
      <c r="CE91" s="54">
        <v>0</v>
      </c>
      <c r="CF91" s="54">
        <v>0</v>
      </c>
      <c r="CG91" s="54">
        <v>0</v>
      </c>
      <c r="CH91" s="54">
        <v>0</v>
      </c>
      <c r="CI91" s="54">
        <v>0</v>
      </c>
      <c r="CJ91" s="54">
        <v>1462142</v>
      </c>
      <c r="CK91" s="65">
        <v>234933</v>
      </c>
      <c r="CL91" s="65">
        <v>260829</v>
      </c>
      <c r="CM91" s="65">
        <v>2554718</v>
      </c>
      <c r="CN91" s="65">
        <v>41279</v>
      </c>
      <c r="CO91" s="65">
        <v>4553901</v>
      </c>
      <c r="CP91" s="65">
        <v>0</v>
      </c>
      <c r="CQ91" s="54">
        <v>0</v>
      </c>
      <c r="CR91" s="54">
        <v>0</v>
      </c>
      <c r="CS91" s="54">
        <v>0</v>
      </c>
      <c r="CT91" s="54">
        <v>2684000</v>
      </c>
      <c r="CU91" s="54">
        <v>2684000</v>
      </c>
      <c r="CV91" s="54">
        <v>13844389</v>
      </c>
      <c r="CW91" s="65">
        <v>8644350</v>
      </c>
      <c r="CX91" s="65">
        <v>0</v>
      </c>
      <c r="CY91" s="65">
        <v>240573</v>
      </c>
      <c r="CZ91" s="65">
        <v>2296097</v>
      </c>
      <c r="DA91" s="65">
        <v>25025409</v>
      </c>
      <c r="DB91" s="65">
        <v>0</v>
      </c>
      <c r="DC91" s="54">
        <v>0</v>
      </c>
      <c r="DD91" s="54">
        <v>0</v>
      </c>
      <c r="DE91" s="54">
        <v>0</v>
      </c>
      <c r="DF91" s="54">
        <v>3559814</v>
      </c>
      <c r="DG91" s="54">
        <v>3559814</v>
      </c>
      <c r="DH91" s="54">
        <v>1878366</v>
      </c>
      <c r="DI91" s="65">
        <v>662844</v>
      </c>
      <c r="DJ91" s="65">
        <v>82214</v>
      </c>
      <c r="DK91" s="65">
        <v>765736</v>
      </c>
      <c r="DL91" s="65">
        <v>6582307</v>
      </c>
      <c r="DM91" s="65">
        <v>9971467</v>
      </c>
      <c r="DN91" s="65">
        <v>193348</v>
      </c>
      <c r="DO91" s="65">
        <v>52241</v>
      </c>
      <c r="DP91" s="65">
        <v>33682</v>
      </c>
      <c r="DQ91" s="65">
        <v>541446</v>
      </c>
      <c r="DR91" s="65">
        <v>2430392</v>
      </c>
      <c r="DS91" s="65">
        <v>3251109</v>
      </c>
      <c r="DT91" s="65">
        <v>191307</v>
      </c>
      <c r="DU91" s="65">
        <v>264876</v>
      </c>
      <c r="DV91" s="65">
        <v>69919</v>
      </c>
      <c r="DW91" s="65">
        <v>1180397</v>
      </c>
      <c r="DX91" s="65">
        <v>1350</v>
      </c>
      <c r="DY91" s="65">
        <v>1707849</v>
      </c>
      <c r="DZ91" s="65">
        <v>0</v>
      </c>
      <c r="EA91" s="65">
        <v>0</v>
      </c>
      <c r="EB91" s="65">
        <v>0</v>
      </c>
      <c r="EC91" s="65">
        <v>0</v>
      </c>
      <c r="ED91" s="65">
        <v>1238150</v>
      </c>
      <c r="EE91" s="65">
        <v>1238150</v>
      </c>
      <c r="EF91" s="65">
        <v>15501</v>
      </c>
      <c r="EG91" s="65">
        <v>5480</v>
      </c>
      <c r="EH91" s="65">
        <v>2314</v>
      </c>
      <c r="EI91" s="65">
        <v>11809</v>
      </c>
      <c r="EJ91" s="65">
        <v>1689001</v>
      </c>
      <c r="EK91" s="65">
        <v>1724105</v>
      </c>
      <c r="EL91" s="65">
        <v>43296598</v>
      </c>
      <c r="EM91" s="65">
        <v>16353313</v>
      </c>
      <c r="EN91" s="65">
        <v>1507930</v>
      </c>
      <c r="EO91" s="65">
        <v>10199658</v>
      </c>
      <c r="EP91" s="65">
        <v>24930692</v>
      </c>
      <c r="EQ91" s="65">
        <v>96288191</v>
      </c>
      <c r="ER91" s="65">
        <v>2715117</v>
      </c>
      <c r="ES91" s="65">
        <v>425410</v>
      </c>
      <c r="ET91" s="65">
        <v>440858</v>
      </c>
      <c r="EU91" s="65">
        <v>6013871</v>
      </c>
      <c r="EV91" s="65">
        <v>43209</v>
      </c>
      <c r="EW91" s="65">
        <v>9638465</v>
      </c>
      <c r="EX91" s="65">
        <v>2715117</v>
      </c>
      <c r="EY91" s="65">
        <v>425410</v>
      </c>
      <c r="EZ91" s="65">
        <v>440858</v>
      </c>
      <c r="FA91" s="65">
        <v>6013871</v>
      </c>
      <c r="FB91" s="65">
        <v>43209</v>
      </c>
      <c r="FC91" s="65">
        <v>9638465</v>
      </c>
      <c r="FD91" s="54">
        <v>5210829</v>
      </c>
      <c r="FE91" s="65">
        <v>2651236</v>
      </c>
      <c r="FF91" s="65">
        <v>852906</v>
      </c>
      <c r="FG91" s="65">
        <v>5418776</v>
      </c>
      <c r="FH91" s="65">
        <v>14317</v>
      </c>
      <c r="FI91" s="65">
        <v>14148064</v>
      </c>
      <c r="FJ91" s="65">
        <v>0</v>
      </c>
      <c r="FK91" s="54">
        <v>0</v>
      </c>
      <c r="FL91" s="54">
        <v>0</v>
      </c>
      <c r="FM91" s="54">
        <v>0</v>
      </c>
      <c r="FN91" s="54">
        <v>0</v>
      </c>
      <c r="FO91" s="54">
        <v>0</v>
      </c>
      <c r="FP91" s="54">
        <v>821030</v>
      </c>
      <c r="FQ91" s="65">
        <v>186477</v>
      </c>
      <c r="FR91" s="65">
        <v>193678</v>
      </c>
      <c r="FS91" s="65">
        <v>801955</v>
      </c>
      <c r="FT91" s="65">
        <v>19036230</v>
      </c>
      <c r="FU91" s="65">
        <v>21039370</v>
      </c>
      <c r="FV91" s="65">
        <v>0</v>
      </c>
      <c r="FW91" s="54">
        <v>0</v>
      </c>
      <c r="FX91" s="54">
        <v>0</v>
      </c>
      <c r="FY91" s="54">
        <v>0</v>
      </c>
      <c r="FZ91" s="54">
        <v>0</v>
      </c>
      <c r="GA91" s="54">
        <v>0</v>
      </c>
      <c r="GB91" s="54">
        <v>0</v>
      </c>
      <c r="GC91" s="54">
        <v>0</v>
      </c>
      <c r="GD91" s="54">
        <v>0</v>
      </c>
      <c r="GE91" s="54">
        <v>0</v>
      </c>
      <c r="GF91" s="54">
        <v>0</v>
      </c>
      <c r="GG91" s="54">
        <v>0</v>
      </c>
      <c r="GH91" s="54">
        <v>204181</v>
      </c>
      <c r="GI91" s="54">
        <v>53252</v>
      </c>
      <c r="GJ91" s="54">
        <v>62948</v>
      </c>
      <c r="GK91" s="54">
        <v>445002</v>
      </c>
      <c r="GL91" s="54">
        <v>0</v>
      </c>
      <c r="GM91" s="54">
        <v>765383</v>
      </c>
      <c r="GN91" s="54">
        <v>3163686</v>
      </c>
      <c r="GO91" s="54">
        <v>943269</v>
      </c>
      <c r="GP91" s="54">
        <v>597105</v>
      </c>
      <c r="GQ91" s="54">
        <v>3574600</v>
      </c>
      <c r="GR91" s="54">
        <v>286502</v>
      </c>
      <c r="GS91" s="54">
        <v>8565162</v>
      </c>
      <c r="GT91" s="54">
        <v>295402</v>
      </c>
      <c r="GU91" s="54">
        <v>63218</v>
      </c>
      <c r="GV91" s="54">
        <v>32105</v>
      </c>
      <c r="GW91" s="54">
        <v>985686</v>
      </c>
      <c r="GX91" s="54">
        <v>104167</v>
      </c>
      <c r="GY91" s="54">
        <v>1480578</v>
      </c>
      <c r="GZ91" s="54">
        <v>295402</v>
      </c>
      <c r="HA91" s="54">
        <v>63218</v>
      </c>
      <c r="HB91" s="54">
        <v>32105</v>
      </c>
      <c r="HC91" s="54">
        <v>985686</v>
      </c>
      <c r="HD91" s="54">
        <v>104167</v>
      </c>
      <c r="HE91" s="54">
        <v>1480578</v>
      </c>
      <c r="HF91" s="54">
        <v>0</v>
      </c>
      <c r="HG91" s="54">
        <v>0</v>
      </c>
      <c r="HH91" s="54">
        <v>0</v>
      </c>
      <c r="HI91" s="54">
        <v>0</v>
      </c>
      <c r="HJ91" s="54">
        <v>2435109</v>
      </c>
      <c r="HK91" s="54">
        <v>2435109</v>
      </c>
      <c r="HL91" s="54">
        <v>74468</v>
      </c>
      <c r="HM91" s="54">
        <v>155461</v>
      </c>
      <c r="HN91" s="54">
        <v>34314</v>
      </c>
      <c r="HO91" s="54">
        <v>444323</v>
      </c>
      <c r="HP91" s="54">
        <v>17</v>
      </c>
      <c r="HQ91" s="54">
        <v>708583</v>
      </c>
      <c r="HR91" s="54">
        <v>6989341</v>
      </c>
      <c r="HS91" s="54">
        <v>934992</v>
      </c>
      <c r="HT91" s="54">
        <v>935053</v>
      </c>
      <c r="HU91" s="54">
        <v>3792956</v>
      </c>
      <c r="HV91" s="54">
        <v>5776094</v>
      </c>
      <c r="HW91" s="54">
        <v>18428436</v>
      </c>
      <c r="HX91" s="54">
        <v>0</v>
      </c>
      <c r="HY91" s="54">
        <v>0</v>
      </c>
      <c r="HZ91" s="54">
        <v>0</v>
      </c>
      <c r="IA91" s="54">
        <v>0</v>
      </c>
      <c r="IB91" s="54">
        <v>701099</v>
      </c>
      <c r="IC91" s="54">
        <v>701099</v>
      </c>
      <c r="ID91" s="54">
        <v>0</v>
      </c>
      <c r="IE91" s="54">
        <v>0</v>
      </c>
      <c r="IF91" s="54">
        <v>0</v>
      </c>
      <c r="IG91" s="54">
        <v>0</v>
      </c>
      <c r="IH91" s="54">
        <v>2684000</v>
      </c>
      <c r="II91" s="54">
        <v>2684000</v>
      </c>
      <c r="IJ91" s="54">
        <v>219298</v>
      </c>
      <c r="IK91" s="54">
        <v>34841</v>
      </c>
      <c r="IL91" s="54">
        <v>32792</v>
      </c>
      <c r="IM91" s="54">
        <v>1701094</v>
      </c>
      <c r="IN91" s="54">
        <v>0</v>
      </c>
      <c r="IO91" s="54">
        <v>1988025</v>
      </c>
      <c r="IP91" s="54">
        <v>219298</v>
      </c>
      <c r="IQ91" s="54">
        <v>34841</v>
      </c>
      <c r="IR91" s="54">
        <v>32792</v>
      </c>
      <c r="IS91" s="54">
        <v>1701094</v>
      </c>
      <c r="IT91" s="54">
        <v>0</v>
      </c>
      <c r="IU91" s="54">
        <v>1988025</v>
      </c>
      <c r="IV91" s="54">
        <v>283175</v>
      </c>
      <c r="IW91" s="54">
        <v>52408</v>
      </c>
      <c r="IX91" s="54">
        <v>80636</v>
      </c>
      <c r="IY91" s="54">
        <v>594983</v>
      </c>
      <c r="IZ91" s="54">
        <v>2732558</v>
      </c>
      <c r="JA91" s="54">
        <v>3743760</v>
      </c>
      <c r="JB91" s="54">
        <v>23662925</v>
      </c>
      <c r="JC91" s="54">
        <v>6394547</v>
      </c>
      <c r="JD91" s="54">
        <v>3486137</v>
      </c>
      <c r="JE91" s="54">
        <v>24418457</v>
      </c>
      <c r="JF91" s="54">
        <v>37661279</v>
      </c>
      <c r="JG91" s="54">
        <v>95623345</v>
      </c>
      <c r="JH91" s="54">
        <v>0</v>
      </c>
      <c r="JI91" s="54">
        <v>0</v>
      </c>
      <c r="JJ91" s="54">
        <v>0</v>
      </c>
      <c r="JK91" s="54">
        <v>0</v>
      </c>
      <c r="JL91" s="54">
        <v>0</v>
      </c>
      <c r="JM91" s="54">
        <v>0</v>
      </c>
      <c r="JN91" s="54">
        <v>23662925</v>
      </c>
      <c r="JO91" s="54">
        <v>6394547</v>
      </c>
      <c r="JP91" s="54">
        <v>3486137</v>
      </c>
      <c r="JQ91" s="54">
        <v>24418457</v>
      </c>
      <c r="JR91" s="54">
        <v>37661279</v>
      </c>
      <c r="JS91" s="54">
        <v>95623345</v>
      </c>
      <c r="JU91" s="5">
        <f t="shared" si="160"/>
        <v>27333229</v>
      </c>
      <c r="JV91" s="26">
        <f t="shared" si="161"/>
        <v>0</v>
      </c>
      <c r="JW91" s="5">
        <f t="shared" si="162"/>
        <v>0</v>
      </c>
      <c r="JX91" s="26">
        <f t="shared" si="163"/>
        <v>0</v>
      </c>
      <c r="JY91" s="5">
        <f t="shared" si="164"/>
        <v>328000</v>
      </c>
      <c r="JZ91" s="26">
        <f t="shared" si="165"/>
        <v>0</v>
      </c>
      <c r="KA91" s="5">
        <f t="shared" si="166"/>
        <v>14911158</v>
      </c>
      <c r="KB91" s="26">
        <f t="shared" si="167"/>
        <v>0</v>
      </c>
      <c r="KC91" s="5">
        <f t="shared" si="168"/>
        <v>0</v>
      </c>
      <c r="KD91" s="26">
        <f t="shared" si="169"/>
        <v>0</v>
      </c>
      <c r="KE91" s="5">
        <f t="shared" si="170"/>
        <v>0</v>
      </c>
      <c r="KF91" s="26">
        <f t="shared" si="171"/>
        <v>0</v>
      </c>
      <c r="KG91" s="5">
        <f t="shared" si="172"/>
        <v>4553901</v>
      </c>
      <c r="KH91" s="26">
        <f t="shared" si="173"/>
        <v>0</v>
      </c>
      <c r="KI91" s="5">
        <f t="shared" si="174"/>
        <v>2684000</v>
      </c>
      <c r="KJ91" s="26">
        <f t="shared" si="175"/>
        <v>0</v>
      </c>
      <c r="KK91" s="5">
        <f t="shared" si="176"/>
        <v>25025409</v>
      </c>
      <c r="KL91" s="26">
        <f t="shared" si="177"/>
        <v>0</v>
      </c>
      <c r="KM91" s="5">
        <f t="shared" si="178"/>
        <v>3559814</v>
      </c>
      <c r="KN91" s="26">
        <f t="shared" si="179"/>
        <v>0</v>
      </c>
      <c r="KO91" s="5">
        <f t="shared" si="180"/>
        <v>9971467</v>
      </c>
      <c r="KP91" s="26">
        <f t="shared" si="181"/>
        <v>0</v>
      </c>
      <c r="KQ91" s="5">
        <f>SUM(DN91:DR91)</f>
        <v>3251109</v>
      </c>
      <c r="KR91" s="26">
        <f>DS91-KQ91</f>
        <v>0</v>
      </c>
      <c r="KS91" s="5">
        <f t="shared" si="184"/>
        <v>1707849</v>
      </c>
      <c r="KT91" s="26">
        <f t="shared" si="185"/>
        <v>0</v>
      </c>
      <c r="KU91" s="5">
        <f t="shared" si="186"/>
        <v>1238150</v>
      </c>
      <c r="KV91" s="26">
        <f t="shared" si="187"/>
        <v>0</v>
      </c>
      <c r="KW91" s="5">
        <f t="shared" si="188"/>
        <v>1724105</v>
      </c>
      <c r="KX91" s="26">
        <f t="shared" si="189"/>
        <v>0</v>
      </c>
      <c r="KY91" s="5">
        <f t="shared" si="190"/>
        <v>96288191</v>
      </c>
      <c r="KZ91" s="26">
        <f t="shared" si="191"/>
        <v>0</v>
      </c>
      <c r="LA91" s="5">
        <f t="shared" si="233"/>
        <v>9638465</v>
      </c>
      <c r="LB91" s="26">
        <f t="shared" si="234"/>
        <v>0</v>
      </c>
      <c r="LC91" s="5">
        <f t="shared" si="235"/>
        <v>9638465</v>
      </c>
      <c r="LD91" s="26">
        <f t="shared" si="192"/>
        <v>0</v>
      </c>
      <c r="LE91" s="5">
        <f t="shared" si="193"/>
        <v>14148064</v>
      </c>
      <c r="LF91" s="26">
        <f t="shared" si="194"/>
        <v>0</v>
      </c>
      <c r="LG91" s="5">
        <f t="shared" si="195"/>
        <v>0</v>
      </c>
      <c r="LH91" s="26">
        <f t="shared" si="196"/>
        <v>0</v>
      </c>
      <c r="LI91" s="5">
        <f t="shared" si="197"/>
        <v>21039370</v>
      </c>
      <c r="LJ91" s="26">
        <f t="shared" si="198"/>
        <v>0</v>
      </c>
      <c r="LK91" s="5">
        <f t="shared" si="199"/>
        <v>0</v>
      </c>
      <c r="LL91" s="26">
        <f t="shared" si="200"/>
        <v>0</v>
      </c>
      <c r="LM91" s="5">
        <f t="shared" si="201"/>
        <v>0</v>
      </c>
      <c r="LN91" s="26">
        <f t="shared" si="202"/>
        <v>0</v>
      </c>
      <c r="LO91" s="5">
        <f t="shared" si="203"/>
        <v>765383</v>
      </c>
      <c r="LP91" s="26">
        <f t="shared" si="204"/>
        <v>0</v>
      </c>
      <c r="LQ91" s="5">
        <f t="shared" si="205"/>
        <v>8565162</v>
      </c>
      <c r="LR91" s="26">
        <f t="shared" si="206"/>
        <v>0</v>
      </c>
      <c r="LS91" s="5">
        <f t="shared" si="207"/>
        <v>1480578</v>
      </c>
      <c r="LT91" s="26">
        <f t="shared" si="208"/>
        <v>0</v>
      </c>
      <c r="LU91" s="5">
        <f t="shared" si="209"/>
        <v>1480578</v>
      </c>
      <c r="LV91" s="26">
        <f t="shared" si="210"/>
        <v>0</v>
      </c>
      <c r="LW91" s="5">
        <f t="shared" si="211"/>
        <v>2435109</v>
      </c>
      <c r="LX91" s="26">
        <f t="shared" si="212"/>
        <v>0</v>
      </c>
      <c r="LY91" s="5">
        <f t="shared" si="213"/>
        <v>708583</v>
      </c>
      <c r="LZ91" s="26">
        <f t="shared" si="214"/>
        <v>0</v>
      </c>
      <c r="MA91" s="5">
        <f t="shared" si="215"/>
        <v>18428436</v>
      </c>
      <c r="MB91" s="26">
        <f t="shared" si="216"/>
        <v>0</v>
      </c>
      <c r="MC91" s="5">
        <f t="shared" si="217"/>
        <v>701099</v>
      </c>
      <c r="MD91" s="26">
        <f t="shared" si="218"/>
        <v>0</v>
      </c>
      <c r="ME91" s="5">
        <f t="shared" si="219"/>
        <v>2684000</v>
      </c>
      <c r="MF91" s="26">
        <f t="shared" si="220"/>
        <v>0</v>
      </c>
      <c r="MG91" s="5">
        <f t="shared" si="221"/>
        <v>1988025</v>
      </c>
      <c r="MH91" s="26">
        <f t="shared" si="222"/>
        <v>0</v>
      </c>
      <c r="MI91" s="5">
        <f t="shared" si="223"/>
        <v>1988025</v>
      </c>
      <c r="MJ91" s="26">
        <f t="shared" si="224"/>
        <v>0</v>
      </c>
      <c r="MK91" s="5">
        <f t="shared" si="225"/>
        <v>3743760</v>
      </c>
      <c r="ML91" s="26">
        <f t="shared" si="226"/>
        <v>0</v>
      </c>
      <c r="MM91" s="5">
        <f t="shared" si="227"/>
        <v>95623345</v>
      </c>
      <c r="MN91" s="26">
        <f t="shared" si="228"/>
        <v>0</v>
      </c>
      <c r="MO91" s="5">
        <f t="shared" si="229"/>
        <v>0</v>
      </c>
      <c r="MP91" s="26">
        <f t="shared" si="230"/>
        <v>0</v>
      </c>
      <c r="MQ91" s="5">
        <f t="shared" si="231"/>
        <v>95623345</v>
      </c>
      <c r="MR91" s="26">
        <f t="shared" si="232"/>
        <v>0</v>
      </c>
      <c r="MT91" s="5">
        <f t="shared" si="158"/>
        <v>0</v>
      </c>
      <c r="MV91" s="4">
        <f t="shared" si="159"/>
        <v>0</v>
      </c>
    </row>
    <row r="92" spans="1:368" x14ac:dyDescent="0.15">
      <c r="A92" s="155" t="s">
        <v>308</v>
      </c>
      <c r="B92" s="25" t="s">
        <v>475</v>
      </c>
      <c r="C92" s="105">
        <v>199193</v>
      </c>
      <c r="D92" s="105">
        <v>2011</v>
      </c>
      <c r="E92" s="106">
        <v>1</v>
      </c>
      <c r="F92" s="106">
        <v>10</v>
      </c>
      <c r="G92" s="115">
        <v>4152</v>
      </c>
      <c r="H92" s="115">
        <v>3832</v>
      </c>
      <c r="I92" s="108">
        <v>491551412</v>
      </c>
      <c r="J92" s="114"/>
      <c r="K92" s="108">
        <v>1377238</v>
      </c>
      <c r="L92" s="108"/>
      <c r="M92" s="114">
        <v>4091717</v>
      </c>
      <c r="N92" s="114"/>
      <c r="O92" s="114">
        <v>1285371</v>
      </c>
      <c r="P92" s="108"/>
      <c r="Q92" s="114">
        <v>75133784</v>
      </c>
      <c r="R92" s="108"/>
      <c r="S92" s="114">
        <v>438515434</v>
      </c>
      <c r="T92" s="108"/>
      <c r="U92" s="114">
        <v>13286</v>
      </c>
      <c r="V92" s="108"/>
      <c r="W92" s="114">
        <v>21206</v>
      </c>
      <c r="X92" s="108"/>
      <c r="Y92" s="114">
        <v>16375</v>
      </c>
      <c r="Z92" s="108"/>
      <c r="AA92" s="114">
        <v>24295</v>
      </c>
      <c r="AB92" s="108"/>
      <c r="AC92" s="137">
        <v>8</v>
      </c>
      <c r="AD92" s="129">
        <v>9</v>
      </c>
      <c r="AE92" s="137">
        <v>0</v>
      </c>
      <c r="AF92" s="42">
        <v>2329543</v>
      </c>
      <c r="AG92" s="42">
        <v>1211536</v>
      </c>
      <c r="AH92" s="42">
        <v>332013</v>
      </c>
      <c r="AI92" s="42">
        <v>142555</v>
      </c>
      <c r="AJ92" s="42">
        <v>327062.2</v>
      </c>
      <c r="AK92" s="43">
        <v>5</v>
      </c>
      <c r="AL92" s="42">
        <v>272551.83</v>
      </c>
      <c r="AM92" s="36">
        <v>6</v>
      </c>
      <c r="AN92" s="42">
        <v>136072.32999999999</v>
      </c>
      <c r="AO92" s="43">
        <v>6</v>
      </c>
      <c r="AP92" s="42">
        <v>116633.43</v>
      </c>
      <c r="AQ92" s="43">
        <v>7</v>
      </c>
      <c r="AR92" s="42">
        <v>122800.29</v>
      </c>
      <c r="AS92" s="43">
        <v>17.5</v>
      </c>
      <c r="AT92" s="42">
        <v>102333.57</v>
      </c>
      <c r="AU92" s="43">
        <v>21</v>
      </c>
      <c r="AV92" s="42">
        <v>69827.91</v>
      </c>
      <c r="AW92" s="43">
        <v>11.5</v>
      </c>
      <c r="AX92" s="42">
        <v>53534.73</v>
      </c>
      <c r="AY92" s="43">
        <v>15</v>
      </c>
      <c r="AZ92" s="52">
        <v>2431320</v>
      </c>
      <c r="BA92" s="52">
        <v>534638</v>
      </c>
      <c r="BB92" s="52">
        <v>472163</v>
      </c>
      <c r="BC92" s="52">
        <v>38679</v>
      </c>
      <c r="BD92" s="52">
        <v>161617</v>
      </c>
      <c r="BE92" s="52">
        <v>3638417</v>
      </c>
      <c r="BF92" s="52">
        <v>0</v>
      </c>
      <c r="BG92" s="52">
        <v>0</v>
      </c>
      <c r="BH92" s="52">
        <v>0</v>
      </c>
      <c r="BI92" s="52">
        <v>0</v>
      </c>
      <c r="BJ92" s="52">
        <v>1275147</v>
      </c>
      <c r="BK92" s="52">
        <v>1275147</v>
      </c>
      <c r="BL92" s="52">
        <v>650000</v>
      </c>
      <c r="BM92" s="52">
        <v>0</v>
      </c>
      <c r="BN92" s="52">
        <v>0</v>
      </c>
      <c r="BO92" s="52">
        <v>0</v>
      </c>
      <c r="BP92" s="52">
        <v>0</v>
      </c>
      <c r="BQ92" s="52">
        <v>650000</v>
      </c>
      <c r="BR92" s="52">
        <v>55000</v>
      </c>
      <c r="BS92" s="52">
        <v>110835</v>
      </c>
      <c r="BT92" s="52">
        <v>29808</v>
      </c>
      <c r="BU92" s="52">
        <v>84077</v>
      </c>
      <c r="BV92" s="52">
        <v>2318690</v>
      </c>
      <c r="BW92" s="52">
        <v>2598410</v>
      </c>
      <c r="BX92" s="52">
        <v>92700</v>
      </c>
      <c r="BY92" s="52">
        <v>36518</v>
      </c>
      <c r="BZ92" s="52">
        <v>56500</v>
      </c>
      <c r="CA92" s="52">
        <v>91900</v>
      </c>
      <c r="CB92" s="52">
        <v>7645</v>
      </c>
      <c r="CC92" s="52">
        <v>285263</v>
      </c>
      <c r="CD92" s="52">
        <v>0</v>
      </c>
      <c r="CE92" s="52">
        <v>0</v>
      </c>
      <c r="CF92" s="52">
        <v>0</v>
      </c>
      <c r="CG92" s="52">
        <v>0</v>
      </c>
      <c r="CH92" s="52">
        <v>0</v>
      </c>
      <c r="CI92" s="52">
        <v>0</v>
      </c>
      <c r="CJ92" s="52">
        <v>3279075</v>
      </c>
      <c r="CK92" s="52">
        <v>857263</v>
      </c>
      <c r="CL92" s="52">
        <v>730066</v>
      </c>
      <c r="CM92" s="52">
        <v>2848816</v>
      </c>
      <c r="CN92" s="52">
        <v>4267109</v>
      </c>
      <c r="CO92" s="52">
        <v>11982329</v>
      </c>
      <c r="CP92" s="52">
        <v>0</v>
      </c>
      <c r="CQ92" s="52">
        <v>0</v>
      </c>
      <c r="CR92" s="52">
        <v>0</v>
      </c>
      <c r="CS92" s="52">
        <v>0</v>
      </c>
      <c r="CT92" s="52">
        <v>723888</v>
      </c>
      <c r="CU92" s="52">
        <v>723888</v>
      </c>
      <c r="CV92" s="52">
        <v>1910743</v>
      </c>
      <c r="CW92" s="52">
        <v>903606</v>
      </c>
      <c r="CX92" s="52">
        <v>0</v>
      </c>
      <c r="CY92" s="52">
        <v>0</v>
      </c>
      <c r="CZ92" s="52">
        <v>941812</v>
      </c>
      <c r="DA92" s="52">
        <v>3756161</v>
      </c>
      <c r="DB92" s="52">
        <v>0</v>
      </c>
      <c r="DC92" s="52">
        <v>0</v>
      </c>
      <c r="DD92" s="52">
        <v>0</v>
      </c>
      <c r="DE92" s="52">
        <v>0</v>
      </c>
      <c r="DF92" s="52">
        <v>0</v>
      </c>
      <c r="DG92" s="52">
        <v>0</v>
      </c>
      <c r="DH92" s="52">
        <v>218160</v>
      </c>
      <c r="DI92" s="52">
        <v>34083</v>
      </c>
      <c r="DJ92" s="52">
        <v>36973</v>
      </c>
      <c r="DK92" s="52">
        <v>6852</v>
      </c>
      <c r="DL92" s="52">
        <v>176914</v>
      </c>
      <c r="DM92" s="52">
        <v>472982</v>
      </c>
      <c r="DN92" s="52">
        <v>0</v>
      </c>
      <c r="DO92" s="52">
        <v>0</v>
      </c>
      <c r="DP92" s="52">
        <v>0</v>
      </c>
      <c r="DQ92" s="52">
        <v>0</v>
      </c>
      <c r="DR92" s="52">
        <v>1254417</v>
      </c>
      <c r="DS92" s="52">
        <v>1254417</v>
      </c>
      <c r="DT92" s="52">
        <v>0</v>
      </c>
      <c r="DU92" s="52">
        <v>0</v>
      </c>
      <c r="DV92" s="52">
        <v>0</v>
      </c>
      <c r="DW92" s="52">
        <v>0</v>
      </c>
      <c r="DX92" s="52">
        <v>0</v>
      </c>
      <c r="DY92" s="52">
        <v>0</v>
      </c>
      <c r="DZ92" s="52">
        <v>19898</v>
      </c>
      <c r="EA92" s="52">
        <v>6836</v>
      </c>
      <c r="EB92" s="52">
        <v>6210</v>
      </c>
      <c r="EC92" s="52">
        <v>116014</v>
      </c>
      <c r="ED92" s="52">
        <v>116607</v>
      </c>
      <c r="EE92" s="52">
        <v>265565</v>
      </c>
      <c r="EF92" s="52">
        <v>20608</v>
      </c>
      <c r="EG92" s="52">
        <v>12802</v>
      </c>
      <c r="EH92" s="52">
        <v>6476</v>
      </c>
      <c r="EI92" s="52">
        <v>155092</v>
      </c>
      <c r="EJ92" s="52">
        <v>479444</v>
      </c>
      <c r="EK92" s="52">
        <v>674422</v>
      </c>
      <c r="EL92" s="52">
        <v>8677504</v>
      </c>
      <c r="EM92" s="52">
        <v>2496581</v>
      </c>
      <c r="EN92" s="52">
        <v>1338196</v>
      </c>
      <c r="EO92" s="52">
        <v>3341430</v>
      </c>
      <c r="EP92" s="52">
        <v>11723290</v>
      </c>
      <c r="EQ92" s="52">
        <v>27577001</v>
      </c>
      <c r="ER92" s="52">
        <v>1418256</v>
      </c>
      <c r="ES92" s="52">
        <v>294503</v>
      </c>
      <c r="ET92" s="52">
        <v>183635</v>
      </c>
      <c r="EU92" s="52">
        <v>1644685</v>
      </c>
      <c r="EV92" s="52">
        <v>1045141</v>
      </c>
      <c r="EW92" s="52">
        <v>4586220</v>
      </c>
      <c r="EX92" s="52">
        <v>435000</v>
      </c>
      <c r="EY92" s="52">
        <v>346030</v>
      </c>
      <c r="EZ92" s="52">
        <v>110717</v>
      </c>
      <c r="FA92" s="52">
        <v>41522</v>
      </c>
      <c r="FB92" s="52">
        <v>0</v>
      </c>
      <c r="FC92" s="52">
        <v>933269</v>
      </c>
      <c r="FD92" s="52">
        <v>2136773</v>
      </c>
      <c r="FE92" s="52">
        <v>1048578</v>
      </c>
      <c r="FF92" s="52">
        <v>618739</v>
      </c>
      <c r="FG92" s="52">
        <v>1599681</v>
      </c>
      <c r="FH92" s="52">
        <v>0</v>
      </c>
      <c r="FI92" s="52">
        <v>5403771</v>
      </c>
      <c r="FJ92" s="52">
        <v>89250</v>
      </c>
      <c r="FK92" s="52">
        <v>36518</v>
      </c>
      <c r="FL92" s="52">
        <v>56500</v>
      </c>
      <c r="FM92" s="52">
        <v>91900</v>
      </c>
      <c r="FN92" s="52">
        <v>0</v>
      </c>
      <c r="FO92" s="52">
        <v>274168</v>
      </c>
      <c r="FP92" s="52">
        <v>399703</v>
      </c>
      <c r="FQ92" s="52">
        <v>175424</v>
      </c>
      <c r="FR92" s="52">
        <v>130490</v>
      </c>
      <c r="FS92" s="52">
        <v>68659</v>
      </c>
      <c r="FT92" s="52">
        <v>4575003</v>
      </c>
      <c r="FU92" s="52">
        <v>5349279</v>
      </c>
      <c r="FV92" s="54">
        <v>3450</v>
      </c>
      <c r="FW92" s="54">
        <v>0</v>
      </c>
      <c r="FX92" s="54">
        <v>0</v>
      </c>
      <c r="FY92" s="54">
        <v>0</v>
      </c>
      <c r="FZ92" s="54">
        <v>7645</v>
      </c>
      <c r="GA92" s="54">
        <v>11095</v>
      </c>
      <c r="GB92" s="54">
        <v>0</v>
      </c>
      <c r="GC92" s="54">
        <v>0</v>
      </c>
      <c r="GD92" s="54">
        <v>0</v>
      </c>
      <c r="GE92" s="54">
        <v>0</v>
      </c>
      <c r="GF92" s="54">
        <v>0</v>
      </c>
      <c r="GG92" s="54">
        <v>0</v>
      </c>
      <c r="GH92" s="54">
        <v>225338</v>
      </c>
      <c r="GI92" s="54">
        <v>77832</v>
      </c>
      <c r="GJ92" s="54">
        <v>47907</v>
      </c>
      <c r="GK92" s="54">
        <v>123491</v>
      </c>
      <c r="GL92" s="54">
        <v>87694</v>
      </c>
      <c r="GM92" s="54">
        <v>562262</v>
      </c>
      <c r="GN92" s="54">
        <v>635426</v>
      </c>
      <c r="GO92" s="54">
        <v>309990</v>
      </c>
      <c r="GP92" s="54">
        <v>192716</v>
      </c>
      <c r="GQ92" s="54">
        <v>932010</v>
      </c>
      <c r="GR92" s="54">
        <v>24677</v>
      </c>
      <c r="GS92" s="54">
        <v>2094819</v>
      </c>
      <c r="GT92" s="54">
        <v>214499</v>
      </c>
      <c r="GU92" s="54">
        <v>17696</v>
      </c>
      <c r="GV92" s="54">
        <v>19508</v>
      </c>
      <c r="GW92" s="54">
        <v>167787</v>
      </c>
      <c r="GX92" s="54">
        <v>141365</v>
      </c>
      <c r="GY92" s="54">
        <v>560855</v>
      </c>
      <c r="GZ92" s="54">
        <v>124537</v>
      </c>
      <c r="HA92" s="54">
        <v>223943</v>
      </c>
      <c r="HB92" s="54">
        <v>327155</v>
      </c>
      <c r="HC92" s="54">
        <v>84994</v>
      </c>
      <c r="HD92" s="54">
        <v>586241</v>
      </c>
      <c r="HE92" s="54">
        <v>1346870</v>
      </c>
      <c r="HF92" s="54">
        <v>0</v>
      </c>
      <c r="HG92" s="54">
        <v>0</v>
      </c>
      <c r="HH92" s="54">
        <v>0</v>
      </c>
      <c r="HI92" s="54">
        <v>0</v>
      </c>
      <c r="HJ92" s="54">
        <v>151557</v>
      </c>
      <c r="HK92" s="54">
        <v>151557</v>
      </c>
      <c r="HL92" s="54">
        <v>0</v>
      </c>
      <c r="HM92" s="54">
        <v>0</v>
      </c>
      <c r="HN92" s="54">
        <v>0</v>
      </c>
      <c r="HO92" s="54">
        <v>0</v>
      </c>
      <c r="HP92" s="54">
        <v>0</v>
      </c>
      <c r="HQ92" s="54">
        <v>0</v>
      </c>
      <c r="HR92" s="54">
        <v>0</v>
      </c>
      <c r="HS92" s="54">
        <v>0</v>
      </c>
      <c r="HT92" s="54">
        <v>0</v>
      </c>
      <c r="HU92" s="54">
        <v>0</v>
      </c>
      <c r="HV92" s="54">
        <v>3259113</v>
      </c>
      <c r="HW92" s="54">
        <v>3259113</v>
      </c>
      <c r="HX92" s="54">
        <v>0</v>
      </c>
      <c r="HY92" s="54">
        <v>0</v>
      </c>
      <c r="HZ92" s="54">
        <v>0</v>
      </c>
      <c r="IA92" s="54">
        <v>0</v>
      </c>
      <c r="IB92" s="54">
        <v>1661</v>
      </c>
      <c r="IC92" s="54">
        <v>1661</v>
      </c>
      <c r="ID92" s="54">
        <v>0</v>
      </c>
      <c r="IE92" s="54">
        <v>0</v>
      </c>
      <c r="IF92" s="54">
        <v>0</v>
      </c>
      <c r="IG92" s="54">
        <v>0</v>
      </c>
      <c r="IH92" s="54">
        <v>723888</v>
      </c>
      <c r="II92" s="54">
        <v>723888</v>
      </c>
      <c r="IJ92" s="54">
        <v>0</v>
      </c>
      <c r="IK92" s="54">
        <v>0</v>
      </c>
      <c r="IL92" s="54">
        <v>0</v>
      </c>
      <c r="IM92" s="54">
        <v>0</v>
      </c>
      <c r="IN92" s="54">
        <v>549507</v>
      </c>
      <c r="IO92" s="54">
        <v>549507</v>
      </c>
      <c r="IP92" s="54">
        <v>925</v>
      </c>
      <c r="IQ92" s="54">
        <v>1155</v>
      </c>
      <c r="IR92" s="54">
        <v>765</v>
      </c>
      <c r="IS92" s="54">
        <v>7743</v>
      </c>
      <c r="IT92" s="54">
        <v>392899</v>
      </c>
      <c r="IU92" s="54">
        <v>403487</v>
      </c>
      <c r="IV92" s="54">
        <v>267277</v>
      </c>
      <c r="IW92" s="54">
        <v>211768</v>
      </c>
      <c r="IX92" s="54">
        <v>234855</v>
      </c>
      <c r="IY92" s="54">
        <v>388531</v>
      </c>
      <c r="IZ92" s="54">
        <v>486189</v>
      </c>
      <c r="JA92" s="54">
        <v>1588620</v>
      </c>
      <c r="JB92" s="54">
        <v>5950434</v>
      </c>
      <c r="JC92" s="54">
        <v>2743437</v>
      </c>
      <c r="JD92" s="54">
        <v>1922987</v>
      </c>
      <c r="JE92" s="54">
        <v>5151003</v>
      </c>
      <c r="JF92" s="54">
        <v>12032580</v>
      </c>
      <c r="JG92" s="54">
        <v>27800441</v>
      </c>
      <c r="JH92" s="54">
        <v>0</v>
      </c>
      <c r="JI92" s="54">
        <v>0</v>
      </c>
      <c r="JJ92" s="54">
        <v>0</v>
      </c>
      <c r="JK92" s="54">
        <v>0</v>
      </c>
      <c r="JL92" s="54">
        <v>0</v>
      </c>
      <c r="JM92" s="54">
        <v>0</v>
      </c>
      <c r="JN92" s="54">
        <v>5950434</v>
      </c>
      <c r="JO92" s="54">
        <v>2743437</v>
      </c>
      <c r="JP92" s="54">
        <v>1922987</v>
      </c>
      <c r="JQ92" s="54">
        <v>5151003</v>
      </c>
      <c r="JR92" s="54">
        <v>12032580</v>
      </c>
      <c r="JS92" s="54">
        <v>27800441</v>
      </c>
      <c r="JU92" s="5">
        <f>SUM(AZ92:BD92)</f>
        <v>3638417</v>
      </c>
      <c r="JV92" s="26">
        <f>BE92-JU92</f>
        <v>0</v>
      </c>
      <c r="JW92" s="5">
        <f t="shared" si="162"/>
        <v>1275147</v>
      </c>
      <c r="JX92" s="26">
        <f t="shared" si="163"/>
        <v>0</v>
      </c>
      <c r="JY92" s="5">
        <f t="shared" si="164"/>
        <v>650000</v>
      </c>
      <c r="JZ92" s="26">
        <f t="shared" si="165"/>
        <v>0</v>
      </c>
      <c r="KA92" s="5">
        <f t="shared" si="166"/>
        <v>2598410</v>
      </c>
      <c r="KB92" s="26">
        <f t="shared" si="167"/>
        <v>0</v>
      </c>
      <c r="KC92" s="5">
        <f t="shared" si="168"/>
        <v>285263</v>
      </c>
      <c r="KD92" s="26">
        <f t="shared" si="169"/>
        <v>0</v>
      </c>
      <c r="KE92" s="5">
        <f t="shared" si="170"/>
        <v>0</v>
      </c>
      <c r="KF92" s="26">
        <f t="shared" si="171"/>
        <v>0</v>
      </c>
      <c r="KG92" s="5">
        <f t="shared" si="172"/>
        <v>11982329</v>
      </c>
      <c r="KH92" s="26">
        <f t="shared" si="173"/>
        <v>0</v>
      </c>
      <c r="KI92" s="5">
        <f t="shared" si="174"/>
        <v>723888</v>
      </c>
      <c r="KJ92" s="26">
        <f t="shared" si="175"/>
        <v>0</v>
      </c>
      <c r="KK92" s="5">
        <f t="shared" si="176"/>
        <v>3756161</v>
      </c>
      <c r="KL92" s="26">
        <f t="shared" si="177"/>
        <v>0</v>
      </c>
      <c r="KM92" s="5">
        <f t="shared" si="178"/>
        <v>0</v>
      </c>
      <c r="KN92" s="26">
        <f t="shared" si="179"/>
        <v>0</v>
      </c>
      <c r="KO92" s="5">
        <f t="shared" si="180"/>
        <v>472982</v>
      </c>
      <c r="KP92" s="26">
        <f t="shared" si="181"/>
        <v>0</v>
      </c>
      <c r="KQ92" s="5">
        <f t="shared" si="182"/>
        <v>1254417</v>
      </c>
      <c r="KR92" s="26">
        <f t="shared" si="183"/>
        <v>0</v>
      </c>
      <c r="KS92" s="5">
        <f t="shared" si="184"/>
        <v>0</v>
      </c>
      <c r="KT92" s="26">
        <f t="shared" si="185"/>
        <v>0</v>
      </c>
      <c r="KU92" s="5">
        <f t="shared" si="186"/>
        <v>265565</v>
      </c>
      <c r="KV92" s="26">
        <f t="shared" si="187"/>
        <v>0</v>
      </c>
      <c r="KW92" s="5">
        <f t="shared" si="188"/>
        <v>674422</v>
      </c>
      <c r="KX92" s="26">
        <f t="shared" si="189"/>
        <v>0</v>
      </c>
      <c r="KY92" s="5">
        <f>SUM(EL92:EP92)</f>
        <v>27577001</v>
      </c>
      <c r="KZ92" s="26">
        <f>EQ92-KY92</f>
        <v>0</v>
      </c>
      <c r="LA92" s="5">
        <f t="shared" si="233"/>
        <v>4586220</v>
      </c>
      <c r="LB92" s="26">
        <f t="shared" si="234"/>
        <v>0</v>
      </c>
      <c r="LC92" s="5">
        <f t="shared" si="235"/>
        <v>933269</v>
      </c>
      <c r="LD92" s="26">
        <f t="shared" si="192"/>
        <v>0</v>
      </c>
      <c r="LE92" s="5">
        <f t="shared" si="193"/>
        <v>5403771</v>
      </c>
      <c r="LF92" s="26">
        <f t="shared" si="194"/>
        <v>0</v>
      </c>
      <c r="LG92" s="5">
        <f t="shared" si="195"/>
        <v>274168</v>
      </c>
      <c r="LH92" s="26">
        <f t="shared" si="196"/>
        <v>0</v>
      </c>
      <c r="LI92" s="5">
        <f t="shared" si="197"/>
        <v>5349279</v>
      </c>
      <c r="LJ92" s="26">
        <f t="shared" si="198"/>
        <v>0</v>
      </c>
      <c r="LK92" s="5">
        <f t="shared" si="199"/>
        <v>11095</v>
      </c>
      <c r="LL92" s="26">
        <f t="shared" si="200"/>
        <v>0</v>
      </c>
      <c r="LM92" s="5">
        <f t="shared" si="201"/>
        <v>0</v>
      </c>
      <c r="LN92" s="26">
        <f t="shared" si="202"/>
        <v>0</v>
      </c>
      <c r="LO92" s="5">
        <f t="shared" si="203"/>
        <v>562262</v>
      </c>
      <c r="LP92" s="26">
        <f t="shared" si="204"/>
        <v>0</v>
      </c>
      <c r="LQ92" s="5">
        <f t="shared" si="205"/>
        <v>2094819</v>
      </c>
      <c r="LR92" s="26">
        <f t="shared" si="206"/>
        <v>0</v>
      </c>
      <c r="LS92" s="5">
        <f t="shared" si="207"/>
        <v>560855</v>
      </c>
      <c r="LT92" s="26">
        <f t="shared" si="208"/>
        <v>0</v>
      </c>
      <c r="LU92" s="5">
        <f t="shared" si="209"/>
        <v>1346870</v>
      </c>
      <c r="LV92" s="26">
        <f t="shared" si="210"/>
        <v>0</v>
      </c>
      <c r="LW92" s="5">
        <f t="shared" si="211"/>
        <v>151557</v>
      </c>
      <c r="LX92" s="26">
        <f t="shared" si="212"/>
        <v>0</v>
      </c>
      <c r="LY92" s="5">
        <f t="shared" si="213"/>
        <v>0</v>
      </c>
      <c r="LZ92" s="26">
        <f t="shared" si="214"/>
        <v>0</v>
      </c>
      <c r="MA92" s="5">
        <f t="shared" si="215"/>
        <v>3259113</v>
      </c>
      <c r="MB92" s="26">
        <f t="shared" si="216"/>
        <v>0</v>
      </c>
      <c r="MC92" s="5">
        <f t="shared" si="217"/>
        <v>1661</v>
      </c>
      <c r="MD92" s="26">
        <f t="shared" si="218"/>
        <v>0</v>
      </c>
      <c r="ME92" s="5">
        <f t="shared" si="219"/>
        <v>723888</v>
      </c>
      <c r="MF92" s="26">
        <f t="shared" si="220"/>
        <v>0</v>
      </c>
      <c r="MG92" s="5">
        <f t="shared" si="221"/>
        <v>549507</v>
      </c>
      <c r="MH92" s="26">
        <f t="shared" si="222"/>
        <v>0</v>
      </c>
      <c r="MI92" s="5">
        <f t="shared" si="223"/>
        <v>403487</v>
      </c>
      <c r="MJ92" s="26">
        <f t="shared" si="224"/>
        <v>0</v>
      </c>
      <c r="MK92" s="5">
        <f t="shared" si="225"/>
        <v>1588620</v>
      </c>
      <c r="ML92" s="26">
        <f t="shared" si="226"/>
        <v>0</v>
      </c>
      <c r="MM92" s="5">
        <f t="shared" si="227"/>
        <v>27800441</v>
      </c>
      <c r="MN92" s="26">
        <f t="shared" si="228"/>
        <v>0</v>
      </c>
      <c r="MO92" s="5">
        <f t="shared" si="229"/>
        <v>0</v>
      </c>
      <c r="MP92" s="26">
        <f t="shared" si="230"/>
        <v>0</v>
      </c>
      <c r="MQ92" s="5">
        <f t="shared" si="231"/>
        <v>27800441</v>
      </c>
      <c r="MR92" s="26">
        <f t="shared" si="232"/>
        <v>0</v>
      </c>
      <c r="MT92" s="5">
        <f t="shared" si="158"/>
        <v>0</v>
      </c>
      <c r="MV92" s="4">
        <f t="shared" si="159"/>
        <v>0</v>
      </c>
      <c r="MY92" s="33"/>
      <c r="MZ92" s="33"/>
      <c r="NA92" s="33"/>
      <c r="NB92" s="33"/>
      <c r="NC92" s="33"/>
      <c r="ND92" s="33"/>
    </row>
    <row r="93" spans="1:368" x14ac:dyDescent="0.15">
      <c r="A93" s="18">
        <f>COUNTA(A3:A92)</f>
        <v>90</v>
      </c>
      <c r="C93" s="105"/>
      <c r="D93" s="105"/>
      <c r="E93" s="106"/>
      <c r="F93" s="106"/>
      <c r="G93" s="107"/>
      <c r="H93" s="107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39"/>
      <c r="AD93" s="139"/>
      <c r="AE93" s="139"/>
      <c r="AF93" s="26"/>
      <c r="AG93" s="26"/>
      <c r="AH93" s="26"/>
      <c r="AI93" s="26"/>
      <c r="AJ93" s="26"/>
      <c r="AK93" s="36"/>
      <c r="AL93" s="26"/>
      <c r="AM93" s="36"/>
      <c r="AN93" s="26"/>
      <c r="AO93" s="36"/>
      <c r="AP93" s="26"/>
      <c r="AQ93" s="36"/>
      <c r="AR93" s="26"/>
      <c r="AS93" s="36"/>
      <c r="AT93" s="26"/>
      <c r="AU93" s="36"/>
      <c r="AV93" s="26"/>
      <c r="AW93" s="36"/>
      <c r="AX93" s="26"/>
      <c r="AY93" s="36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/>
      <c r="DZ93" s="54"/>
      <c r="EA93" s="54"/>
      <c r="EB93" s="54"/>
      <c r="EC93" s="54"/>
      <c r="ED93" s="54"/>
      <c r="EE93" s="54"/>
      <c r="EF93" s="54"/>
      <c r="EG93" s="54"/>
      <c r="EH93" s="54"/>
      <c r="EI93" s="54"/>
      <c r="EJ93" s="54"/>
      <c r="EK93" s="54"/>
      <c r="EL93" s="54"/>
      <c r="EM93" s="54"/>
      <c r="EN93" s="54"/>
      <c r="EO93" s="54"/>
      <c r="EP93" s="54"/>
      <c r="EQ93" s="54"/>
      <c r="ER93" s="54"/>
      <c r="ES93" s="54"/>
      <c r="ET93" s="54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/>
      <c r="FG93" s="54"/>
      <c r="FH93" s="54"/>
      <c r="FI93" s="54"/>
      <c r="FJ93" s="54"/>
      <c r="FK93" s="54"/>
      <c r="FL93" s="54"/>
      <c r="FM93" s="54"/>
      <c r="FN93" s="54"/>
      <c r="FO93" s="54"/>
      <c r="FP93" s="54"/>
      <c r="FQ93" s="54"/>
      <c r="FR93" s="54"/>
      <c r="FS93" s="54"/>
      <c r="FT93" s="54"/>
      <c r="FU93" s="54"/>
      <c r="FV93" s="54"/>
      <c r="FW93" s="54"/>
      <c r="FX93" s="54"/>
      <c r="FY93" s="54"/>
      <c r="FZ93" s="54"/>
      <c r="GA93" s="54"/>
      <c r="GB93" s="54"/>
      <c r="GC93" s="54"/>
      <c r="GD93" s="54"/>
      <c r="GE93" s="54"/>
      <c r="GF93" s="54"/>
      <c r="GG93" s="54"/>
      <c r="GH93" s="54"/>
      <c r="GI93" s="54"/>
      <c r="GJ93" s="54"/>
      <c r="GK93" s="54"/>
      <c r="GL93" s="54"/>
      <c r="GM93" s="54"/>
      <c r="GN93" s="54"/>
      <c r="GO93" s="54"/>
      <c r="GP93" s="54"/>
      <c r="GQ93" s="54"/>
      <c r="GR93" s="54"/>
      <c r="GS93" s="54"/>
      <c r="GT93" s="54"/>
      <c r="GU93" s="54"/>
      <c r="GV93" s="54"/>
      <c r="GW93" s="54"/>
      <c r="GX93" s="54"/>
      <c r="GY93" s="54"/>
      <c r="GZ93" s="54"/>
      <c r="HA93" s="54"/>
      <c r="HB93" s="54"/>
      <c r="HC93" s="54"/>
      <c r="HD93" s="54"/>
      <c r="HE93" s="54"/>
      <c r="HF93" s="54"/>
      <c r="HG93" s="54"/>
      <c r="HH93" s="54"/>
      <c r="HI93" s="54"/>
      <c r="HJ93" s="54"/>
      <c r="HK93" s="54"/>
      <c r="HL93" s="54"/>
      <c r="HM93" s="54"/>
      <c r="HN93" s="54"/>
      <c r="HO93" s="54"/>
      <c r="HP93" s="54"/>
      <c r="HQ93" s="54"/>
      <c r="HR93" s="54"/>
      <c r="HS93" s="54"/>
      <c r="HT93" s="54"/>
      <c r="HU93" s="54"/>
      <c r="HV93" s="54"/>
      <c r="HW93" s="54"/>
      <c r="HX93" s="54"/>
      <c r="HY93" s="54"/>
      <c r="HZ93" s="54"/>
      <c r="IA93" s="54"/>
      <c r="IB93" s="54"/>
      <c r="IC93" s="54"/>
      <c r="ID93" s="54"/>
      <c r="IE93" s="54"/>
      <c r="IF93" s="54"/>
      <c r="IG93" s="54"/>
      <c r="IH93" s="54"/>
      <c r="II93" s="54"/>
      <c r="IJ93" s="54"/>
      <c r="IK93" s="54"/>
      <c r="IL93" s="54"/>
      <c r="IM93" s="54"/>
      <c r="IN93" s="54"/>
      <c r="IO93" s="54"/>
      <c r="IP93" s="54"/>
      <c r="IQ93" s="54"/>
      <c r="IR93" s="54"/>
      <c r="IS93" s="54"/>
      <c r="IT93" s="54"/>
      <c r="IU93" s="54"/>
      <c r="IV93" s="54"/>
      <c r="IW93" s="54"/>
      <c r="IX93" s="54"/>
      <c r="IY93" s="54"/>
      <c r="IZ93" s="54"/>
      <c r="JA93" s="54"/>
      <c r="JB93" s="54"/>
      <c r="JC93" s="54"/>
      <c r="JD93" s="54"/>
      <c r="JE93" s="54"/>
      <c r="JF93" s="54"/>
      <c r="JG93" s="54"/>
      <c r="JH93" s="54"/>
      <c r="JI93" s="54"/>
      <c r="JJ93" s="54"/>
      <c r="JK93" s="54"/>
      <c r="JL93" s="54"/>
      <c r="JM93" s="54"/>
      <c r="JN93" s="54"/>
      <c r="JO93" s="54"/>
      <c r="JP93" s="54"/>
      <c r="JQ93" s="54"/>
      <c r="JR93" s="54"/>
      <c r="JS93" s="54"/>
      <c r="JV93" s="26">
        <f>SUM(JV3:JV92)</f>
        <v>0</v>
      </c>
      <c r="JW93" s="26"/>
      <c r="JX93" s="26">
        <f t="shared" ref="JX93:MH93" si="310">SUM(JX3:JX92)</f>
        <v>0</v>
      </c>
      <c r="JY93" s="26"/>
      <c r="JZ93" s="26">
        <f t="shared" si="310"/>
        <v>0</v>
      </c>
      <c r="KA93" s="26"/>
      <c r="KB93" s="26">
        <f t="shared" si="310"/>
        <v>1</v>
      </c>
      <c r="KC93" s="26"/>
      <c r="KD93" s="26">
        <f t="shared" si="310"/>
        <v>0</v>
      </c>
      <c r="KE93" s="26"/>
      <c r="KF93" s="26">
        <f t="shared" si="310"/>
        <v>0</v>
      </c>
      <c r="KG93" s="26"/>
      <c r="KH93" s="26">
        <f t="shared" si="310"/>
        <v>-1</v>
      </c>
      <c r="KI93" s="26"/>
      <c r="KJ93" s="26">
        <f t="shared" si="310"/>
        <v>0</v>
      </c>
      <c r="KK93" s="26" t="s">
        <v>489</v>
      </c>
      <c r="KL93" s="26">
        <f t="shared" si="310"/>
        <v>0</v>
      </c>
      <c r="KM93" s="26"/>
      <c r="KN93" s="26">
        <f t="shared" si="310"/>
        <v>0</v>
      </c>
      <c r="KO93" s="26"/>
      <c r="KP93" s="26">
        <f t="shared" si="310"/>
        <v>0</v>
      </c>
      <c r="KQ93" s="26"/>
      <c r="KR93" s="26">
        <f t="shared" si="310"/>
        <v>-2</v>
      </c>
      <c r="KS93" s="26"/>
      <c r="KT93" s="26">
        <f t="shared" si="310"/>
        <v>0</v>
      </c>
      <c r="KU93" s="26"/>
      <c r="KV93" s="26">
        <f t="shared" si="310"/>
        <v>0</v>
      </c>
      <c r="KW93" s="26"/>
      <c r="KX93" s="26">
        <f t="shared" si="310"/>
        <v>0</v>
      </c>
      <c r="KY93" s="26"/>
      <c r="KZ93" s="26">
        <f t="shared" si="310"/>
        <v>1</v>
      </c>
      <c r="LA93" s="26"/>
      <c r="LB93" s="26">
        <f t="shared" si="310"/>
        <v>6371626</v>
      </c>
      <c r="LC93" s="26"/>
      <c r="LD93" s="26">
        <f t="shared" si="310"/>
        <v>433195</v>
      </c>
      <c r="LE93" s="26"/>
      <c r="LF93" s="26">
        <f t="shared" si="310"/>
        <v>1904602.29</v>
      </c>
      <c r="LG93" s="26"/>
      <c r="LH93" s="26">
        <f t="shared" si="310"/>
        <v>128675.54000000001</v>
      </c>
      <c r="LI93" s="26"/>
      <c r="LJ93" s="26">
        <f t="shared" si="310"/>
        <v>4530622</v>
      </c>
      <c r="LK93" s="26"/>
      <c r="LL93" s="26">
        <f t="shared" si="310"/>
        <v>0</v>
      </c>
      <c r="LM93" s="26"/>
      <c r="LN93" s="26">
        <f t="shared" si="310"/>
        <v>131605</v>
      </c>
      <c r="LO93" s="26"/>
      <c r="LP93" s="26">
        <f t="shared" si="310"/>
        <v>414566</v>
      </c>
      <c r="LQ93" s="26"/>
      <c r="LR93" s="26">
        <f t="shared" si="310"/>
        <v>2241222</v>
      </c>
      <c r="LS93" s="26"/>
      <c r="LT93" s="26">
        <f t="shared" si="310"/>
        <v>2118942</v>
      </c>
      <c r="LU93" s="26"/>
      <c r="LV93" s="26">
        <f t="shared" si="310"/>
        <v>460728</v>
      </c>
      <c r="LW93" s="26"/>
      <c r="LX93" s="26">
        <f t="shared" si="310"/>
        <v>106743</v>
      </c>
      <c r="LY93" s="26"/>
      <c r="LZ93" s="26">
        <f t="shared" si="310"/>
        <v>278192</v>
      </c>
      <c r="MA93" s="26"/>
      <c r="MB93" s="26">
        <f t="shared" si="310"/>
        <v>51840</v>
      </c>
      <c r="MC93" s="26"/>
      <c r="MD93" s="26">
        <f t="shared" si="310"/>
        <v>13970</v>
      </c>
      <c r="ME93" s="26"/>
      <c r="MF93" s="26">
        <f t="shared" si="310"/>
        <v>2372061</v>
      </c>
      <c r="MG93" s="26"/>
      <c r="MH93" s="26">
        <f t="shared" si="310"/>
        <v>249607</v>
      </c>
      <c r="MI93" s="26"/>
      <c r="MJ93" s="26">
        <f t="shared" ref="MJ93:MR93" si="311">SUM(MJ3:MJ92)</f>
        <v>298269</v>
      </c>
      <c r="MK93" s="26"/>
      <c r="ML93" s="26">
        <f t="shared" si="311"/>
        <v>2270187</v>
      </c>
      <c r="MM93" s="26"/>
      <c r="MN93" s="26">
        <f t="shared" si="311"/>
        <v>26221693</v>
      </c>
      <c r="MO93" s="26"/>
      <c r="MP93" s="26">
        <f t="shared" si="311"/>
        <v>0</v>
      </c>
      <c r="MQ93" s="26"/>
      <c r="MR93" s="26">
        <f t="shared" si="311"/>
        <v>26221693</v>
      </c>
      <c r="MS93" s="26"/>
      <c r="MT93" s="26">
        <f>SUM(MT3:MT92)</f>
        <v>76820037.829999998</v>
      </c>
      <c r="MV93" s="4">
        <f>SUM(MV3:MV92)</f>
        <v>2</v>
      </c>
    </row>
    <row r="94" spans="1:368" x14ac:dyDescent="0.15">
      <c r="C94" s="105"/>
      <c r="D94" s="105"/>
      <c r="E94" s="106"/>
      <c r="F94" s="106"/>
      <c r="G94" s="107"/>
      <c r="H94" s="107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31"/>
      <c r="AD94" s="131"/>
      <c r="AE94" s="131"/>
      <c r="AF94" s="26"/>
      <c r="AG94" s="26"/>
      <c r="AH94" s="26"/>
      <c r="AI94" s="26"/>
      <c r="AJ94" s="26"/>
      <c r="AK94" s="36"/>
      <c r="AL94" s="26"/>
      <c r="AM94" s="36"/>
      <c r="AN94" s="26"/>
      <c r="AO94" s="36"/>
      <c r="AP94" s="26"/>
      <c r="AQ94" s="36"/>
      <c r="AR94" s="26"/>
      <c r="AS94" s="36"/>
      <c r="AT94" s="26"/>
      <c r="AU94" s="36"/>
      <c r="AV94" s="26"/>
      <c r="AW94" s="36"/>
      <c r="AX94" s="26"/>
      <c r="AY94" s="36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/>
      <c r="DZ94" s="54"/>
      <c r="EA94" s="54"/>
      <c r="EB94" s="54"/>
      <c r="EC94" s="54"/>
      <c r="ED94" s="54"/>
      <c r="EE94" s="54"/>
      <c r="EF94" s="54"/>
      <c r="EG94" s="54"/>
      <c r="EH94" s="54"/>
      <c r="EI94" s="54"/>
      <c r="EJ94" s="54"/>
      <c r="EK94" s="54"/>
      <c r="EL94" s="54"/>
      <c r="EM94" s="54"/>
      <c r="EN94" s="54"/>
      <c r="EO94" s="54"/>
      <c r="EP94" s="54"/>
      <c r="EQ94" s="54"/>
      <c r="ER94" s="54"/>
      <c r="ES94" s="54"/>
      <c r="ET94" s="54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/>
      <c r="FG94" s="54"/>
      <c r="FH94" s="54"/>
      <c r="FI94" s="54"/>
      <c r="FJ94" s="54"/>
      <c r="FK94" s="54"/>
      <c r="FL94" s="54"/>
      <c r="FM94" s="54"/>
      <c r="FN94" s="54"/>
      <c r="FO94" s="54"/>
      <c r="FP94" s="54"/>
      <c r="FQ94" s="54"/>
      <c r="FR94" s="54"/>
      <c r="FS94" s="54"/>
      <c r="FT94" s="54"/>
      <c r="FU94" s="54"/>
      <c r="FV94" s="54"/>
      <c r="FW94" s="54"/>
      <c r="FX94" s="54"/>
      <c r="FY94" s="54"/>
      <c r="FZ94" s="54"/>
      <c r="GA94" s="54"/>
      <c r="GB94" s="54"/>
      <c r="GC94" s="54"/>
      <c r="GD94" s="54"/>
      <c r="GE94" s="54"/>
      <c r="GF94" s="54"/>
      <c r="GG94" s="54"/>
      <c r="GH94" s="54"/>
      <c r="GI94" s="54"/>
      <c r="GJ94" s="54"/>
      <c r="GK94" s="54"/>
      <c r="GL94" s="54"/>
      <c r="GM94" s="54"/>
      <c r="GN94" s="54"/>
      <c r="GO94" s="54"/>
      <c r="GP94" s="54"/>
      <c r="GQ94" s="54"/>
      <c r="GR94" s="54"/>
      <c r="GS94" s="54"/>
      <c r="GT94" s="54"/>
      <c r="GU94" s="54"/>
      <c r="GV94" s="54"/>
      <c r="GW94" s="54"/>
      <c r="GX94" s="54"/>
      <c r="GY94" s="54"/>
      <c r="GZ94" s="54"/>
      <c r="HA94" s="54"/>
      <c r="HB94" s="54"/>
      <c r="HC94" s="54"/>
      <c r="HD94" s="54"/>
      <c r="HE94" s="54"/>
      <c r="HF94" s="54"/>
      <c r="HG94" s="54"/>
      <c r="HH94" s="54"/>
      <c r="HI94" s="54"/>
      <c r="HJ94" s="54"/>
      <c r="HK94" s="54"/>
      <c r="HL94" s="54"/>
      <c r="HM94" s="54"/>
      <c r="HN94" s="54"/>
      <c r="HO94" s="54"/>
      <c r="HP94" s="54"/>
      <c r="HQ94" s="54"/>
      <c r="HR94" s="54"/>
      <c r="HS94" s="54"/>
      <c r="HT94" s="54"/>
      <c r="HU94" s="54"/>
      <c r="HV94" s="54"/>
      <c r="HW94" s="54"/>
      <c r="HX94" s="54"/>
      <c r="HY94" s="54"/>
      <c r="HZ94" s="54"/>
      <c r="IA94" s="54"/>
      <c r="IB94" s="54"/>
      <c r="IC94" s="54"/>
      <c r="ID94" s="54"/>
      <c r="IE94" s="54"/>
      <c r="IF94" s="54"/>
      <c r="IG94" s="54"/>
      <c r="IH94" s="54"/>
      <c r="II94" s="54"/>
      <c r="IJ94" s="54"/>
      <c r="IK94" s="54"/>
      <c r="IL94" s="54"/>
      <c r="IM94" s="54"/>
      <c r="IN94" s="54"/>
      <c r="IO94" s="54"/>
      <c r="IP94" s="54"/>
      <c r="IQ94" s="54"/>
      <c r="IR94" s="54"/>
      <c r="IS94" s="54"/>
      <c r="IT94" s="54"/>
      <c r="IU94" s="54"/>
      <c r="IV94" s="54"/>
      <c r="IW94" s="54"/>
      <c r="IX94" s="54"/>
      <c r="IY94" s="54"/>
      <c r="IZ94" s="54"/>
      <c r="JA94" s="54"/>
      <c r="JB94" s="54"/>
      <c r="JC94" s="54"/>
      <c r="JD94" s="54"/>
      <c r="JE94" s="54"/>
      <c r="JF94" s="54"/>
      <c r="JG94" s="54"/>
      <c r="JH94" s="54"/>
      <c r="JI94" s="54"/>
      <c r="JJ94" s="54"/>
      <c r="JK94" s="54"/>
      <c r="JL94" s="54"/>
      <c r="JM94" s="54"/>
      <c r="JN94" s="54"/>
      <c r="JO94" s="54"/>
      <c r="JP94" s="54"/>
      <c r="JQ94" s="54"/>
      <c r="JR94" s="54"/>
      <c r="JS94" s="54"/>
      <c r="JW94" s="5" t="s">
        <v>489</v>
      </c>
      <c r="KK94" s="5" t="s">
        <v>490</v>
      </c>
      <c r="MT94" s="5">
        <f>JV93+JX93+JZ93+KB93+KD93+KF93+KH93+KJ93+KL93+KN93+KP93+KT93+KV93+KX93+KR93+KZ93+LB93+LD93+LF93+LH93+LJ93+LL93+LN93+LP93+LR93+LV93+LX93+LZ93+LT93+MB93+MD93+MF93+MH93+MJ93+ML93+MN93+MP93+MR93</f>
        <v>76820037.829999998</v>
      </c>
    </row>
    <row r="95" spans="1:368" x14ac:dyDescent="0.15">
      <c r="A95" s="18" t="s">
        <v>468</v>
      </c>
      <c r="B95" s="4"/>
      <c r="C95" s="106"/>
      <c r="D95" s="106"/>
      <c r="E95" s="106"/>
      <c r="F95" s="106"/>
      <c r="G95" s="107">
        <f>MIN(G3:G92)</f>
        <v>3272</v>
      </c>
      <c r="H95" s="107">
        <f t="shared" ref="H95:BS95" si="312">MIN(H3:H92)</f>
        <v>2913</v>
      </c>
      <c r="I95" s="108">
        <f t="shared" si="312"/>
        <v>154999189</v>
      </c>
      <c r="J95" s="108">
        <f t="shared" si="312"/>
        <v>471159270</v>
      </c>
      <c r="K95" s="108">
        <f>MIN(K3:K92)</f>
        <v>0</v>
      </c>
      <c r="L95" s="108">
        <f t="shared" si="312"/>
        <v>0</v>
      </c>
      <c r="M95" s="108">
        <f t="shared" si="312"/>
        <v>0</v>
      </c>
      <c r="N95" s="108">
        <f t="shared" si="312"/>
        <v>0</v>
      </c>
      <c r="O95" s="108">
        <f t="shared" si="312"/>
        <v>0</v>
      </c>
      <c r="P95" s="108">
        <f t="shared" si="312"/>
        <v>0</v>
      </c>
      <c r="Q95" s="108">
        <f t="shared" si="312"/>
        <v>1614221</v>
      </c>
      <c r="R95" s="108">
        <f t="shared" si="312"/>
        <v>0</v>
      </c>
      <c r="S95" s="108">
        <f t="shared" si="312"/>
        <v>47640551</v>
      </c>
      <c r="T95" s="108">
        <f t="shared" si="312"/>
        <v>351890355</v>
      </c>
      <c r="U95" s="108">
        <f t="shared" si="312"/>
        <v>9572</v>
      </c>
      <c r="V95" s="108">
        <f t="shared" si="312"/>
        <v>10796</v>
      </c>
      <c r="W95" s="108">
        <f t="shared" si="312"/>
        <v>16791</v>
      </c>
      <c r="X95" s="108">
        <f t="shared" si="312"/>
        <v>19770</v>
      </c>
      <c r="Y95" s="108">
        <f t="shared" si="312"/>
        <v>15198</v>
      </c>
      <c r="Z95" s="108">
        <f t="shared" si="312"/>
        <v>15730</v>
      </c>
      <c r="AA95" s="108">
        <f t="shared" si="312"/>
        <v>15903</v>
      </c>
      <c r="AB95" s="108">
        <f t="shared" si="312"/>
        <v>24710</v>
      </c>
      <c r="AC95" s="131">
        <f t="shared" si="312"/>
        <v>3</v>
      </c>
      <c r="AD95" s="131">
        <f t="shared" si="312"/>
        <v>2</v>
      </c>
      <c r="AE95" s="131">
        <f t="shared" si="312"/>
        <v>0</v>
      </c>
      <c r="AF95" s="26">
        <f t="shared" si="312"/>
        <v>347174</v>
      </c>
      <c r="AG95" s="26">
        <f t="shared" si="312"/>
        <v>298985</v>
      </c>
      <c r="AH95" s="26">
        <f t="shared" si="312"/>
        <v>76772</v>
      </c>
      <c r="AI95" s="26">
        <f t="shared" si="312"/>
        <v>9.5</v>
      </c>
      <c r="AJ95" s="26">
        <f t="shared" si="312"/>
        <v>63346.5</v>
      </c>
      <c r="AK95" s="36">
        <f t="shared" si="312"/>
        <v>0.5</v>
      </c>
      <c r="AL95" s="26">
        <f t="shared" si="312"/>
        <v>99678</v>
      </c>
      <c r="AM95" s="36">
        <f t="shared" si="312"/>
        <v>0</v>
      </c>
      <c r="AN95" s="26">
        <f t="shared" si="312"/>
        <v>63634.46</v>
      </c>
      <c r="AO95" s="36">
        <f t="shared" si="312"/>
        <v>0</v>
      </c>
      <c r="AP95" s="26">
        <f t="shared" si="312"/>
        <v>56595.25</v>
      </c>
      <c r="AQ95" s="36">
        <f t="shared" si="312"/>
        <v>0</v>
      </c>
      <c r="AR95" s="26">
        <f t="shared" si="312"/>
        <v>60125.18</v>
      </c>
      <c r="AS95" s="36">
        <f t="shared" si="312"/>
        <v>0</v>
      </c>
      <c r="AT95" s="26">
        <f t="shared" si="312"/>
        <v>21376.959999999999</v>
      </c>
      <c r="AU95" s="36">
        <f t="shared" si="312"/>
        <v>0</v>
      </c>
      <c r="AV95" s="26">
        <f t="shared" si="312"/>
        <v>33495.129999999997</v>
      </c>
      <c r="AW95" s="36">
        <f t="shared" si="312"/>
        <v>0</v>
      </c>
      <c r="AX95" s="26">
        <f t="shared" si="312"/>
        <v>21399.67</v>
      </c>
      <c r="AY95" s="36">
        <f t="shared" si="312"/>
        <v>0</v>
      </c>
      <c r="AZ95" s="54">
        <f t="shared" si="312"/>
        <v>334100</v>
      </c>
      <c r="BA95" s="54">
        <f>MIN(BA3:BA92)</f>
        <v>19179</v>
      </c>
      <c r="BB95" s="54">
        <f t="shared" si="312"/>
        <v>0</v>
      </c>
      <c r="BC95" s="54">
        <f t="shared" si="312"/>
        <v>0</v>
      </c>
      <c r="BD95" s="54">
        <f t="shared" si="312"/>
        <v>0</v>
      </c>
      <c r="BE95" s="54">
        <f t="shared" si="312"/>
        <v>385053</v>
      </c>
      <c r="BF95" s="54">
        <f t="shared" si="312"/>
        <v>0</v>
      </c>
      <c r="BG95" s="54">
        <f t="shared" si="312"/>
        <v>0</v>
      </c>
      <c r="BH95" s="54">
        <f t="shared" si="312"/>
        <v>0</v>
      </c>
      <c r="BI95" s="54">
        <f t="shared" si="312"/>
        <v>0</v>
      </c>
      <c r="BJ95" s="54">
        <f t="shared" si="312"/>
        <v>0</v>
      </c>
      <c r="BK95" s="54">
        <f t="shared" si="312"/>
        <v>0</v>
      </c>
      <c r="BL95" s="54">
        <f t="shared" si="312"/>
        <v>0</v>
      </c>
      <c r="BM95" s="54">
        <f t="shared" si="312"/>
        <v>0</v>
      </c>
      <c r="BN95" s="54">
        <f t="shared" si="312"/>
        <v>0</v>
      </c>
      <c r="BO95" s="54">
        <f t="shared" si="312"/>
        <v>0</v>
      </c>
      <c r="BP95" s="54">
        <f t="shared" si="312"/>
        <v>0</v>
      </c>
      <c r="BQ95" s="54">
        <f t="shared" si="312"/>
        <v>24230</v>
      </c>
      <c r="BR95" s="54">
        <f t="shared" si="312"/>
        <v>0</v>
      </c>
      <c r="BS95" s="54">
        <f t="shared" si="312"/>
        <v>0</v>
      </c>
      <c r="BT95" s="54">
        <f t="shared" ref="BT95:EE95" si="313">MIN(BT3:BT92)</f>
        <v>0</v>
      </c>
      <c r="BU95" s="54">
        <f t="shared" si="313"/>
        <v>-40124</v>
      </c>
      <c r="BV95" s="54">
        <f t="shared" si="313"/>
        <v>0</v>
      </c>
      <c r="BW95" s="54">
        <f t="shared" si="313"/>
        <v>64506</v>
      </c>
      <c r="BX95" s="54">
        <f t="shared" si="313"/>
        <v>0</v>
      </c>
      <c r="BY95" s="54">
        <f t="shared" si="313"/>
        <v>0</v>
      </c>
      <c r="BZ95" s="54">
        <f t="shared" si="313"/>
        <v>0</v>
      </c>
      <c r="CA95" s="54">
        <f t="shared" si="313"/>
        <v>0</v>
      </c>
      <c r="CB95" s="54">
        <f t="shared" si="313"/>
        <v>0</v>
      </c>
      <c r="CC95" s="54">
        <f t="shared" si="313"/>
        <v>0</v>
      </c>
      <c r="CD95" s="54">
        <f t="shared" si="313"/>
        <v>0</v>
      </c>
      <c r="CE95" s="54">
        <f t="shared" si="313"/>
        <v>0</v>
      </c>
      <c r="CF95" s="54">
        <f t="shared" si="313"/>
        <v>0</v>
      </c>
      <c r="CG95" s="54">
        <f t="shared" si="313"/>
        <v>0</v>
      </c>
      <c r="CH95" s="54">
        <f t="shared" si="313"/>
        <v>0</v>
      </c>
      <c r="CI95" s="54">
        <f t="shared" si="313"/>
        <v>0</v>
      </c>
      <c r="CJ95" s="54">
        <f t="shared" si="313"/>
        <v>0</v>
      </c>
      <c r="CK95" s="54">
        <f t="shared" si="313"/>
        <v>0</v>
      </c>
      <c r="CL95" s="54">
        <f t="shared" si="313"/>
        <v>0</v>
      </c>
      <c r="CM95" s="54">
        <f t="shared" si="313"/>
        <v>0</v>
      </c>
      <c r="CN95" s="54">
        <f t="shared" si="313"/>
        <v>0</v>
      </c>
      <c r="CO95" s="54">
        <f t="shared" si="313"/>
        <v>0</v>
      </c>
      <c r="CP95" s="54">
        <f t="shared" si="313"/>
        <v>0</v>
      </c>
      <c r="CQ95" s="54">
        <f t="shared" si="313"/>
        <v>0</v>
      </c>
      <c r="CR95" s="54">
        <f t="shared" si="313"/>
        <v>0</v>
      </c>
      <c r="CS95" s="54">
        <f t="shared" si="313"/>
        <v>0</v>
      </c>
      <c r="CT95" s="54">
        <f t="shared" si="313"/>
        <v>0</v>
      </c>
      <c r="CU95" s="54">
        <f t="shared" si="313"/>
        <v>0</v>
      </c>
      <c r="CV95" s="54">
        <f t="shared" si="313"/>
        <v>0</v>
      </c>
      <c r="CW95" s="54">
        <f t="shared" si="313"/>
        <v>0</v>
      </c>
      <c r="CX95" s="54">
        <f t="shared" si="313"/>
        <v>0</v>
      </c>
      <c r="CY95" s="54">
        <f t="shared" si="313"/>
        <v>0</v>
      </c>
      <c r="CZ95" s="54">
        <f t="shared" si="313"/>
        <v>0</v>
      </c>
      <c r="DA95" s="54">
        <f t="shared" si="313"/>
        <v>674596</v>
      </c>
      <c r="DB95" s="54">
        <f t="shared" si="313"/>
        <v>0</v>
      </c>
      <c r="DC95" s="54">
        <f t="shared" si="313"/>
        <v>0</v>
      </c>
      <c r="DD95" s="54">
        <f t="shared" si="313"/>
        <v>0</v>
      </c>
      <c r="DE95" s="54">
        <f t="shared" si="313"/>
        <v>0</v>
      </c>
      <c r="DF95" s="54">
        <f t="shared" si="313"/>
        <v>0</v>
      </c>
      <c r="DG95" s="54">
        <f t="shared" si="313"/>
        <v>0</v>
      </c>
      <c r="DH95" s="54">
        <f t="shared" si="313"/>
        <v>0</v>
      </c>
      <c r="DI95" s="54">
        <f t="shared" si="313"/>
        <v>0</v>
      </c>
      <c r="DJ95" s="54">
        <f t="shared" si="313"/>
        <v>0</v>
      </c>
      <c r="DK95" s="54">
        <f t="shared" si="313"/>
        <v>0</v>
      </c>
      <c r="DL95" s="54">
        <f t="shared" si="313"/>
        <v>0</v>
      </c>
      <c r="DM95" s="54">
        <f t="shared" si="313"/>
        <v>1062</v>
      </c>
      <c r="DN95" s="54">
        <f t="shared" si="313"/>
        <v>0</v>
      </c>
      <c r="DO95" s="54">
        <f t="shared" si="313"/>
        <v>0</v>
      </c>
      <c r="DP95" s="54">
        <f t="shared" si="313"/>
        <v>0</v>
      </c>
      <c r="DQ95" s="54">
        <f t="shared" si="313"/>
        <v>0</v>
      </c>
      <c r="DR95" s="54">
        <f t="shared" si="313"/>
        <v>0</v>
      </c>
      <c r="DS95" s="54">
        <f t="shared" si="313"/>
        <v>19023</v>
      </c>
      <c r="DT95" s="54">
        <f t="shared" si="313"/>
        <v>0</v>
      </c>
      <c r="DU95" s="54">
        <f t="shared" si="313"/>
        <v>0</v>
      </c>
      <c r="DV95" s="54">
        <f t="shared" si="313"/>
        <v>0</v>
      </c>
      <c r="DW95" s="54">
        <f t="shared" si="313"/>
        <v>0</v>
      </c>
      <c r="DX95" s="54">
        <f t="shared" si="313"/>
        <v>0</v>
      </c>
      <c r="DY95" s="54">
        <f t="shared" si="313"/>
        <v>0</v>
      </c>
      <c r="DZ95" s="54">
        <f t="shared" si="313"/>
        <v>-6725</v>
      </c>
      <c r="EA95" s="54">
        <f t="shared" si="313"/>
        <v>-1731</v>
      </c>
      <c r="EB95" s="54">
        <f t="shared" si="313"/>
        <v>-1106</v>
      </c>
      <c r="EC95" s="54">
        <f t="shared" si="313"/>
        <v>-5750</v>
      </c>
      <c r="ED95" s="54">
        <f t="shared" si="313"/>
        <v>0</v>
      </c>
      <c r="EE95" s="54">
        <f t="shared" si="313"/>
        <v>0</v>
      </c>
      <c r="EF95" s="54">
        <f t="shared" ref="EF95:GQ95" si="314">MIN(EF3:EF92)</f>
        <v>0</v>
      </c>
      <c r="EG95" s="54">
        <f t="shared" si="314"/>
        <v>0</v>
      </c>
      <c r="EH95" s="54">
        <f t="shared" si="314"/>
        <v>0</v>
      </c>
      <c r="EI95" s="54">
        <f t="shared" si="314"/>
        <v>0</v>
      </c>
      <c r="EJ95" s="54">
        <f t="shared" si="314"/>
        <v>0</v>
      </c>
      <c r="EK95" s="54">
        <f t="shared" si="314"/>
        <v>0</v>
      </c>
      <c r="EL95" s="54">
        <f t="shared" ref="EL95:EQ95" si="315">MIN(EL3:EL92)</f>
        <v>1254900</v>
      </c>
      <c r="EM95" s="54">
        <f t="shared" si="315"/>
        <v>198755</v>
      </c>
      <c r="EN95" s="54">
        <f t="shared" si="315"/>
        <v>34258</v>
      </c>
      <c r="EO95" s="54">
        <f t="shared" si="315"/>
        <v>143955</v>
      </c>
      <c r="EP95" s="54">
        <f t="shared" si="315"/>
        <v>1056063</v>
      </c>
      <c r="EQ95" s="54">
        <f t="shared" si="315"/>
        <v>11259222</v>
      </c>
      <c r="ER95" s="54">
        <f t="shared" si="314"/>
        <v>988806</v>
      </c>
      <c r="ES95" s="54">
        <f t="shared" si="314"/>
        <v>158282</v>
      </c>
      <c r="ET95" s="54">
        <f t="shared" si="314"/>
        <v>175796</v>
      </c>
      <c r="EU95" s="54">
        <f t="shared" si="314"/>
        <v>992051</v>
      </c>
      <c r="EV95" s="54">
        <f t="shared" si="314"/>
        <v>0</v>
      </c>
      <c r="EW95" s="54">
        <f t="shared" si="314"/>
        <v>2531170</v>
      </c>
      <c r="EX95" s="54">
        <f t="shared" si="314"/>
        <v>0</v>
      </c>
      <c r="EY95" s="54">
        <f t="shared" si="314"/>
        <v>0</v>
      </c>
      <c r="EZ95" s="54">
        <f t="shared" si="314"/>
        <v>0</v>
      </c>
      <c r="FA95" s="54">
        <f t="shared" si="314"/>
        <v>0</v>
      </c>
      <c r="FB95" s="54">
        <f t="shared" si="314"/>
        <v>0</v>
      </c>
      <c r="FC95" s="54">
        <f t="shared" si="314"/>
        <v>85242</v>
      </c>
      <c r="FD95" s="54">
        <f t="shared" si="314"/>
        <v>1034103</v>
      </c>
      <c r="FE95" s="54">
        <f t="shared" si="314"/>
        <v>310211</v>
      </c>
      <c r="FF95" s="54">
        <f t="shared" si="314"/>
        <v>135308</v>
      </c>
      <c r="FG95" s="54">
        <f t="shared" si="314"/>
        <v>723407</v>
      </c>
      <c r="FH95" s="54">
        <f t="shared" si="314"/>
        <v>0</v>
      </c>
      <c r="FI95" s="54">
        <f t="shared" si="314"/>
        <v>2316434</v>
      </c>
      <c r="FJ95" s="54">
        <f t="shared" si="314"/>
        <v>0</v>
      </c>
      <c r="FK95" s="54">
        <f t="shared" si="314"/>
        <v>0</v>
      </c>
      <c r="FL95" s="54">
        <f t="shared" si="314"/>
        <v>0</v>
      </c>
      <c r="FM95" s="54">
        <f t="shared" si="314"/>
        <v>0</v>
      </c>
      <c r="FN95" s="54">
        <f t="shared" si="314"/>
        <v>0</v>
      </c>
      <c r="FO95" s="54">
        <f t="shared" si="314"/>
        <v>0</v>
      </c>
      <c r="FP95" s="54">
        <f t="shared" si="314"/>
        <v>0</v>
      </c>
      <c r="FQ95" s="54">
        <f t="shared" si="314"/>
        <v>0</v>
      </c>
      <c r="FR95" s="54">
        <f t="shared" si="314"/>
        <v>0</v>
      </c>
      <c r="FS95" s="54">
        <f t="shared" si="314"/>
        <v>0</v>
      </c>
      <c r="FT95" s="54">
        <f t="shared" si="314"/>
        <v>0</v>
      </c>
      <c r="FU95" s="54">
        <f t="shared" si="314"/>
        <v>1366178</v>
      </c>
      <c r="FV95" s="54">
        <f t="shared" si="314"/>
        <v>0</v>
      </c>
      <c r="FW95" s="54">
        <f t="shared" si="314"/>
        <v>0</v>
      </c>
      <c r="FX95" s="54">
        <f t="shared" si="314"/>
        <v>0</v>
      </c>
      <c r="FY95" s="54">
        <f t="shared" si="314"/>
        <v>0</v>
      </c>
      <c r="FZ95" s="54">
        <f t="shared" si="314"/>
        <v>0</v>
      </c>
      <c r="GA95" s="54">
        <f t="shared" si="314"/>
        <v>0</v>
      </c>
      <c r="GB95" s="54">
        <f t="shared" si="314"/>
        <v>0</v>
      </c>
      <c r="GC95" s="54">
        <f t="shared" si="314"/>
        <v>0</v>
      </c>
      <c r="GD95" s="54">
        <f t="shared" si="314"/>
        <v>0</v>
      </c>
      <c r="GE95" s="54">
        <f t="shared" si="314"/>
        <v>0</v>
      </c>
      <c r="GF95" s="54">
        <f t="shared" si="314"/>
        <v>0</v>
      </c>
      <c r="GG95" s="54">
        <f t="shared" si="314"/>
        <v>0</v>
      </c>
      <c r="GH95" s="54">
        <f t="shared" si="314"/>
        <v>48009</v>
      </c>
      <c r="GI95" s="54">
        <f t="shared" si="314"/>
        <v>25978</v>
      </c>
      <c r="GJ95" s="54">
        <f t="shared" si="314"/>
        <v>31043</v>
      </c>
      <c r="GK95" s="54">
        <f t="shared" si="314"/>
        <v>30750</v>
      </c>
      <c r="GL95" s="54">
        <f t="shared" si="314"/>
        <v>0</v>
      </c>
      <c r="GM95" s="54">
        <f t="shared" si="314"/>
        <v>219885</v>
      </c>
      <c r="GN95" s="54">
        <f t="shared" si="314"/>
        <v>144058</v>
      </c>
      <c r="GO95" s="54">
        <f t="shared" si="314"/>
        <v>40641</v>
      </c>
      <c r="GP95" s="54">
        <f t="shared" si="314"/>
        <v>36235</v>
      </c>
      <c r="GQ95" s="54">
        <f t="shared" si="314"/>
        <v>81001</v>
      </c>
      <c r="GR95" s="54">
        <f t="shared" ref="GR95:JC95" si="316">MIN(GR3:GR92)</f>
        <v>0</v>
      </c>
      <c r="GS95" s="54">
        <f t="shared" si="316"/>
        <v>304720</v>
      </c>
      <c r="GT95" s="54">
        <f t="shared" si="316"/>
        <v>115645</v>
      </c>
      <c r="GU95" s="54">
        <f t="shared" si="316"/>
        <v>7246</v>
      </c>
      <c r="GV95" s="54">
        <f t="shared" si="316"/>
        <v>4157</v>
      </c>
      <c r="GW95" s="54">
        <f t="shared" si="316"/>
        <v>134480</v>
      </c>
      <c r="GX95" s="54">
        <f t="shared" si="316"/>
        <v>0</v>
      </c>
      <c r="GY95" s="54">
        <f t="shared" si="316"/>
        <v>368504</v>
      </c>
      <c r="GZ95" s="54">
        <f t="shared" si="316"/>
        <v>0</v>
      </c>
      <c r="HA95" s="54">
        <f t="shared" si="316"/>
        <v>0</v>
      </c>
      <c r="HB95" s="54">
        <f t="shared" si="316"/>
        <v>0</v>
      </c>
      <c r="HC95" s="54">
        <f t="shared" si="316"/>
        <v>0</v>
      </c>
      <c r="HD95" s="54">
        <f t="shared" si="316"/>
        <v>0</v>
      </c>
      <c r="HE95" s="54">
        <f t="shared" si="316"/>
        <v>274415</v>
      </c>
      <c r="HF95" s="54">
        <f t="shared" si="316"/>
        <v>0</v>
      </c>
      <c r="HG95" s="54">
        <f t="shared" si="316"/>
        <v>0</v>
      </c>
      <c r="HH95" s="54">
        <f t="shared" si="316"/>
        <v>0</v>
      </c>
      <c r="HI95" s="54">
        <f t="shared" si="316"/>
        <v>0</v>
      </c>
      <c r="HJ95" s="54">
        <f t="shared" si="316"/>
        <v>0</v>
      </c>
      <c r="HK95" s="54">
        <f t="shared" si="316"/>
        <v>10579</v>
      </c>
      <c r="HL95" s="54">
        <f t="shared" si="316"/>
        <v>0</v>
      </c>
      <c r="HM95" s="54">
        <f t="shared" si="316"/>
        <v>0</v>
      </c>
      <c r="HN95" s="54">
        <f t="shared" si="316"/>
        <v>0</v>
      </c>
      <c r="HO95" s="54">
        <f t="shared" si="316"/>
        <v>0</v>
      </c>
      <c r="HP95" s="54">
        <f t="shared" si="316"/>
        <v>0</v>
      </c>
      <c r="HQ95" s="54">
        <f t="shared" si="316"/>
        <v>0</v>
      </c>
      <c r="HR95" s="54">
        <f t="shared" si="316"/>
        <v>0</v>
      </c>
      <c r="HS95" s="54">
        <f t="shared" si="316"/>
        <v>0</v>
      </c>
      <c r="HT95" s="54">
        <f t="shared" si="316"/>
        <v>0</v>
      </c>
      <c r="HU95" s="54">
        <f t="shared" si="316"/>
        <v>0</v>
      </c>
      <c r="HV95" s="54">
        <f t="shared" si="316"/>
        <v>0</v>
      </c>
      <c r="HW95" s="54">
        <f t="shared" si="316"/>
        <v>0</v>
      </c>
      <c r="HX95" s="54">
        <f t="shared" si="316"/>
        <v>0</v>
      </c>
      <c r="HY95" s="54">
        <f t="shared" si="316"/>
        <v>0</v>
      </c>
      <c r="HZ95" s="54">
        <f t="shared" si="316"/>
        <v>0</v>
      </c>
      <c r="IA95" s="54">
        <f t="shared" si="316"/>
        <v>0</v>
      </c>
      <c r="IB95" s="54">
        <f t="shared" si="316"/>
        <v>0</v>
      </c>
      <c r="IC95" s="54">
        <f t="shared" si="316"/>
        <v>0</v>
      </c>
      <c r="ID95" s="54">
        <f t="shared" si="316"/>
        <v>0</v>
      </c>
      <c r="IE95" s="54">
        <f t="shared" si="316"/>
        <v>0</v>
      </c>
      <c r="IF95" s="54">
        <f t="shared" si="316"/>
        <v>0</v>
      </c>
      <c r="IG95" s="54">
        <f t="shared" si="316"/>
        <v>0</v>
      </c>
      <c r="IH95" s="54">
        <f t="shared" si="316"/>
        <v>0</v>
      </c>
      <c r="II95" s="54">
        <f t="shared" si="316"/>
        <v>0</v>
      </c>
      <c r="IJ95" s="54">
        <f t="shared" si="316"/>
        <v>0</v>
      </c>
      <c r="IK95" s="54">
        <f t="shared" si="316"/>
        <v>0</v>
      </c>
      <c r="IL95" s="54">
        <f t="shared" si="316"/>
        <v>0</v>
      </c>
      <c r="IM95" s="54">
        <f t="shared" si="316"/>
        <v>0</v>
      </c>
      <c r="IN95" s="54">
        <f t="shared" si="316"/>
        <v>0</v>
      </c>
      <c r="IO95" s="54">
        <f t="shared" si="316"/>
        <v>117146</v>
      </c>
      <c r="IP95" s="54">
        <f t="shared" si="316"/>
        <v>0</v>
      </c>
      <c r="IQ95" s="54">
        <f t="shared" si="316"/>
        <v>0</v>
      </c>
      <c r="IR95" s="54">
        <f t="shared" si="316"/>
        <v>0</v>
      </c>
      <c r="IS95" s="54">
        <f t="shared" si="316"/>
        <v>0</v>
      </c>
      <c r="IT95" s="54">
        <f t="shared" si="316"/>
        <v>0</v>
      </c>
      <c r="IU95" s="54">
        <f t="shared" si="316"/>
        <v>15600</v>
      </c>
      <c r="IV95" s="54">
        <f t="shared" si="316"/>
        <v>0</v>
      </c>
      <c r="IW95" s="54">
        <f t="shared" si="316"/>
        <v>0</v>
      </c>
      <c r="IX95" s="54">
        <f t="shared" si="316"/>
        <v>0</v>
      </c>
      <c r="IY95" s="54">
        <f t="shared" si="316"/>
        <v>0</v>
      </c>
      <c r="IZ95" s="54">
        <f t="shared" si="316"/>
        <v>0</v>
      </c>
      <c r="JA95" s="54">
        <f t="shared" si="316"/>
        <v>148901</v>
      </c>
      <c r="JB95" s="54">
        <f t="shared" si="316"/>
        <v>3409021</v>
      </c>
      <c r="JC95" s="54">
        <f t="shared" si="316"/>
        <v>921943</v>
      </c>
      <c r="JD95" s="54">
        <f t="shared" ref="JD95:JS95" si="317">MIN(JD3:JD92)</f>
        <v>684566</v>
      </c>
      <c r="JE95" s="54">
        <f t="shared" si="317"/>
        <v>3665084</v>
      </c>
      <c r="JF95" s="54">
        <f t="shared" si="317"/>
        <v>0</v>
      </c>
      <c r="JG95" s="54">
        <f t="shared" si="317"/>
        <v>13374507</v>
      </c>
      <c r="JH95" s="54">
        <f t="shared" si="317"/>
        <v>0</v>
      </c>
      <c r="JI95" s="54">
        <f t="shared" si="317"/>
        <v>0</v>
      </c>
      <c r="JJ95" s="54">
        <f t="shared" si="317"/>
        <v>0</v>
      </c>
      <c r="JK95" s="54">
        <f t="shared" si="317"/>
        <v>0</v>
      </c>
      <c r="JL95" s="54">
        <f t="shared" si="317"/>
        <v>0</v>
      </c>
      <c r="JM95" s="54">
        <f t="shared" si="317"/>
        <v>0</v>
      </c>
      <c r="JN95" s="54">
        <f t="shared" si="317"/>
        <v>3409021</v>
      </c>
      <c r="JO95" s="54">
        <f t="shared" si="317"/>
        <v>917931</v>
      </c>
      <c r="JP95" s="54">
        <f t="shared" si="317"/>
        <v>729874</v>
      </c>
      <c r="JQ95" s="54">
        <f t="shared" si="317"/>
        <v>3665084</v>
      </c>
      <c r="JR95" s="54">
        <f t="shared" si="317"/>
        <v>0</v>
      </c>
      <c r="JS95" s="54">
        <f t="shared" si="317"/>
        <v>13374507</v>
      </c>
    </row>
    <row r="96" spans="1:368" x14ac:dyDescent="0.15">
      <c r="A96" s="18" t="s">
        <v>469</v>
      </c>
      <c r="B96" s="4"/>
      <c r="C96" s="106"/>
      <c r="D96" s="106"/>
      <c r="E96" s="106"/>
      <c r="F96" s="106"/>
      <c r="G96" s="107">
        <f>MAX(G3:G92)</f>
        <v>23164</v>
      </c>
      <c r="H96" s="107">
        <f t="shared" ref="H96:BS96" si="318">MAX(H3:H92)</f>
        <v>23830</v>
      </c>
      <c r="I96" s="108">
        <f t="shared" si="318"/>
        <v>4563334000</v>
      </c>
      <c r="J96" s="108">
        <f t="shared" si="318"/>
        <v>790410000</v>
      </c>
      <c r="K96" s="108">
        <f>MAX(K3:K92)</f>
        <v>112555000</v>
      </c>
      <c r="L96" s="108">
        <f t="shared" si="318"/>
        <v>0</v>
      </c>
      <c r="M96" s="108">
        <f t="shared" si="318"/>
        <v>365087297</v>
      </c>
      <c r="N96" s="108">
        <f t="shared" si="318"/>
        <v>0</v>
      </c>
      <c r="O96" s="108">
        <f t="shared" si="318"/>
        <v>453451358</v>
      </c>
      <c r="P96" s="108">
        <f t="shared" si="318"/>
        <v>0</v>
      </c>
      <c r="Q96" s="108">
        <f t="shared" si="318"/>
        <v>1970000000</v>
      </c>
      <c r="R96" s="108">
        <f t="shared" si="318"/>
        <v>0</v>
      </c>
      <c r="S96" s="108">
        <f t="shared" si="318"/>
        <v>11137320001</v>
      </c>
      <c r="T96" s="108">
        <f t="shared" si="318"/>
        <v>484270000</v>
      </c>
      <c r="U96" s="108">
        <f t="shared" si="318"/>
        <v>29026</v>
      </c>
      <c r="V96" s="108">
        <f t="shared" si="318"/>
        <v>23268</v>
      </c>
      <c r="W96" s="108">
        <f t="shared" si="318"/>
        <v>51905</v>
      </c>
      <c r="X96" s="108">
        <f t="shared" si="318"/>
        <v>37626</v>
      </c>
      <c r="Y96" s="108">
        <f t="shared" si="318"/>
        <v>31947</v>
      </c>
      <c r="Z96" s="108">
        <f t="shared" si="318"/>
        <v>29551</v>
      </c>
      <c r="AA96" s="108">
        <f t="shared" si="318"/>
        <v>54826</v>
      </c>
      <c r="AB96" s="108">
        <f t="shared" si="318"/>
        <v>43909</v>
      </c>
      <c r="AC96" s="131">
        <f t="shared" si="318"/>
        <v>18</v>
      </c>
      <c r="AD96" s="131">
        <f t="shared" si="318"/>
        <v>18</v>
      </c>
      <c r="AE96" s="131">
        <f t="shared" si="318"/>
        <v>2</v>
      </c>
      <c r="AF96" s="26">
        <f t="shared" si="318"/>
        <v>8851830</v>
      </c>
      <c r="AG96" s="26">
        <f t="shared" si="318"/>
        <v>7301451</v>
      </c>
      <c r="AH96" s="26">
        <f t="shared" si="318"/>
        <v>1530917</v>
      </c>
      <c r="AI96" s="26">
        <f t="shared" si="318"/>
        <v>3435856</v>
      </c>
      <c r="AJ96" s="26">
        <f t="shared" si="318"/>
        <v>10589700</v>
      </c>
      <c r="AK96" s="36">
        <f t="shared" si="318"/>
        <v>16</v>
      </c>
      <c r="AL96" s="26">
        <f t="shared" si="318"/>
        <v>1640785.71</v>
      </c>
      <c r="AM96" s="36">
        <f t="shared" si="318"/>
        <v>18</v>
      </c>
      <c r="AN96" s="26">
        <f t="shared" si="318"/>
        <v>782826</v>
      </c>
      <c r="AO96" s="36">
        <f t="shared" si="318"/>
        <v>16</v>
      </c>
      <c r="AP96" s="26">
        <f t="shared" si="318"/>
        <v>420473</v>
      </c>
      <c r="AQ96" s="36">
        <f t="shared" si="318"/>
        <v>18</v>
      </c>
      <c r="AR96" s="26">
        <f t="shared" si="318"/>
        <v>1565932</v>
      </c>
      <c r="AS96" s="36">
        <f t="shared" si="318"/>
        <v>30.5</v>
      </c>
      <c r="AT96" s="26">
        <f t="shared" si="318"/>
        <v>312992.81</v>
      </c>
      <c r="AU96" s="36">
        <f t="shared" si="318"/>
        <v>35</v>
      </c>
      <c r="AV96" s="26">
        <f t="shared" si="318"/>
        <v>392024</v>
      </c>
      <c r="AW96" s="36">
        <f t="shared" si="318"/>
        <v>27.5</v>
      </c>
      <c r="AX96" s="26">
        <f t="shared" si="318"/>
        <v>223733.33</v>
      </c>
      <c r="AY96" s="36">
        <f t="shared" si="318"/>
        <v>35</v>
      </c>
      <c r="AZ96" s="54">
        <f t="shared" si="318"/>
        <v>41885216</v>
      </c>
      <c r="BA96" s="54">
        <f>MAX(BA3:BA92)</f>
        <v>14211513</v>
      </c>
      <c r="BB96" s="54">
        <f t="shared" si="318"/>
        <v>2054606</v>
      </c>
      <c r="BC96" s="54">
        <f t="shared" si="318"/>
        <v>5119953</v>
      </c>
      <c r="BD96" s="54">
        <f t="shared" si="318"/>
        <v>19406160</v>
      </c>
      <c r="BE96" s="54">
        <f t="shared" si="318"/>
        <v>61196689</v>
      </c>
      <c r="BF96" s="54">
        <f t="shared" si="318"/>
        <v>7695176</v>
      </c>
      <c r="BG96" s="54">
        <f t="shared" si="318"/>
        <v>1678180</v>
      </c>
      <c r="BH96" s="54">
        <f t="shared" si="318"/>
        <v>2162509</v>
      </c>
      <c r="BI96" s="54">
        <f t="shared" si="318"/>
        <v>8376290</v>
      </c>
      <c r="BJ96" s="54">
        <f t="shared" si="318"/>
        <v>17698300</v>
      </c>
      <c r="BK96" s="54">
        <f t="shared" si="318"/>
        <v>17698300</v>
      </c>
      <c r="BL96" s="54">
        <f t="shared" si="318"/>
        <v>3310659</v>
      </c>
      <c r="BM96" s="54">
        <f t="shared" si="318"/>
        <v>799612</v>
      </c>
      <c r="BN96" s="54">
        <f t="shared" si="318"/>
        <v>139544</v>
      </c>
      <c r="BO96" s="54">
        <f t="shared" si="318"/>
        <v>283619</v>
      </c>
      <c r="BP96" s="54">
        <f t="shared" si="318"/>
        <v>200000</v>
      </c>
      <c r="BQ96" s="54">
        <f t="shared" si="318"/>
        <v>3853330</v>
      </c>
      <c r="BR96" s="54">
        <f t="shared" si="318"/>
        <v>37130529</v>
      </c>
      <c r="BS96" s="54">
        <f t="shared" si="318"/>
        <v>20208644</v>
      </c>
      <c r="BT96" s="54">
        <f t="shared" ref="BT96:EE96" si="319">MAX(BT3:BT92)</f>
        <v>1101257</v>
      </c>
      <c r="BU96" s="54">
        <f t="shared" si="319"/>
        <v>7747915</v>
      </c>
      <c r="BV96" s="54">
        <f t="shared" si="319"/>
        <v>30967336</v>
      </c>
      <c r="BW96" s="54">
        <f t="shared" si="319"/>
        <v>41995792</v>
      </c>
      <c r="BX96" s="54">
        <f t="shared" si="319"/>
        <v>3310659</v>
      </c>
      <c r="BY96" s="54">
        <f t="shared" si="319"/>
        <v>650000</v>
      </c>
      <c r="BZ96" s="54">
        <f t="shared" si="319"/>
        <v>400000</v>
      </c>
      <c r="CA96" s="54">
        <f t="shared" si="319"/>
        <v>325000</v>
      </c>
      <c r="CB96" s="54">
        <f t="shared" si="319"/>
        <v>146281</v>
      </c>
      <c r="CC96" s="54">
        <f t="shared" si="319"/>
        <v>3585078</v>
      </c>
      <c r="CD96" s="54">
        <f t="shared" si="319"/>
        <v>3310659</v>
      </c>
      <c r="CE96" s="54">
        <f t="shared" si="319"/>
        <v>274419</v>
      </c>
      <c r="CF96" s="54">
        <f t="shared" si="319"/>
        <v>265871</v>
      </c>
      <c r="CG96" s="54">
        <f t="shared" si="319"/>
        <v>1132174</v>
      </c>
      <c r="CH96" s="54">
        <f t="shared" si="319"/>
        <v>7810186</v>
      </c>
      <c r="CI96" s="54">
        <f t="shared" si="319"/>
        <v>7810186</v>
      </c>
      <c r="CJ96" s="54">
        <f t="shared" si="319"/>
        <v>3279075</v>
      </c>
      <c r="CK96" s="54">
        <f t="shared" si="319"/>
        <v>1185139</v>
      </c>
      <c r="CL96" s="54">
        <f t="shared" si="319"/>
        <v>1478070</v>
      </c>
      <c r="CM96" s="54">
        <f t="shared" si="319"/>
        <v>6683773</v>
      </c>
      <c r="CN96" s="54">
        <f t="shared" si="319"/>
        <v>16467759</v>
      </c>
      <c r="CO96" s="54">
        <f t="shared" si="319"/>
        <v>19429948</v>
      </c>
      <c r="CP96" s="54">
        <f t="shared" si="319"/>
        <v>1346130</v>
      </c>
      <c r="CQ96" s="54">
        <f t="shared" si="319"/>
        <v>431430</v>
      </c>
      <c r="CR96" s="54">
        <f t="shared" si="319"/>
        <v>327574</v>
      </c>
      <c r="CS96" s="54">
        <f t="shared" si="319"/>
        <v>1436399</v>
      </c>
      <c r="CT96" s="54">
        <f t="shared" si="319"/>
        <v>9205617</v>
      </c>
      <c r="CU96" s="54">
        <f t="shared" si="319"/>
        <v>9205617</v>
      </c>
      <c r="CV96" s="54">
        <f t="shared" si="319"/>
        <v>15895533</v>
      </c>
      <c r="CW96" s="54">
        <f t="shared" si="319"/>
        <v>9079818</v>
      </c>
      <c r="CX96" s="54">
        <f t="shared" si="319"/>
        <v>907288</v>
      </c>
      <c r="CY96" s="54">
        <f t="shared" si="319"/>
        <v>1307784</v>
      </c>
      <c r="CZ96" s="54">
        <f t="shared" si="319"/>
        <v>17003009</v>
      </c>
      <c r="DA96" s="54">
        <f t="shared" si="319"/>
        <v>26725958</v>
      </c>
      <c r="DB96" s="54">
        <f t="shared" si="319"/>
        <v>9883909</v>
      </c>
      <c r="DC96" s="54">
        <f t="shared" si="319"/>
        <v>5361499</v>
      </c>
      <c r="DD96" s="54">
        <f t="shared" si="319"/>
        <v>1301271</v>
      </c>
      <c r="DE96" s="54">
        <f t="shared" si="319"/>
        <v>1307784</v>
      </c>
      <c r="DF96" s="54">
        <f t="shared" si="319"/>
        <v>7984000</v>
      </c>
      <c r="DG96" s="54">
        <f t="shared" si="319"/>
        <v>16137930</v>
      </c>
      <c r="DH96" s="54">
        <f t="shared" si="319"/>
        <v>3860762</v>
      </c>
      <c r="DI96" s="54">
        <f t="shared" si="319"/>
        <v>981216</v>
      </c>
      <c r="DJ96" s="54">
        <f t="shared" si="319"/>
        <v>181104</v>
      </c>
      <c r="DK96" s="54">
        <f t="shared" si="319"/>
        <v>765736</v>
      </c>
      <c r="DL96" s="54">
        <f t="shared" si="319"/>
        <v>6582307</v>
      </c>
      <c r="DM96" s="54">
        <f t="shared" si="319"/>
        <v>9971467</v>
      </c>
      <c r="DN96" s="54">
        <f t="shared" si="319"/>
        <v>17243313</v>
      </c>
      <c r="DO96" s="54">
        <f t="shared" si="319"/>
        <v>3253783</v>
      </c>
      <c r="DP96" s="54">
        <f t="shared" si="319"/>
        <v>382545</v>
      </c>
      <c r="DQ96" s="54">
        <f t="shared" si="319"/>
        <v>6106697</v>
      </c>
      <c r="DR96" s="54">
        <f t="shared" si="319"/>
        <v>19077794</v>
      </c>
      <c r="DS96" s="54">
        <f t="shared" si="319"/>
        <v>22840191</v>
      </c>
      <c r="DT96" s="54">
        <f t="shared" si="319"/>
        <v>577479</v>
      </c>
      <c r="DU96" s="54">
        <f t="shared" si="319"/>
        <v>553854</v>
      </c>
      <c r="DV96" s="54">
        <f t="shared" si="319"/>
        <v>397464</v>
      </c>
      <c r="DW96" s="54">
        <f t="shared" si="319"/>
        <v>3531042</v>
      </c>
      <c r="DX96" s="54">
        <f t="shared" si="319"/>
        <v>1048578</v>
      </c>
      <c r="DY96" s="54">
        <f t="shared" si="319"/>
        <v>5221011</v>
      </c>
      <c r="DZ96" s="54">
        <f t="shared" si="319"/>
        <v>1756982</v>
      </c>
      <c r="EA96" s="54">
        <f t="shared" si="319"/>
        <v>393121</v>
      </c>
      <c r="EB96" s="54">
        <f t="shared" si="319"/>
        <v>290485</v>
      </c>
      <c r="EC96" s="54">
        <f t="shared" si="319"/>
        <v>1954223</v>
      </c>
      <c r="ED96" s="54">
        <f t="shared" si="319"/>
        <v>9125784</v>
      </c>
      <c r="EE96" s="54">
        <f t="shared" si="319"/>
        <v>9125784</v>
      </c>
      <c r="EF96" s="54">
        <f t="shared" ref="EF96:GQ96" si="320">MAX(EF3:EF92)</f>
        <v>7965792</v>
      </c>
      <c r="EG96" s="54">
        <f t="shared" si="320"/>
        <v>2272730</v>
      </c>
      <c r="EH96" s="54">
        <f t="shared" si="320"/>
        <v>210846</v>
      </c>
      <c r="EI96" s="54">
        <f t="shared" si="320"/>
        <v>509230</v>
      </c>
      <c r="EJ96" s="54">
        <f t="shared" si="320"/>
        <v>11553592</v>
      </c>
      <c r="EK96" s="54">
        <f t="shared" si="320"/>
        <v>11553592</v>
      </c>
      <c r="EL96" s="54">
        <f t="shared" ref="EL96:EQ96" si="321">MAX(EL3:EL92)</f>
        <v>95749688</v>
      </c>
      <c r="EM96" s="54">
        <f t="shared" si="321"/>
        <v>40887939</v>
      </c>
      <c r="EN96" s="54">
        <f t="shared" si="321"/>
        <v>4881110</v>
      </c>
      <c r="EO96" s="54">
        <f t="shared" si="321"/>
        <v>11749826</v>
      </c>
      <c r="EP96" s="54">
        <f t="shared" si="321"/>
        <v>51473526</v>
      </c>
      <c r="EQ96" s="54">
        <f t="shared" si="321"/>
        <v>150295926</v>
      </c>
      <c r="ER96" s="54">
        <f t="shared" si="320"/>
        <v>4386861</v>
      </c>
      <c r="ES96" s="54">
        <f t="shared" si="320"/>
        <v>605728</v>
      </c>
      <c r="ET96" s="54">
        <f t="shared" si="320"/>
        <v>698086</v>
      </c>
      <c r="EU96" s="54">
        <f t="shared" si="320"/>
        <v>10779226</v>
      </c>
      <c r="EV96" s="54">
        <f t="shared" si="320"/>
        <v>3943949</v>
      </c>
      <c r="EW96" s="54">
        <f t="shared" si="320"/>
        <v>16323215</v>
      </c>
      <c r="EX96" s="54">
        <f t="shared" si="320"/>
        <v>7223041</v>
      </c>
      <c r="EY96" s="54">
        <f t="shared" si="320"/>
        <v>1312753</v>
      </c>
      <c r="EZ96" s="54">
        <f t="shared" si="320"/>
        <v>440858</v>
      </c>
      <c r="FA96" s="54">
        <f t="shared" si="320"/>
        <v>6013871</v>
      </c>
      <c r="FB96" s="54">
        <f t="shared" si="320"/>
        <v>1903653</v>
      </c>
      <c r="FC96" s="54">
        <f t="shared" si="320"/>
        <v>9638465</v>
      </c>
      <c r="FD96" s="54">
        <f t="shared" si="320"/>
        <v>11362515</v>
      </c>
      <c r="FE96" s="54">
        <f t="shared" si="320"/>
        <v>6116585</v>
      </c>
      <c r="FF96" s="54">
        <f t="shared" si="320"/>
        <v>2409676</v>
      </c>
      <c r="FG96" s="54">
        <f t="shared" si="320"/>
        <v>6781468</v>
      </c>
      <c r="FH96" s="54">
        <f t="shared" si="320"/>
        <v>719705</v>
      </c>
      <c r="FI96" s="54">
        <f t="shared" si="320"/>
        <v>22230725</v>
      </c>
      <c r="FJ96" s="54">
        <f t="shared" si="320"/>
        <v>5451822</v>
      </c>
      <c r="FK96" s="54">
        <f t="shared" si="320"/>
        <v>1273927</v>
      </c>
      <c r="FL96" s="54">
        <f t="shared" si="320"/>
        <v>1662832</v>
      </c>
      <c r="FM96" s="54">
        <f t="shared" si="320"/>
        <v>2554251</v>
      </c>
      <c r="FN96" s="54">
        <f t="shared" si="320"/>
        <v>978</v>
      </c>
      <c r="FO96" s="54">
        <f t="shared" si="320"/>
        <v>10942832</v>
      </c>
      <c r="FP96" s="54">
        <f t="shared" si="320"/>
        <v>2239364</v>
      </c>
      <c r="FQ96" s="54">
        <f t="shared" si="320"/>
        <v>979906</v>
      </c>
      <c r="FR96" s="54">
        <f t="shared" si="320"/>
        <v>575345</v>
      </c>
      <c r="FS96" s="54">
        <f t="shared" si="320"/>
        <v>8489668</v>
      </c>
      <c r="FT96" s="54">
        <f t="shared" si="320"/>
        <v>23337392</v>
      </c>
      <c r="FU96" s="54">
        <f t="shared" si="320"/>
        <v>27681115</v>
      </c>
      <c r="FV96" s="54">
        <f t="shared" si="320"/>
        <v>43785</v>
      </c>
      <c r="FW96" s="54">
        <f t="shared" si="320"/>
        <v>2500</v>
      </c>
      <c r="FX96" s="54">
        <f t="shared" si="320"/>
        <v>1200</v>
      </c>
      <c r="FY96" s="54">
        <f t="shared" si="320"/>
        <v>3700</v>
      </c>
      <c r="FZ96" s="54">
        <f t="shared" si="320"/>
        <v>146281</v>
      </c>
      <c r="GA96" s="54">
        <f t="shared" si="320"/>
        <v>163231</v>
      </c>
      <c r="GB96" s="54">
        <f t="shared" si="320"/>
        <v>3144610</v>
      </c>
      <c r="GC96" s="54">
        <f t="shared" si="320"/>
        <v>2049003</v>
      </c>
      <c r="GD96" s="54">
        <f t="shared" si="320"/>
        <v>1139939</v>
      </c>
      <c r="GE96" s="54">
        <f t="shared" si="320"/>
        <v>548010</v>
      </c>
      <c r="GF96" s="54">
        <f t="shared" si="320"/>
        <v>2788219</v>
      </c>
      <c r="GG96" s="54">
        <f t="shared" si="320"/>
        <v>3735335</v>
      </c>
      <c r="GH96" s="54">
        <f t="shared" si="320"/>
        <v>980882</v>
      </c>
      <c r="GI96" s="54">
        <f t="shared" si="320"/>
        <v>453659</v>
      </c>
      <c r="GJ96" s="54">
        <f t="shared" si="320"/>
        <v>180432</v>
      </c>
      <c r="GK96" s="54">
        <f t="shared" si="320"/>
        <v>717175</v>
      </c>
      <c r="GL96" s="54">
        <f t="shared" si="320"/>
        <v>194557</v>
      </c>
      <c r="GM96" s="54">
        <f t="shared" si="320"/>
        <v>2132892</v>
      </c>
      <c r="GN96" s="54">
        <f t="shared" si="320"/>
        <v>3257936</v>
      </c>
      <c r="GO96" s="54">
        <f t="shared" si="320"/>
        <v>1448837</v>
      </c>
      <c r="GP96" s="54">
        <f t="shared" si="320"/>
        <v>957953</v>
      </c>
      <c r="GQ96" s="54">
        <f t="shared" si="320"/>
        <v>3913133</v>
      </c>
      <c r="GR96" s="54">
        <f t="shared" ref="GR96:JC96" si="322">MAX(GR3:GR92)</f>
        <v>747588</v>
      </c>
      <c r="GS96" s="54">
        <f t="shared" si="322"/>
        <v>8565162</v>
      </c>
      <c r="GT96" s="54">
        <f t="shared" si="322"/>
        <v>1224899</v>
      </c>
      <c r="GU96" s="54">
        <f t="shared" si="322"/>
        <v>428547</v>
      </c>
      <c r="GV96" s="54">
        <f t="shared" si="322"/>
        <v>179149</v>
      </c>
      <c r="GW96" s="54">
        <f t="shared" si="322"/>
        <v>1680203</v>
      </c>
      <c r="GX96" s="54">
        <f t="shared" si="322"/>
        <v>1500000</v>
      </c>
      <c r="GY96" s="54">
        <f t="shared" si="322"/>
        <v>4001391</v>
      </c>
      <c r="GZ96" s="54">
        <f t="shared" si="322"/>
        <v>4696353</v>
      </c>
      <c r="HA96" s="54">
        <f t="shared" si="322"/>
        <v>1146284</v>
      </c>
      <c r="HB96" s="54">
        <f t="shared" si="322"/>
        <v>1038388</v>
      </c>
      <c r="HC96" s="54">
        <f t="shared" si="322"/>
        <v>2430137</v>
      </c>
      <c r="HD96" s="54">
        <f t="shared" si="322"/>
        <v>14885212</v>
      </c>
      <c r="HE96" s="54">
        <f t="shared" si="322"/>
        <v>23611532</v>
      </c>
      <c r="HF96" s="54">
        <f t="shared" si="322"/>
        <v>4094785</v>
      </c>
      <c r="HG96" s="54">
        <f t="shared" si="322"/>
        <v>801555</v>
      </c>
      <c r="HH96" s="54">
        <f t="shared" si="322"/>
        <v>252268</v>
      </c>
      <c r="HI96" s="54">
        <f t="shared" si="322"/>
        <v>1391017</v>
      </c>
      <c r="HJ96" s="54">
        <f t="shared" si="322"/>
        <v>6041667</v>
      </c>
      <c r="HK96" s="54">
        <f t="shared" si="322"/>
        <v>6336345</v>
      </c>
      <c r="HL96" s="54">
        <f t="shared" si="322"/>
        <v>638239</v>
      </c>
      <c r="HM96" s="54">
        <f t="shared" si="322"/>
        <v>409452</v>
      </c>
      <c r="HN96" s="54">
        <f t="shared" si="322"/>
        <v>200964</v>
      </c>
      <c r="HO96" s="54">
        <f t="shared" si="322"/>
        <v>2080240</v>
      </c>
      <c r="HP96" s="54">
        <f t="shared" si="322"/>
        <v>2631143</v>
      </c>
      <c r="HQ96" s="54">
        <f t="shared" si="322"/>
        <v>3867320</v>
      </c>
      <c r="HR96" s="54">
        <f t="shared" si="322"/>
        <v>16423698</v>
      </c>
      <c r="HS96" s="54">
        <f t="shared" si="322"/>
        <v>3874104</v>
      </c>
      <c r="HT96" s="54">
        <f t="shared" si="322"/>
        <v>1798938</v>
      </c>
      <c r="HU96" s="54">
        <f t="shared" si="322"/>
        <v>5075817</v>
      </c>
      <c r="HV96" s="54">
        <f t="shared" si="322"/>
        <v>24944126</v>
      </c>
      <c r="HW96" s="54">
        <f t="shared" si="322"/>
        <v>27258434</v>
      </c>
      <c r="HX96" s="54">
        <f t="shared" si="322"/>
        <v>725400</v>
      </c>
      <c r="HY96" s="54">
        <f t="shared" si="322"/>
        <v>130638</v>
      </c>
      <c r="HZ96" s="54">
        <f t="shared" si="322"/>
        <v>89463</v>
      </c>
      <c r="IA96" s="54">
        <f t="shared" si="322"/>
        <v>172331</v>
      </c>
      <c r="IB96" s="54">
        <f t="shared" si="322"/>
        <v>1037704</v>
      </c>
      <c r="IC96" s="54">
        <f t="shared" si="322"/>
        <v>1037704</v>
      </c>
      <c r="ID96" s="54">
        <f t="shared" si="322"/>
        <v>1346129</v>
      </c>
      <c r="IE96" s="54">
        <f t="shared" si="322"/>
        <v>431430</v>
      </c>
      <c r="IF96" s="54">
        <f t="shared" si="322"/>
        <v>327574</v>
      </c>
      <c r="IG96" s="54">
        <f t="shared" si="322"/>
        <v>1436400</v>
      </c>
      <c r="IH96" s="54">
        <f t="shared" si="322"/>
        <v>9205617</v>
      </c>
      <c r="II96" s="54">
        <f t="shared" si="322"/>
        <v>9205617</v>
      </c>
      <c r="IJ96" s="54">
        <f t="shared" si="322"/>
        <v>920211</v>
      </c>
      <c r="IK96" s="54">
        <f t="shared" si="322"/>
        <v>94601</v>
      </c>
      <c r="IL96" s="54">
        <f t="shared" si="322"/>
        <v>83860</v>
      </c>
      <c r="IM96" s="54">
        <f t="shared" si="322"/>
        <v>1701094</v>
      </c>
      <c r="IN96" s="54">
        <f t="shared" si="322"/>
        <v>5076260</v>
      </c>
      <c r="IO96" s="54">
        <f t="shared" si="322"/>
        <v>5076260</v>
      </c>
      <c r="IP96" s="54">
        <f t="shared" si="322"/>
        <v>219298</v>
      </c>
      <c r="IQ96" s="54">
        <f t="shared" si="322"/>
        <v>34841</v>
      </c>
      <c r="IR96" s="54">
        <f t="shared" si="322"/>
        <v>32792</v>
      </c>
      <c r="IS96" s="54">
        <f t="shared" si="322"/>
        <v>1701094</v>
      </c>
      <c r="IT96" s="54">
        <f t="shared" si="322"/>
        <v>2400680</v>
      </c>
      <c r="IU96" s="54">
        <f t="shared" si="322"/>
        <v>2400680</v>
      </c>
      <c r="IV96" s="54">
        <f t="shared" si="322"/>
        <v>3876643</v>
      </c>
      <c r="IW96" s="54">
        <f t="shared" si="322"/>
        <v>1101466</v>
      </c>
      <c r="IX96" s="54">
        <f t="shared" si="322"/>
        <v>351801</v>
      </c>
      <c r="IY96" s="54">
        <f t="shared" si="322"/>
        <v>3143479</v>
      </c>
      <c r="IZ96" s="54">
        <f t="shared" si="322"/>
        <v>21868915</v>
      </c>
      <c r="JA96" s="54">
        <f t="shared" si="322"/>
        <v>21868915</v>
      </c>
      <c r="JB96" s="54">
        <f t="shared" si="322"/>
        <v>39217983</v>
      </c>
      <c r="JC96" s="54">
        <f t="shared" si="322"/>
        <v>13336649</v>
      </c>
      <c r="JD96" s="54">
        <f t="shared" ref="JD96:JS96" si="323">MAX(JD3:JD92)</f>
        <v>5244403</v>
      </c>
      <c r="JE96" s="54">
        <f t="shared" si="323"/>
        <v>78924683</v>
      </c>
      <c r="JF96" s="54">
        <f t="shared" si="323"/>
        <v>73643797</v>
      </c>
      <c r="JG96" s="54">
        <f t="shared" si="323"/>
        <v>141428397</v>
      </c>
      <c r="JH96" s="54">
        <f t="shared" si="323"/>
        <v>1383165</v>
      </c>
      <c r="JI96" s="54">
        <f t="shared" si="323"/>
        <v>397185</v>
      </c>
      <c r="JJ96" s="54">
        <f t="shared" si="323"/>
        <v>24429</v>
      </c>
      <c r="JK96" s="54">
        <f t="shared" si="323"/>
        <v>129472</v>
      </c>
      <c r="JL96" s="54">
        <f t="shared" si="323"/>
        <v>9103195</v>
      </c>
      <c r="JM96" s="54">
        <f t="shared" si="323"/>
        <v>9103195</v>
      </c>
      <c r="JN96" s="54">
        <f t="shared" si="323"/>
        <v>39217983</v>
      </c>
      <c r="JO96" s="54">
        <f t="shared" si="323"/>
        <v>13336649</v>
      </c>
      <c r="JP96" s="54">
        <f t="shared" si="323"/>
        <v>5244403</v>
      </c>
      <c r="JQ96" s="54">
        <f t="shared" si="323"/>
        <v>30548451</v>
      </c>
      <c r="JR96" s="54">
        <f t="shared" si="323"/>
        <v>82670160</v>
      </c>
      <c r="JS96" s="54">
        <f t="shared" si="323"/>
        <v>142713178</v>
      </c>
    </row>
    <row r="97" spans="1:279" x14ac:dyDescent="0.15">
      <c r="A97" s="18" t="s">
        <v>470</v>
      </c>
      <c r="B97" s="4"/>
      <c r="C97" s="106"/>
      <c r="D97" s="106"/>
      <c r="E97" s="106"/>
      <c r="F97" s="106"/>
      <c r="G97" s="107">
        <f>AVERAGE(G3:G92)</f>
        <v>10022.19540229885</v>
      </c>
      <c r="H97" s="107">
        <f t="shared" ref="H97:BS97" si="324">AVERAGE(H3:H92)</f>
        <v>10469</v>
      </c>
      <c r="I97" s="108">
        <f t="shared" si="324"/>
        <v>1087993347.0344827</v>
      </c>
      <c r="J97" s="108">
        <f t="shared" si="324"/>
        <v>590322649.66666663</v>
      </c>
      <c r="K97" s="108">
        <f>AVERAGE(K3:K92)</f>
        <v>5946159.5057471264</v>
      </c>
      <c r="L97" s="108" t="e">
        <f t="shared" si="324"/>
        <v>#DIV/0!</v>
      </c>
      <c r="M97" s="108">
        <f t="shared" si="324"/>
        <v>49415398.586206898</v>
      </c>
      <c r="N97" s="108" t="e">
        <f t="shared" si="324"/>
        <v>#DIV/0!</v>
      </c>
      <c r="O97" s="108">
        <f t="shared" si="324"/>
        <v>59146790.264367819</v>
      </c>
      <c r="P97" s="108" t="e">
        <f t="shared" si="324"/>
        <v>#DIV/0!</v>
      </c>
      <c r="Q97" s="108">
        <f t="shared" si="324"/>
        <v>477789672.74712646</v>
      </c>
      <c r="R97" s="108" t="e">
        <f t="shared" si="324"/>
        <v>#DIV/0!</v>
      </c>
      <c r="S97" s="108">
        <f t="shared" si="324"/>
        <v>979290723.01190472</v>
      </c>
      <c r="T97" s="108">
        <f t="shared" si="324"/>
        <v>424776113.66666669</v>
      </c>
      <c r="U97" s="108">
        <f t="shared" si="324"/>
        <v>17561.045454545456</v>
      </c>
      <c r="V97" s="108">
        <f t="shared" si="324"/>
        <v>17409.666666666668</v>
      </c>
      <c r="W97" s="108">
        <f t="shared" si="324"/>
        <v>30181.284090909092</v>
      </c>
      <c r="X97" s="108">
        <f t="shared" si="324"/>
        <v>28124</v>
      </c>
      <c r="Y97" s="108">
        <f t="shared" si="324"/>
        <v>21477.44318181818</v>
      </c>
      <c r="Z97" s="108">
        <f t="shared" si="324"/>
        <v>22245</v>
      </c>
      <c r="AA97" s="108">
        <f t="shared" si="324"/>
        <v>33949.26136363636</v>
      </c>
      <c r="AB97" s="108">
        <f t="shared" si="324"/>
        <v>33202.666666666664</v>
      </c>
      <c r="AC97" s="131">
        <f t="shared" si="324"/>
        <v>8.5888888888888886</v>
      </c>
      <c r="AD97" s="131">
        <f t="shared" si="324"/>
        <v>10.666666666666666</v>
      </c>
      <c r="AE97" s="131">
        <f t="shared" si="324"/>
        <v>0.10227272727272728</v>
      </c>
      <c r="AF97" s="26">
        <f t="shared" si="324"/>
        <v>3971172.9435227271</v>
      </c>
      <c r="AG97" s="26">
        <f t="shared" si="324"/>
        <v>3050945.8352272729</v>
      </c>
      <c r="AH97" s="26">
        <f t="shared" si="324"/>
        <v>537462.77295454545</v>
      </c>
      <c r="AI97" s="26">
        <f t="shared" si="324"/>
        <v>271272.23303370783</v>
      </c>
      <c r="AJ97" s="26">
        <f t="shared" si="324"/>
        <v>668988.10058404552</v>
      </c>
      <c r="AK97" s="36">
        <f t="shared" si="324"/>
        <v>6.533604651162789</v>
      </c>
      <c r="AL97" s="26">
        <f t="shared" si="324"/>
        <v>508627.7200245157</v>
      </c>
      <c r="AM97" s="36">
        <f t="shared" si="324"/>
        <v>7.1931818181818183</v>
      </c>
      <c r="AN97" s="26">
        <f t="shared" si="324"/>
        <v>168353.33200724036</v>
      </c>
      <c r="AO97" s="36">
        <f t="shared" si="324"/>
        <v>8.2666666666666675</v>
      </c>
      <c r="AP97" s="26">
        <f t="shared" si="324"/>
        <v>148112.92897352969</v>
      </c>
      <c r="AQ97" s="36">
        <f t="shared" si="324"/>
        <v>9.1164772727272734</v>
      </c>
      <c r="AR97" s="26">
        <f t="shared" si="324"/>
        <v>175327.39198126615</v>
      </c>
      <c r="AS97" s="36">
        <f t="shared" si="324"/>
        <v>19.413522727272728</v>
      </c>
      <c r="AT97" s="26">
        <f t="shared" si="324"/>
        <v>139108.03812600917</v>
      </c>
      <c r="AU97" s="36">
        <f t="shared" si="324"/>
        <v>22.730113636363637</v>
      </c>
      <c r="AV97" s="26">
        <f t="shared" si="324"/>
        <v>77177.010069971104</v>
      </c>
      <c r="AW97" s="36">
        <f t="shared" si="324"/>
        <v>14.965632183908044</v>
      </c>
      <c r="AX97" s="26">
        <f t="shared" si="324"/>
        <v>63142.338492431489</v>
      </c>
      <c r="AY97" s="36">
        <f t="shared" si="324"/>
        <v>18.03409090909091</v>
      </c>
      <c r="AZ97" s="54">
        <f t="shared" si="324"/>
        <v>9400336.222222222</v>
      </c>
      <c r="BA97" s="54">
        <f>AVERAGE(BA3:BA92)</f>
        <v>2409927</v>
      </c>
      <c r="BB97" s="54">
        <f t="shared" si="324"/>
        <v>156418.79999999999</v>
      </c>
      <c r="BC97" s="54">
        <f t="shared" si="324"/>
        <v>492606.43333333335</v>
      </c>
      <c r="BD97" s="54">
        <f t="shared" si="324"/>
        <v>389078.85555555555</v>
      </c>
      <c r="BE97" s="54">
        <f t="shared" si="324"/>
        <v>12848367.311111111</v>
      </c>
      <c r="BF97" s="54">
        <f t="shared" si="324"/>
        <v>442267.45555555553</v>
      </c>
      <c r="BG97" s="54">
        <f t="shared" si="324"/>
        <v>118949.14444444445</v>
      </c>
      <c r="BH97" s="54">
        <f t="shared" si="324"/>
        <v>128615.75555555556</v>
      </c>
      <c r="BI97" s="54">
        <f t="shared" si="324"/>
        <v>650432.47777777782</v>
      </c>
      <c r="BJ97" s="54">
        <f t="shared" si="324"/>
        <v>2568597.4932222222</v>
      </c>
      <c r="BK97" s="54">
        <f t="shared" si="324"/>
        <v>3908862.3265555552</v>
      </c>
      <c r="BL97" s="54">
        <f t="shared" si="324"/>
        <v>941469.77777777775</v>
      </c>
      <c r="BM97" s="54">
        <f t="shared" si="324"/>
        <v>98731.888888888891</v>
      </c>
      <c r="BN97" s="54">
        <f t="shared" si="324"/>
        <v>6622.5222222222219</v>
      </c>
      <c r="BO97" s="54">
        <f t="shared" si="324"/>
        <v>21926.222222222223</v>
      </c>
      <c r="BP97" s="54">
        <f t="shared" si="324"/>
        <v>3273.7</v>
      </c>
      <c r="BQ97" s="54">
        <f t="shared" si="324"/>
        <v>1072024.111111111</v>
      </c>
      <c r="BR97" s="54">
        <f t="shared" si="324"/>
        <v>4649094.6790000005</v>
      </c>
      <c r="BS97" s="54">
        <f t="shared" si="324"/>
        <v>899208.8666666667</v>
      </c>
      <c r="BT97" s="54">
        <f t="shared" ref="BT97:EE97" si="325">AVERAGE(BT3:BT92)</f>
        <v>148646.54808988766</v>
      </c>
      <c r="BU97" s="54">
        <f t="shared" si="325"/>
        <v>983652.64744444459</v>
      </c>
      <c r="BV97" s="54">
        <f t="shared" si="325"/>
        <v>4580250.6631111111</v>
      </c>
      <c r="BW97" s="54">
        <f t="shared" si="325"/>
        <v>11259201.787111111</v>
      </c>
      <c r="BX97" s="54">
        <f t="shared" si="325"/>
        <v>88369.655555555553</v>
      </c>
      <c r="BY97" s="54">
        <f t="shared" si="325"/>
        <v>29287.62222222222</v>
      </c>
      <c r="BZ97" s="54">
        <f t="shared" si="325"/>
        <v>7505.8111111111111</v>
      </c>
      <c r="CA97" s="54">
        <f t="shared" si="325"/>
        <v>20588.844444444443</v>
      </c>
      <c r="CB97" s="54">
        <f t="shared" si="325"/>
        <v>7319.2111111111108</v>
      </c>
      <c r="CC97" s="54">
        <f t="shared" si="325"/>
        <v>153071.14444444445</v>
      </c>
      <c r="CD97" s="54">
        <f t="shared" si="325"/>
        <v>50965.811111111114</v>
      </c>
      <c r="CE97" s="54">
        <f t="shared" si="325"/>
        <v>5871.7333333333336</v>
      </c>
      <c r="CF97" s="54">
        <f t="shared" si="325"/>
        <v>4838.3444444444449</v>
      </c>
      <c r="CG97" s="54">
        <f t="shared" si="325"/>
        <v>28885.685393258427</v>
      </c>
      <c r="CH97" s="54">
        <f t="shared" si="325"/>
        <v>287310</v>
      </c>
      <c r="CI97" s="54">
        <f t="shared" si="325"/>
        <v>377550.62222222221</v>
      </c>
      <c r="CJ97" s="54">
        <f t="shared" si="325"/>
        <v>432215.17788888892</v>
      </c>
      <c r="CK97" s="54">
        <f t="shared" si="325"/>
        <v>113517.2761111111</v>
      </c>
      <c r="CL97" s="54">
        <f t="shared" si="325"/>
        <v>156861.98777777777</v>
      </c>
      <c r="CM97" s="54">
        <f t="shared" si="325"/>
        <v>978936.25411111116</v>
      </c>
      <c r="CN97" s="54">
        <f t="shared" si="325"/>
        <v>2513068.080222222</v>
      </c>
      <c r="CO97" s="54">
        <f t="shared" si="325"/>
        <v>4194598.7650000006</v>
      </c>
      <c r="CP97" s="54">
        <f t="shared" si="325"/>
        <v>59961.711111111108</v>
      </c>
      <c r="CQ97" s="54">
        <f t="shared" si="325"/>
        <v>16404.211111111112</v>
      </c>
      <c r="CR97" s="54">
        <f t="shared" si="325"/>
        <v>13338.855555555556</v>
      </c>
      <c r="CS97" s="54">
        <f t="shared" si="325"/>
        <v>57709.244444444441</v>
      </c>
      <c r="CT97" s="54">
        <f t="shared" si="325"/>
        <v>1006858.3787777778</v>
      </c>
      <c r="CU97" s="54">
        <f t="shared" si="325"/>
        <v>1154272.4010000001</v>
      </c>
      <c r="CV97" s="54">
        <f t="shared" si="325"/>
        <v>5176682.4555555554</v>
      </c>
      <c r="CW97" s="54">
        <f t="shared" si="325"/>
        <v>2470738.2333333334</v>
      </c>
      <c r="CX97" s="54">
        <f t="shared" si="325"/>
        <v>38749.488888888889</v>
      </c>
      <c r="CY97" s="54">
        <f t="shared" si="325"/>
        <v>147932.66666666666</v>
      </c>
      <c r="CZ97" s="54">
        <f t="shared" si="325"/>
        <v>1678716.1787777778</v>
      </c>
      <c r="DA97" s="54">
        <f t="shared" si="325"/>
        <v>9512819.0232222229</v>
      </c>
      <c r="DB97" s="54">
        <f t="shared" si="325"/>
        <v>641846.41111111105</v>
      </c>
      <c r="DC97" s="54">
        <f t="shared" si="325"/>
        <v>261825.72222222222</v>
      </c>
      <c r="DD97" s="54">
        <f t="shared" si="325"/>
        <v>22190.9</v>
      </c>
      <c r="DE97" s="54">
        <f t="shared" si="325"/>
        <v>25010.822222222221</v>
      </c>
      <c r="DF97" s="54">
        <f t="shared" si="325"/>
        <v>708468.88888888888</v>
      </c>
      <c r="DG97" s="54">
        <f t="shared" si="325"/>
        <v>1659342.7444444445</v>
      </c>
      <c r="DH97" s="54">
        <f t="shared" si="325"/>
        <v>656618.6636666666</v>
      </c>
      <c r="DI97" s="54">
        <f t="shared" si="325"/>
        <v>141004.7141111111</v>
      </c>
      <c r="DJ97" s="54">
        <f t="shared" si="325"/>
        <v>21108.870555555557</v>
      </c>
      <c r="DK97" s="54">
        <f t="shared" si="325"/>
        <v>67891.577777777784</v>
      </c>
      <c r="DL97" s="54">
        <f t="shared" si="325"/>
        <v>518079.2</v>
      </c>
      <c r="DM97" s="54">
        <f t="shared" si="325"/>
        <v>1404703.026111111</v>
      </c>
      <c r="DN97" s="54">
        <f t="shared" si="325"/>
        <v>737315.1333333333</v>
      </c>
      <c r="DO97" s="54">
        <f t="shared" si="325"/>
        <v>233253.32222222222</v>
      </c>
      <c r="DP97" s="54">
        <f t="shared" si="325"/>
        <v>34043.599999999999</v>
      </c>
      <c r="DQ97" s="54">
        <f t="shared" si="325"/>
        <v>238718.11111111112</v>
      </c>
      <c r="DR97" s="54">
        <f t="shared" si="325"/>
        <v>2804363.4601111109</v>
      </c>
      <c r="DS97" s="54">
        <f t="shared" si="325"/>
        <v>4047693.6045555552</v>
      </c>
      <c r="DT97" s="54">
        <f t="shared" si="325"/>
        <v>60619.855555555558</v>
      </c>
      <c r="DU97" s="54">
        <f t="shared" si="325"/>
        <v>58702.555555555555</v>
      </c>
      <c r="DV97" s="54">
        <f t="shared" si="325"/>
        <v>22672.722222222223</v>
      </c>
      <c r="DW97" s="54">
        <f t="shared" si="325"/>
        <v>304432.92499999999</v>
      </c>
      <c r="DX97" s="54">
        <f t="shared" si="325"/>
        <v>57411.255555555559</v>
      </c>
      <c r="DY97" s="54">
        <f t="shared" si="325"/>
        <v>503839.31388888886</v>
      </c>
      <c r="DZ97" s="54">
        <f t="shared" si="325"/>
        <v>116340.8604494382</v>
      </c>
      <c r="EA97" s="54">
        <f t="shared" si="325"/>
        <v>37440.745999999999</v>
      </c>
      <c r="EB97" s="54">
        <f t="shared" si="325"/>
        <v>14660.64011111111</v>
      </c>
      <c r="EC97" s="54">
        <f t="shared" si="325"/>
        <v>137922.59611111111</v>
      </c>
      <c r="ED97" s="54">
        <f t="shared" si="325"/>
        <v>746523.01561797748</v>
      </c>
      <c r="EE97" s="54">
        <f t="shared" si="325"/>
        <v>1043300.481888889</v>
      </c>
      <c r="EF97" s="54">
        <f t="shared" ref="EF97:GQ97" si="326">AVERAGE(EF3:EF92)</f>
        <v>179793.73888888888</v>
      </c>
      <c r="EG97" s="54">
        <f t="shared" si="326"/>
        <v>63545.522222222222</v>
      </c>
      <c r="EH97" s="54">
        <f t="shared" si="326"/>
        <v>8703.9777777777781</v>
      </c>
      <c r="EI97" s="54">
        <f t="shared" si="326"/>
        <v>65062.237333333323</v>
      </c>
      <c r="EJ97" s="54">
        <f t="shared" si="326"/>
        <v>1045328.857</v>
      </c>
      <c r="EK97" s="54">
        <f t="shared" si="326"/>
        <v>1362434.333222222</v>
      </c>
      <c r="EL97" s="54">
        <f t="shared" ref="EL97:EQ97" si="327">AVERAGE(EL3:EL92)</f>
        <v>23358680.132555556</v>
      </c>
      <c r="EM97" s="54">
        <f t="shared" si="327"/>
        <v>6923048.0028888891</v>
      </c>
      <c r="EN97" s="54">
        <f t="shared" si="327"/>
        <v>803448.77377777779</v>
      </c>
      <c r="EO97" s="54">
        <f t="shared" si="327"/>
        <v>4310123.4711111104</v>
      </c>
      <c r="EP97" s="54">
        <f t="shared" si="327"/>
        <v>19115541.682222225</v>
      </c>
      <c r="EQ97" s="54">
        <f t="shared" si="327"/>
        <v>54510842.073666669</v>
      </c>
      <c r="ER97" s="54">
        <f t="shared" si="326"/>
        <v>2444085.3828089889</v>
      </c>
      <c r="ES97" s="54">
        <f t="shared" si="326"/>
        <v>390639.32494382025</v>
      </c>
      <c r="ET97" s="54">
        <f t="shared" si="326"/>
        <v>405082.38089887641</v>
      </c>
      <c r="EU97" s="54">
        <f t="shared" si="326"/>
        <v>3974686.3330337079</v>
      </c>
      <c r="EV97" s="54">
        <f t="shared" si="326"/>
        <v>377103.52292134828</v>
      </c>
      <c r="EW97" s="54">
        <f t="shared" si="326"/>
        <v>7578041.7118888879</v>
      </c>
      <c r="EX97" s="54">
        <f t="shared" si="326"/>
        <v>1070283.0898876404</v>
      </c>
      <c r="EY97" s="54">
        <f t="shared" si="326"/>
        <v>380242.4382022472</v>
      </c>
      <c r="EZ97" s="54">
        <f t="shared" si="326"/>
        <v>60590.1797752809</v>
      </c>
      <c r="FA97" s="54">
        <f t="shared" si="326"/>
        <v>148247.02247191011</v>
      </c>
      <c r="FB97" s="54">
        <f t="shared" si="326"/>
        <v>34636.853932584272</v>
      </c>
      <c r="FC97" s="54">
        <f t="shared" si="326"/>
        <v>1679990.6444444444</v>
      </c>
      <c r="FD97" s="54">
        <f t="shared" si="326"/>
        <v>3789833.5054444447</v>
      </c>
      <c r="FE97" s="54">
        <f t="shared" si="326"/>
        <v>1771493.7503333334</v>
      </c>
      <c r="FF97" s="54">
        <f t="shared" si="326"/>
        <v>777529.78651685396</v>
      </c>
      <c r="FG97" s="54">
        <f t="shared" si="326"/>
        <v>2934945.240224719</v>
      </c>
      <c r="FH97" s="54">
        <f t="shared" si="326"/>
        <v>20857.438202247191</v>
      </c>
      <c r="FI97" s="54">
        <f t="shared" si="326"/>
        <v>9274340.4965555556</v>
      </c>
      <c r="FJ97" s="54">
        <f t="shared" si="326"/>
        <v>110928.06666666667</v>
      </c>
      <c r="FK97" s="54">
        <f t="shared" si="326"/>
        <v>40345.194000000003</v>
      </c>
      <c r="FL97" s="54">
        <f t="shared" si="326"/>
        <v>26229.280898876405</v>
      </c>
      <c r="FM97" s="54">
        <f t="shared" si="326"/>
        <v>48030.550561797754</v>
      </c>
      <c r="FN97" s="54">
        <f t="shared" si="326"/>
        <v>10.988764044943821</v>
      </c>
      <c r="FO97" s="54">
        <f t="shared" si="326"/>
        <v>226148.57777777777</v>
      </c>
      <c r="FP97" s="54">
        <f t="shared" si="326"/>
        <v>662630.93775280903</v>
      </c>
      <c r="FQ97" s="54">
        <f t="shared" si="326"/>
        <v>226921.26404494382</v>
      </c>
      <c r="FR97" s="54">
        <f t="shared" si="326"/>
        <v>137233.62078651684</v>
      </c>
      <c r="FS97" s="54">
        <f t="shared" si="326"/>
        <v>348158.6629213483</v>
      </c>
      <c r="FT97" s="54">
        <f t="shared" si="326"/>
        <v>7248630.4920224715</v>
      </c>
      <c r="FU97" s="54">
        <f t="shared" si="326"/>
        <v>8578097.722222222</v>
      </c>
      <c r="FV97" s="54">
        <f t="shared" si="326"/>
        <v>1232.2777777777778</v>
      </c>
      <c r="FW97" s="54">
        <f t="shared" si="326"/>
        <v>48.055555555555557</v>
      </c>
      <c r="FX97" s="54">
        <f t="shared" si="326"/>
        <v>16.666666666666668</v>
      </c>
      <c r="FY97" s="54">
        <f t="shared" si="326"/>
        <v>70</v>
      </c>
      <c r="FZ97" s="54">
        <f t="shared" si="326"/>
        <v>7832.5</v>
      </c>
      <c r="GA97" s="54">
        <f t="shared" si="326"/>
        <v>9199.5</v>
      </c>
      <c r="GB97" s="54">
        <f t="shared" si="326"/>
        <v>144239.04494382022</v>
      </c>
      <c r="GC97" s="54">
        <f t="shared" si="326"/>
        <v>90418.831460674162</v>
      </c>
      <c r="GD97" s="54">
        <f t="shared" si="326"/>
        <v>23622.022471910113</v>
      </c>
      <c r="GE97" s="54">
        <f t="shared" si="326"/>
        <v>18234.528089887641</v>
      </c>
      <c r="GF97" s="54">
        <f t="shared" si="326"/>
        <v>70576.438202247198</v>
      </c>
      <c r="GG97" s="54">
        <f t="shared" si="326"/>
        <v>344696.5777777778</v>
      </c>
      <c r="GH97" s="54">
        <f t="shared" si="326"/>
        <v>310429.44078651688</v>
      </c>
      <c r="GI97" s="54">
        <f t="shared" si="326"/>
        <v>137026.74460674156</v>
      </c>
      <c r="GJ97" s="54">
        <f t="shared" si="326"/>
        <v>83973.00573033707</v>
      </c>
      <c r="GK97" s="54">
        <f t="shared" si="326"/>
        <v>263433.34584269667</v>
      </c>
      <c r="GL97" s="54">
        <f t="shared" si="326"/>
        <v>9165.6629213483138</v>
      </c>
      <c r="GM97" s="54">
        <f t="shared" si="326"/>
        <v>799700.84211111104</v>
      </c>
      <c r="GN97" s="54">
        <f t="shared" si="326"/>
        <v>1117696.0494382023</v>
      </c>
      <c r="GO97" s="54">
        <f t="shared" si="326"/>
        <v>445898.08404494385</v>
      </c>
      <c r="GP97" s="54">
        <f t="shared" si="326"/>
        <v>308521.31932584272</v>
      </c>
      <c r="GQ97" s="54">
        <f t="shared" si="326"/>
        <v>1496507.1503370786</v>
      </c>
      <c r="GR97" s="54">
        <f t="shared" ref="GR97:JC97" si="328">AVERAGE(GR3:GR92)</f>
        <v>64541.932584269663</v>
      </c>
      <c r="GS97" s="54">
        <f t="shared" si="328"/>
        <v>3419920.729777778</v>
      </c>
      <c r="GT97" s="54">
        <f t="shared" si="328"/>
        <v>453081.52123595506</v>
      </c>
      <c r="GU97" s="54">
        <f t="shared" si="328"/>
        <v>80275.113820224724</v>
      </c>
      <c r="GV97" s="54">
        <f t="shared" si="328"/>
        <v>51636.230224719104</v>
      </c>
      <c r="GW97" s="54">
        <f t="shared" si="328"/>
        <v>512975.44359550567</v>
      </c>
      <c r="GX97" s="54">
        <f t="shared" si="328"/>
        <v>243895.32797752807</v>
      </c>
      <c r="GY97" s="54">
        <f t="shared" si="328"/>
        <v>1350497.840888889</v>
      </c>
      <c r="GZ97" s="54">
        <f t="shared" si="328"/>
        <v>1101243.4955056179</v>
      </c>
      <c r="HA97" s="54">
        <f t="shared" si="328"/>
        <v>330614.72662921349</v>
      </c>
      <c r="HB97" s="54">
        <f t="shared" si="328"/>
        <v>166719.85943820226</v>
      </c>
      <c r="HC97" s="54">
        <f t="shared" si="328"/>
        <v>339049.14426966291</v>
      </c>
      <c r="HD97" s="54">
        <f t="shared" si="328"/>
        <v>506972.06988764042</v>
      </c>
      <c r="HE97" s="54">
        <f t="shared" si="328"/>
        <v>2422556.2813333333</v>
      </c>
      <c r="HF97" s="54">
        <f t="shared" si="328"/>
        <v>224286.42808988766</v>
      </c>
      <c r="HG97" s="54">
        <f t="shared" si="328"/>
        <v>45247.656853932582</v>
      </c>
      <c r="HH97" s="54">
        <f t="shared" si="328"/>
        <v>20134.363258426965</v>
      </c>
      <c r="HI97" s="54">
        <f t="shared" si="328"/>
        <v>61951.887752808987</v>
      </c>
      <c r="HJ97" s="54">
        <f t="shared" si="328"/>
        <v>1038891.8220224719</v>
      </c>
      <c r="HK97" s="54">
        <f t="shared" si="328"/>
        <v>1376248.0562222223</v>
      </c>
      <c r="HL97" s="54">
        <f t="shared" si="328"/>
        <v>43158.230112359553</v>
      </c>
      <c r="HM97" s="54">
        <f t="shared" si="328"/>
        <v>38385.808988764045</v>
      </c>
      <c r="HN97" s="54">
        <f t="shared" si="328"/>
        <v>14967.359550561798</v>
      </c>
      <c r="HO97" s="54">
        <f t="shared" si="328"/>
        <v>164475.68146067415</v>
      </c>
      <c r="HP97" s="54">
        <f t="shared" si="328"/>
        <v>68873.25674157303</v>
      </c>
      <c r="HQ97" s="54">
        <f t="shared" si="328"/>
        <v>329286.24422222225</v>
      </c>
      <c r="HR97" s="54">
        <f t="shared" si="328"/>
        <v>1098302.1903370786</v>
      </c>
      <c r="HS97" s="54">
        <f t="shared" si="328"/>
        <v>214010.66325842697</v>
      </c>
      <c r="HT97" s="54">
        <f t="shared" si="328"/>
        <v>125157.48325842696</v>
      </c>
      <c r="HU97" s="54">
        <f t="shared" si="328"/>
        <v>523486.44449438207</v>
      </c>
      <c r="HV97" s="54">
        <f t="shared" si="328"/>
        <v>5943568.3814606741</v>
      </c>
      <c r="HW97" s="54">
        <f t="shared" si="328"/>
        <v>7817273.1054444443</v>
      </c>
      <c r="HX97" s="54">
        <f t="shared" si="328"/>
        <v>57071.860786516845</v>
      </c>
      <c r="HY97" s="54">
        <f t="shared" si="328"/>
        <v>6199.7415730337079</v>
      </c>
      <c r="HZ97" s="54">
        <f t="shared" si="328"/>
        <v>4968.715909090909</v>
      </c>
      <c r="IA97" s="54">
        <f t="shared" si="328"/>
        <v>4756.4943820224717</v>
      </c>
      <c r="IB97" s="54">
        <f t="shared" si="328"/>
        <v>176310.37887640449</v>
      </c>
      <c r="IC97" s="54">
        <f t="shared" si="328"/>
        <v>246637.12588888887</v>
      </c>
      <c r="ID97" s="54">
        <f t="shared" si="328"/>
        <v>73852.673820224722</v>
      </c>
      <c r="IE97" s="54">
        <f t="shared" si="328"/>
        <v>18196.943820224718</v>
      </c>
      <c r="IF97" s="54">
        <f t="shared" si="328"/>
        <v>14720.109550561798</v>
      </c>
      <c r="IG97" s="54">
        <f t="shared" si="328"/>
        <v>67530.605730337076</v>
      </c>
      <c r="IH97" s="54">
        <f t="shared" si="328"/>
        <v>986775.33022471913</v>
      </c>
      <c r="II97" s="54">
        <f t="shared" si="328"/>
        <v>1174531.0557777777</v>
      </c>
      <c r="IJ97" s="54">
        <f t="shared" si="328"/>
        <v>78021.352696629212</v>
      </c>
      <c r="IK97" s="54">
        <f t="shared" si="328"/>
        <v>9949.7879775280908</v>
      </c>
      <c r="IL97" s="54">
        <f t="shared" si="328"/>
        <v>10915.378539325842</v>
      </c>
      <c r="IM97" s="54">
        <f t="shared" si="328"/>
        <v>126851.11258426966</v>
      </c>
      <c r="IN97" s="54">
        <f t="shared" si="328"/>
        <v>557690.36842696625</v>
      </c>
      <c r="IO97" s="54">
        <f t="shared" si="328"/>
        <v>777496.65577777789</v>
      </c>
      <c r="IP97" s="54">
        <f t="shared" si="328"/>
        <v>10000.129325842696</v>
      </c>
      <c r="IQ97" s="54">
        <f t="shared" si="328"/>
        <v>3445.8358426966292</v>
      </c>
      <c r="IR97" s="54">
        <f t="shared" si="328"/>
        <v>2843.2385393258428</v>
      </c>
      <c r="IS97" s="54">
        <f t="shared" si="328"/>
        <v>33841.288764044948</v>
      </c>
      <c r="IT97" s="54">
        <f t="shared" si="328"/>
        <v>267301.07123595505</v>
      </c>
      <c r="IU97" s="54">
        <f t="shared" si="328"/>
        <v>317218.64633333334</v>
      </c>
      <c r="IV97" s="54">
        <f t="shared" si="328"/>
        <v>694319.7375280899</v>
      </c>
      <c r="IW97" s="54">
        <f t="shared" si="328"/>
        <v>193479.19202247192</v>
      </c>
      <c r="IX97" s="54">
        <f t="shared" si="328"/>
        <v>80723.617977528091</v>
      </c>
      <c r="IY97" s="54">
        <f t="shared" si="328"/>
        <v>410903.10662921343</v>
      </c>
      <c r="IZ97" s="54">
        <f t="shared" si="328"/>
        <v>3065627.8933707862</v>
      </c>
      <c r="JA97" s="54">
        <f t="shared" si="328"/>
        <v>4420888.3636666667</v>
      </c>
      <c r="JB97" s="54">
        <f t="shared" si="328"/>
        <v>13417449.368314607</v>
      </c>
      <c r="JC97" s="54">
        <f t="shared" si="328"/>
        <v>4419453.7178651681</v>
      </c>
      <c r="JD97" s="54">
        <f t="shared" ref="JD97:JS97" si="329">AVERAGE(JD3:JD92)</f>
        <v>2286357.9446067414</v>
      </c>
      <c r="JE97" s="54">
        <f t="shared" si="329"/>
        <v>12040235.133033708</v>
      </c>
      <c r="JF97" s="54">
        <f t="shared" si="329"/>
        <v>20647804.465730339</v>
      </c>
      <c r="JG97" s="54">
        <f t="shared" si="329"/>
        <v>52515860.544777788</v>
      </c>
      <c r="JH97" s="54">
        <f t="shared" si="329"/>
        <v>32693.232558139534</v>
      </c>
      <c r="JI97" s="54">
        <f t="shared" si="329"/>
        <v>7746.5</v>
      </c>
      <c r="JJ97" s="54">
        <f t="shared" si="329"/>
        <v>271.43333333333334</v>
      </c>
      <c r="JK97" s="54">
        <f t="shared" si="329"/>
        <v>1438.5777777777778</v>
      </c>
      <c r="JL97" s="54">
        <f t="shared" si="329"/>
        <v>592657.6</v>
      </c>
      <c r="JM97" s="54">
        <f t="shared" si="329"/>
        <v>633354.31111111108</v>
      </c>
      <c r="JN97" s="54">
        <f t="shared" si="329"/>
        <v>13445291.817752808</v>
      </c>
      <c r="JO97" s="54">
        <f t="shared" si="329"/>
        <v>4424772.2260227269</v>
      </c>
      <c r="JP97" s="54">
        <f t="shared" si="329"/>
        <v>2288987.6861797753</v>
      </c>
      <c r="JQ97" s="54">
        <f t="shared" si="329"/>
        <v>11337364.762247192</v>
      </c>
      <c r="JR97" s="54">
        <f t="shared" si="329"/>
        <v>21232969.589325842</v>
      </c>
      <c r="JS97" s="54">
        <f t="shared" si="329"/>
        <v>52385692.02255556</v>
      </c>
    </row>
    <row r="98" spans="1:279" x14ac:dyDescent="0.15">
      <c r="A98" s="18" t="s">
        <v>471</v>
      </c>
      <c r="B98" s="4"/>
      <c r="C98" s="106"/>
      <c r="D98" s="106"/>
      <c r="E98" s="106"/>
      <c r="F98" s="106"/>
      <c r="G98" s="107">
        <f>MEDIAN(G3:G92)</f>
        <v>9218</v>
      </c>
      <c r="H98" s="107">
        <f t="shared" ref="H98:BS98" si="330">MEDIAN(H3:H92)</f>
        <v>9718</v>
      </c>
      <c r="I98" s="108">
        <f t="shared" si="330"/>
        <v>755920659</v>
      </c>
      <c r="J98" s="108">
        <f t="shared" si="330"/>
        <v>509398679</v>
      </c>
      <c r="K98" s="108">
        <f>MEDIAN(K3:K92)</f>
        <v>3055158</v>
      </c>
      <c r="L98" s="108" t="e">
        <f t="shared" si="330"/>
        <v>#NUM!</v>
      </c>
      <c r="M98" s="108">
        <f t="shared" si="330"/>
        <v>25730267</v>
      </c>
      <c r="N98" s="108" t="e">
        <f t="shared" si="330"/>
        <v>#NUM!</v>
      </c>
      <c r="O98" s="108">
        <f t="shared" si="330"/>
        <v>33000000</v>
      </c>
      <c r="P98" s="108" t="e">
        <f t="shared" si="330"/>
        <v>#NUM!</v>
      </c>
      <c r="Q98" s="108">
        <f t="shared" si="330"/>
        <v>351262289</v>
      </c>
      <c r="R98" s="108" t="e">
        <f t="shared" si="330"/>
        <v>#NUM!</v>
      </c>
      <c r="S98" s="108">
        <f t="shared" si="330"/>
        <v>584473703</v>
      </c>
      <c r="T98" s="108">
        <f t="shared" si="330"/>
        <v>438167986</v>
      </c>
      <c r="U98" s="108">
        <f t="shared" si="330"/>
        <v>17602.5</v>
      </c>
      <c r="V98" s="108">
        <f t="shared" si="330"/>
        <v>18165</v>
      </c>
      <c r="W98" s="108">
        <f t="shared" si="330"/>
        <v>29346.5</v>
      </c>
      <c r="X98" s="108">
        <f t="shared" si="330"/>
        <v>26976</v>
      </c>
      <c r="Y98" s="108">
        <f t="shared" si="330"/>
        <v>20997</v>
      </c>
      <c r="Z98" s="108">
        <f t="shared" si="330"/>
        <v>21454</v>
      </c>
      <c r="AA98" s="108">
        <f t="shared" si="330"/>
        <v>33540</v>
      </c>
      <c r="AB98" s="108">
        <f t="shared" si="330"/>
        <v>30989</v>
      </c>
      <c r="AC98" s="131">
        <f t="shared" si="330"/>
        <v>9</v>
      </c>
      <c r="AD98" s="131">
        <f t="shared" si="330"/>
        <v>11</v>
      </c>
      <c r="AE98" s="131">
        <f t="shared" si="330"/>
        <v>0</v>
      </c>
      <c r="AF98" s="26">
        <f t="shared" si="330"/>
        <v>3729972</v>
      </c>
      <c r="AG98" s="26">
        <f t="shared" si="330"/>
        <v>2857303.5</v>
      </c>
      <c r="AH98" s="26">
        <f t="shared" si="330"/>
        <v>491016.73499999999</v>
      </c>
      <c r="AI98" s="26">
        <f t="shared" si="330"/>
        <v>236502</v>
      </c>
      <c r="AJ98" s="26">
        <f t="shared" si="330"/>
        <v>487645.69</v>
      </c>
      <c r="AK98" s="36">
        <f t="shared" si="330"/>
        <v>6.3049999999999997</v>
      </c>
      <c r="AL98" s="26">
        <f t="shared" si="330"/>
        <v>452813.86</v>
      </c>
      <c r="AM98" s="36">
        <f t="shared" si="330"/>
        <v>7</v>
      </c>
      <c r="AN98" s="26">
        <f t="shared" si="330"/>
        <v>153249.57</v>
      </c>
      <c r="AO98" s="36">
        <f t="shared" si="330"/>
        <v>8</v>
      </c>
      <c r="AP98" s="26">
        <f t="shared" si="330"/>
        <v>142610.67000000001</v>
      </c>
      <c r="AQ98" s="36">
        <f t="shared" si="330"/>
        <v>9</v>
      </c>
      <c r="AR98" s="26">
        <f t="shared" si="330"/>
        <v>154278.22999999998</v>
      </c>
      <c r="AS98" s="36">
        <f t="shared" si="330"/>
        <v>19.350000000000001</v>
      </c>
      <c r="AT98" s="26">
        <f t="shared" si="330"/>
        <v>136394.39000000001</v>
      </c>
      <c r="AU98" s="36">
        <f t="shared" si="330"/>
        <v>22</v>
      </c>
      <c r="AV98" s="26">
        <f t="shared" si="330"/>
        <v>70720</v>
      </c>
      <c r="AW98" s="36">
        <f t="shared" si="330"/>
        <v>15.35</v>
      </c>
      <c r="AX98" s="26">
        <f t="shared" si="330"/>
        <v>61351.43</v>
      </c>
      <c r="AY98" s="36">
        <f t="shared" si="330"/>
        <v>17.5</v>
      </c>
      <c r="AZ98" s="54">
        <f t="shared" si="330"/>
        <v>7084416</v>
      </c>
      <c r="BA98" s="54">
        <f>MEDIAN(BA3:BA92)</f>
        <v>1321862</v>
      </c>
      <c r="BB98" s="54">
        <f t="shared" si="330"/>
        <v>53903</v>
      </c>
      <c r="BC98" s="54">
        <f t="shared" si="330"/>
        <v>154114.5</v>
      </c>
      <c r="BD98" s="54">
        <f t="shared" si="330"/>
        <v>0</v>
      </c>
      <c r="BE98" s="54">
        <f t="shared" si="330"/>
        <v>10156054.5</v>
      </c>
      <c r="BF98" s="54">
        <f t="shared" si="330"/>
        <v>0</v>
      </c>
      <c r="BG98" s="54">
        <f t="shared" si="330"/>
        <v>0</v>
      </c>
      <c r="BH98" s="54">
        <f t="shared" si="330"/>
        <v>0</v>
      </c>
      <c r="BI98" s="54">
        <f t="shared" si="330"/>
        <v>0</v>
      </c>
      <c r="BJ98" s="54">
        <f t="shared" si="330"/>
        <v>1367611.5</v>
      </c>
      <c r="BK98" s="54">
        <f t="shared" si="330"/>
        <v>2267806</v>
      </c>
      <c r="BL98" s="54">
        <f t="shared" si="330"/>
        <v>787500</v>
      </c>
      <c r="BM98" s="54">
        <f t="shared" si="330"/>
        <v>79673.5</v>
      </c>
      <c r="BN98" s="54">
        <f t="shared" si="330"/>
        <v>0</v>
      </c>
      <c r="BO98" s="54">
        <f t="shared" si="330"/>
        <v>9100</v>
      </c>
      <c r="BP98" s="54">
        <f t="shared" si="330"/>
        <v>0</v>
      </c>
      <c r="BQ98" s="54">
        <f t="shared" si="330"/>
        <v>893521.5</v>
      </c>
      <c r="BR98" s="54">
        <f t="shared" si="330"/>
        <v>1184049</v>
      </c>
      <c r="BS98" s="54">
        <f t="shared" si="330"/>
        <v>208760</v>
      </c>
      <c r="BT98" s="54">
        <f t="shared" ref="BT98:EE98" si="331">MEDIAN(BT3:BT92)</f>
        <v>50453</v>
      </c>
      <c r="BU98" s="54">
        <f t="shared" si="331"/>
        <v>360511.5</v>
      </c>
      <c r="BV98" s="54">
        <f t="shared" si="331"/>
        <v>2540456.5</v>
      </c>
      <c r="BW98" s="54">
        <f t="shared" si="331"/>
        <v>8156840.5</v>
      </c>
      <c r="BX98" s="54">
        <f t="shared" si="331"/>
        <v>0</v>
      </c>
      <c r="BY98" s="54">
        <f t="shared" si="331"/>
        <v>0</v>
      </c>
      <c r="BZ98" s="54">
        <f t="shared" si="331"/>
        <v>0</v>
      </c>
      <c r="CA98" s="54">
        <f t="shared" si="331"/>
        <v>0</v>
      </c>
      <c r="CB98" s="54">
        <f t="shared" si="331"/>
        <v>0</v>
      </c>
      <c r="CC98" s="54">
        <f t="shared" si="331"/>
        <v>0</v>
      </c>
      <c r="CD98" s="54">
        <f t="shared" si="331"/>
        <v>0</v>
      </c>
      <c r="CE98" s="54">
        <f t="shared" si="331"/>
        <v>0</v>
      </c>
      <c r="CF98" s="54">
        <f t="shared" si="331"/>
        <v>0</v>
      </c>
      <c r="CG98" s="54">
        <f t="shared" si="331"/>
        <v>0</v>
      </c>
      <c r="CH98" s="54">
        <f t="shared" si="331"/>
        <v>0</v>
      </c>
      <c r="CI98" s="54">
        <f t="shared" si="331"/>
        <v>0</v>
      </c>
      <c r="CJ98" s="54">
        <f t="shared" si="331"/>
        <v>0</v>
      </c>
      <c r="CK98" s="54">
        <f t="shared" si="331"/>
        <v>0</v>
      </c>
      <c r="CL98" s="54">
        <f t="shared" si="331"/>
        <v>0</v>
      </c>
      <c r="CM98" s="54">
        <f t="shared" si="331"/>
        <v>0</v>
      </c>
      <c r="CN98" s="54">
        <f t="shared" si="331"/>
        <v>780469</v>
      </c>
      <c r="CO98" s="54">
        <f t="shared" si="331"/>
        <v>2570312</v>
      </c>
      <c r="CP98" s="54">
        <f t="shared" si="331"/>
        <v>0</v>
      </c>
      <c r="CQ98" s="54">
        <f t="shared" si="331"/>
        <v>0</v>
      </c>
      <c r="CR98" s="54">
        <f t="shared" si="331"/>
        <v>0</v>
      </c>
      <c r="CS98" s="54">
        <f t="shared" si="331"/>
        <v>0</v>
      </c>
      <c r="CT98" s="54">
        <f t="shared" si="331"/>
        <v>0</v>
      </c>
      <c r="CU98" s="54">
        <f t="shared" si="331"/>
        <v>37565.5</v>
      </c>
      <c r="CV98" s="54">
        <f t="shared" si="331"/>
        <v>3636605</v>
      </c>
      <c r="CW98" s="54">
        <f t="shared" si="331"/>
        <v>2285608.5</v>
      </c>
      <c r="CX98" s="54">
        <f t="shared" si="331"/>
        <v>0</v>
      </c>
      <c r="CY98" s="54">
        <f t="shared" si="331"/>
        <v>21848</v>
      </c>
      <c r="CZ98" s="54">
        <f t="shared" si="331"/>
        <v>1132977.5</v>
      </c>
      <c r="DA98" s="54">
        <f t="shared" si="331"/>
        <v>7517277.5</v>
      </c>
      <c r="DB98" s="54">
        <f t="shared" si="331"/>
        <v>0</v>
      </c>
      <c r="DC98" s="54">
        <f t="shared" si="331"/>
        <v>0</v>
      </c>
      <c r="DD98" s="54">
        <f t="shared" si="331"/>
        <v>0</v>
      </c>
      <c r="DE98" s="54">
        <f t="shared" si="331"/>
        <v>0</v>
      </c>
      <c r="DF98" s="54">
        <f t="shared" si="331"/>
        <v>0</v>
      </c>
      <c r="DG98" s="54">
        <f t="shared" si="331"/>
        <v>45132</v>
      </c>
      <c r="DH98" s="54">
        <f t="shared" si="331"/>
        <v>358006</v>
      </c>
      <c r="DI98" s="54">
        <f t="shared" si="331"/>
        <v>40264.5</v>
      </c>
      <c r="DJ98" s="54">
        <f t="shared" si="331"/>
        <v>7840.5</v>
      </c>
      <c r="DK98" s="54">
        <f t="shared" si="331"/>
        <v>21005.5</v>
      </c>
      <c r="DL98" s="54">
        <f t="shared" si="331"/>
        <v>92272.5</v>
      </c>
      <c r="DM98" s="54">
        <f t="shared" si="331"/>
        <v>929068.5</v>
      </c>
      <c r="DN98" s="54">
        <f t="shared" si="331"/>
        <v>13802</v>
      </c>
      <c r="DO98" s="54">
        <f t="shared" si="331"/>
        <v>0</v>
      </c>
      <c r="DP98" s="54">
        <f t="shared" si="331"/>
        <v>0</v>
      </c>
      <c r="DQ98" s="54">
        <f t="shared" si="331"/>
        <v>0</v>
      </c>
      <c r="DR98" s="54">
        <f t="shared" si="331"/>
        <v>1525246</v>
      </c>
      <c r="DS98" s="54">
        <f t="shared" si="331"/>
        <v>2750586.5</v>
      </c>
      <c r="DT98" s="54">
        <f t="shared" si="331"/>
        <v>0</v>
      </c>
      <c r="DU98" s="54">
        <f t="shared" si="331"/>
        <v>0</v>
      </c>
      <c r="DV98" s="54">
        <f t="shared" si="331"/>
        <v>0</v>
      </c>
      <c r="DW98" s="54">
        <f t="shared" si="331"/>
        <v>7978</v>
      </c>
      <c r="DX98" s="54">
        <f t="shared" si="331"/>
        <v>0</v>
      </c>
      <c r="DY98" s="54">
        <f t="shared" si="331"/>
        <v>75025.5</v>
      </c>
      <c r="DZ98" s="54">
        <f t="shared" si="331"/>
        <v>236</v>
      </c>
      <c r="EA98" s="54">
        <f t="shared" si="331"/>
        <v>0</v>
      </c>
      <c r="EB98" s="54">
        <f t="shared" si="331"/>
        <v>0</v>
      </c>
      <c r="EC98" s="54">
        <f t="shared" si="331"/>
        <v>3068</v>
      </c>
      <c r="ED98" s="54">
        <f t="shared" si="331"/>
        <v>116607</v>
      </c>
      <c r="EE98" s="54">
        <f t="shared" si="331"/>
        <v>234121</v>
      </c>
      <c r="EF98" s="54">
        <f t="shared" ref="EF98:GQ98" si="332">MEDIAN(EF3:EF92)</f>
        <v>12159.5</v>
      </c>
      <c r="EG98" s="54">
        <f t="shared" si="332"/>
        <v>0</v>
      </c>
      <c r="EH98" s="54">
        <f t="shared" si="332"/>
        <v>0</v>
      </c>
      <c r="EI98" s="54">
        <f t="shared" si="332"/>
        <v>39665.5</v>
      </c>
      <c r="EJ98" s="54">
        <f t="shared" si="332"/>
        <v>522067</v>
      </c>
      <c r="EK98" s="54">
        <f t="shared" si="332"/>
        <v>723634</v>
      </c>
      <c r="EL98" s="54">
        <f t="shared" ref="EL98:EQ98" si="333">MEDIAN(EL3:EL92)</f>
        <v>17315120.5</v>
      </c>
      <c r="EM98" s="54">
        <f t="shared" si="333"/>
        <v>5712040</v>
      </c>
      <c r="EN98" s="54">
        <f t="shared" si="333"/>
        <v>604871.5</v>
      </c>
      <c r="EO98" s="54">
        <f t="shared" si="333"/>
        <v>3828895.5</v>
      </c>
      <c r="EP98" s="54">
        <f t="shared" si="333"/>
        <v>18067696</v>
      </c>
      <c r="EQ98" s="54">
        <f t="shared" si="333"/>
        <v>52715377</v>
      </c>
      <c r="ER98" s="54">
        <f t="shared" si="332"/>
        <v>2403318</v>
      </c>
      <c r="ES98" s="54">
        <f t="shared" si="332"/>
        <v>404577</v>
      </c>
      <c r="ET98" s="54">
        <f t="shared" si="332"/>
        <v>395442</v>
      </c>
      <c r="EU98" s="54">
        <f t="shared" si="332"/>
        <v>3446866</v>
      </c>
      <c r="EV98" s="54">
        <f t="shared" si="332"/>
        <v>190158</v>
      </c>
      <c r="EW98" s="54">
        <f t="shared" si="332"/>
        <v>7235418.5</v>
      </c>
      <c r="EX98" s="54">
        <f t="shared" si="332"/>
        <v>780000</v>
      </c>
      <c r="EY98" s="54">
        <f t="shared" si="332"/>
        <v>379500</v>
      </c>
      <c r="EZ98" s="54">
        <f t="shared" si="332"/>
        <v>42217</v>
      </c>
      <c r="FA98" s="54">
        <f t="shared" si="332"/>
        <v>31657</v>
      </c>
      <c r="FB98" s="54">
        <f t="shared" si="332"/>
        <v>0</v>
      </c>
      <c r="FC98" s="54">
        <f t="shared" si="332"/>
        <v>1393044.5</v>
      </c>
      <c r="FD98" s="54">
        <f t="shared" si="332"/>
        <v>3700001.5</v>
      </c>
      <c r="FE98" s="54">
        <f t="shared" si="332"/>
        <v>1532109.5</v>
      </c>
      <c r="FF98" s="54">
        <f t="shared" si="332"/>
        <v>657818</v>
      </c>
      <c r="FG98" s="54">
        <f t="shared" si="332"/>
        <v>2558159</v>
      </c>
      <c r="FH98" s="54">
        <f t="shared" si="332"/>
        <v>0</v>
      </c>
      <c r="FI98" s="54">
        <f t="shared" si="332"/>
        <v>8527616.5</v>
      </c>
      <c r="FJ98" s="54">
        <f t="shared" si="332"/>
        <v>0</v>
      </c>
      <c r="FK98" s="54">
        <f t="shared" si="332"/>
        <v>0</v>
      </c>
      <c r="FL98" s="54">
        <f t="shared" si="332"/>
        <v>0</v>
      </c>
      <c r="FM98" s="54">
        <f t="shared" si="332"/>
        <v>0</v>
      </c>
      <c r="FN98" s="54">
        <f t="shared" si="332"/>
        <v>0</v>
      </c>
      <c r="FO98" s="54">
        <f t="shared" si="332"/>
        <v>0</v>
      </c>
      <c r="FP98" s="54">
        <f t="shared" si="332"/>
        <v>465205</v>
      </c>
      <c r="FQ98" s="54">
        <f t="shared" si="332"/>
        <v>184525</v>
      </c>
      <c r="FR98" s="54">
        <f t="shared" si="332"/>
        <v>117510</v>
      </c>
      <c r="FS98" s="54">
        <f t="shared" si="332"/>
        <v>156820</v>
      </c>
      <c r="FT98" s="54">
        <f t="shared" si="332"/>
        <v>5722736</v>
      </c>
      <c r="FU98" s="54">
        <f t="shared" si="332"/>
        <v>7723666</v>
      </c>
      <c r="FV98" s="54">
        <f t="shared" si="332"/>
        <v>0</v>
      </c>
      <c r="FW98" s="54">
        <f t="shared" si="332"/>
        <v>0</v>
      </c>
      <c r="FX98" s="54">
        <f t="shared" si="332"/>
        <v>0</v>
      </c>
      <c r="FY98" s="54">
        <f t="shared" si="332"/>
        <v>0</v>
      </c>
      <c r="FZ98" s="54">
        <f t="shared" si="332"/>
        <v>0</v>
      </c>
      <c r="GA98" s="54">
        <f t="shared" si="332"/>
        <v>0</v>
      </c>
      <c r="GB98" s="54">
        <f t="shared" si="332"/>
        <v>0</v>
      </c>
      <c r="GC98" s="54">
        <f t="shared" si="332"/>
        <v>0</v>
      </c>
      <c r="GD98" s="54">
        <f t="shared" si="332"/>
        <v>0</v>
      </c>
      <c r="GE98" s="54">
        <f t="shared" si="332"/>
        <v>0</v>
      </c>
      <c r="GF98" s="54">
        <f t="shared" si="332"/>
        <v>0</v>
      </c>
      <c r="GG98" s="54">
        <f t="shared" si="332"/>
        <v>1754</v>
      </c>
      <c r="GH98" s="54">
        <f t="shared" si="332"/>
        <v>253486</v>
      </c>
      <c r="GI98" s="54">
        <f t="shared" si="332"/>
        <v>118447</v>
      </c>
      <c r="GJ98" s="54">
        <f t="shared" si="332"/>
        <v>76747</v>
      </c>
      <c r="GK98" s="54">
        <f t="shared" si="332"/>
        <v>250588</v>
      </c>
      <c r="GL98" s="54">
        <f t="shared" si="332"/>
        <v>0</v>
      </c>
      <c r="GM98" s="54">
        <f t="shared" si="332"/>
        <v>759495.5</v>
      </c>
      <c r="GN98" s="54">
        <f t="shared" si="332"/>
        <v>1002959</v>
      </c>
      <c r="GO98" s="54">
        <f t="shared" si="332"/>
        <v>362654</v>
      </c>
      <c r="GP98" s="54">
        <f t="shared" si="332"/>
        <v>266141</v>
      </c>
      <c r="GQ98" s="54">
        <f t="shared" si="332"/>
        <v>1323032</v>
      </c>
      <c r="GR98" s="54">
        <f t="shared" ref="GR98:JC98" si="334">MEDIAN(GR3:GR92)</f>
        <v>1246</v>
      </c>
      <c r="GS98" s="54">
        <f t="shared" si="334"/>
        <v>3342337.5</v>
      </c>
      <c r="GT98" s="54">
        <f t="shared" si="334"/>
        <v>379023</v>
      </c>
      <c r="GU98" s="54">
        <f t="shared" si="334"/>
        <v>60314</v>
      </c>
      <c r="GV98" s="54">
        <f t="shared" si="334"/>
        <v>45112</v>
      </c>
      <c r="GW98" s="54">
        <f t="shared" si="334"/>
        <v>403233</v>
      </c>
      <c r="GX98" s="54">
        <f t="shared" si="334"/>
        <v>121868</v>
      </c>
      <c r="GY98" s="54">
        <f t="shared" si="334"/>
        <v>1145098.5</v>
      </c>
      <c r="GZ98" s="54">
        <f t="shared" si="334"/>
        <v>713181</v>
      </c>
      <c r="HA98" s="54">
        <f t="shared" si="334"/>
        <v>258100</v>
      </c>
      <c r="HB98" s="54">
        <f t="shared" si="334"/>
        <v>125673</v>
      </c>
      <c r="HC98" s="54">
        <f t="shared" si="334"/>
        <v>221850</v>
      </c>
      <c r="HD98" s="54">
        <f t="shared" si="334"/>
        <v>71680</v>
      </c>
      <c r="HE98" s="54">
        <f t="shared" si="334"/>
        <v>1780507</v>
      </c>
      <c r="HF98" s="54">
        <f t="shared" si="334"/>
        <v>21910</v>
      </c>
      <c r="HG98" s="54">
        <f t="shared" si="334"/>
        <v>5118</v>
      </c>
      <c r="HH98" s="54">
        <f t="shared" si="334"/>
        <v>3098</v>
      </c>
      <c r="HI98" s="54">
        <f t="shared" si="334"/>
        <v>8865</v>
      </c>
      <c r="HJ98" s="54">
        <f t="shared" si="334"/>
        <v>737575</v>
      </c>
      <c r="HK98" s="54">
        <f t="shared" si="334"/>
        <v>988514.5</v>
      </c>
      <c r="HL98" s="54">
        <f t="shared" si="334"/>
        <v>0</v>
      </c>
      <c r="HM98" s="54">
        <f t="shared" si="334"/>
        <v>0</v>
      </c>
      <c r="HN98" s="54">
        <f t="shared" si="334"/>
        <v>0</v>
      </c>
      <c r="HO98" s="54">
        <f t="shared" si="334"/>
        <v>0</v>
      </c>
      <c r="HP98" s="54">
        <f t="shared" si="334"/>
        <v>0</v>
      </c>
      <c r="HQ98" s="54">
        <f t="shared" si="334"/>
        <v>14502.5</v>
      </c>
      <c r="HR98" s="54">
        <f t="shared" si="334"/>
        <v>136538</v>
      </c>
      <c r="HS98" s="54">
        <f t="shared" si="334"/>
        <v>19010</v>
      </c>
      <c r="HT98" s="54">
        <f t="shared" si="334"/>
        <v>12897</v>
      </c>
      <c r="HU98" s="54">
        <f t="shared" si="334"/>
        <v>129190</v>
      </c>
      <c r="HV98" s="54">
        <f t="shared" si="334"/>
        <v>3259113</v>
      </c>
      <c r="HW98" s="54">
        <f t="shared" si="334"/>
        <v>6057524.5</v>
      </c>
      <c r="HX98" s="54">
        <f t="shared" si="334"/>
        <v>0</v>
      </c>
      <c r="HY98" s="54">
        <f t="shared" si="334"/>
        <v>0</v>
      </c>
      <c r="HZ98" s="54">
        <f t="shared" si="334"/>
        <v>0</v>
      </c>
      <c r="IA98" s="54">
        <f t="shared" si="334"/>
        <v>0</v>
      </c>
      <c r="IB98" s="54">
        <f t="shared" si="334"/>
        <v>103338</v>
      </c>
      <c r="IC98" s="54">
        <f t="shared" si="334"/>
        <v>133203</v>
      </c>
      <c r="ID98" s="54">
        <f t="shared" si="334"/>
        <v>0</v>
      </c>
      <c r="IE98" s="54">
        <f t="shared" si="334"/>
        <v>0</v>
      </c>
      <c r="IF98" s="54">
        <f t="shared" si="334"/>
        <v>0</v>
      </c>
      <c r="IG98" s="54">
        <f t="shared" si="334"/>
        <v>0</v>
      </c>
      <c r="IH98" s="54">
        <f t="shared" si="334"/>
        <v>0</v>
      </c>
      <c r="II98" s="54">
        <f t="shared" si="334"/>
        <v>40263.5</v>
      </c>
      <c r="IJ98" s="54">
        <f t="shared" si="334"/>
        <v>4101</v>
      </c>
      <c r="IK98" s="54">
        <f t="shared" si="334"/>
        <v>155</v>
      </c>
      <c r="IL98" s="54">
        <f t="shared" si="334"/>
        <v>0</v>
      </c>
      <c r="IM98" s="54">
        <f t="shared" si="334"/>
        <v>819</v>
      </c>
      <c r="IN98" s="54">
        <f t="shared" si="334"/>
        <v>409747</v>
      </c>
      <c r="IO98" s="54">
        <f t="shared" si="334"/>
        <v>616895</v>
      </c>
      <c r="IP98" s="54">
        <f t="shared" si="334"/>
        <v>1551</v>
      </c>
      <c r="IQ98" s="54">
        <f t="shared" si="334"/>
        <v>1080</v>
      </c>
      <c r="IR98" s="54">
        <f t="shared" si="334"/>
        <v>890</v>
      </c>
      <c r="IS98" s="54">
        <f t="shared" si="334"/>
        <v>8865</v>
      </c>
      <c r="IT98" s="54">
        <f t="shared" si="334"/>
        <v>101712</v>
      </c>
      <c r="IU98" s="54">
        <f t="shared" si="334"/>
        <v>134287</v>
      </c>
      <c r="IV98" s="54">
        <f t="shared" si="334"/>
        <v>439375</v>
      </c>
      <c r="IW98" s="54">
        <f t="shared" si="334"/>
        <v>138825</v>
      </c>
      <c r="IX98" s="54">
        <f t="shared" si="334"/>
        <v>73642</v>
      </c>
      <c r="IY98" s="54">
        <f t="shared" si="334"/>
        <v>274393</v>
      </c>
      <c r="IZ98" s="54">
        <f t="shared" si="334"/>
        <v>1905808</v>
      </c>
      <c r="JA98" s="54">
        <f t="shared" si="334"/>
        <v>3316579</v>
      </c>
      <c r="JB98" s="54">
        <f t="shared" si="334"/>
        <v>12538482</v>
      </c>
      <c r="JC98" s="54">
        <f t="shared" si="334"/>
        <v>4250476</v>
      </c>
      <c r="JD98" s="54">
        <f t="shared" ref="JD98:JS98" si="335">MEDIAN(JD3:JD92)</f>
        <v>2254038</v>
      </c>
      <c r="JE98" s="54">
        <f t="shared" si="335"/>
        <v>9536617</v>
      </c>
      <c r="JF98" s="54">
        <f t="shared" si="335"/>
        <v>16820415</v>
      </c>
      <c r="JG98" s="54">
        <f t="shared" si="335"/>
        <v>51074653.5</v>
      </c>
      <c r="JH98" s="54">
        <f t="shared" si="335"/>
        <v>0</v>
      </c>
      <c r="JI98" s="54">
        <f t="shared" si="335"/>
        <v>0</v>
      </c>
      <c r="JJ98" s="54">
        <f t="shared" si="335"/>
        <v>0</v>
      </c>
      <c r="JK98" s="54">
        <f t="shared" si="335"/>
        <v>0</v>
      </c>
      <c r="JL98" s="54">
        <f t="shared" si="335"/>
        <v>0</v>
      </c>
      <c r="JM98" s="54">
        <f t="shared" si="335"/>
        <v>0</v>
      </c>
      <c r="JN98" s="54">
        <f t="shared" si="335"/>
        <v>12538482</v>
      </c>
      <c r="JO98" s="54">
        <f t="shared" si="335"/>
        <v>4155049</v>
      </c>
      <c r="JP98" s="54">
        <f t="shared" si="335"/>
        <v>2254038</v>
      </c>
      <c r="JQ98" s="54">
        <f t="shared" si="335"/>
        <v>9536617</v>
      </c>
      <c r="JR98" s="54">
        <f t="shared" si="335"/>
        <v>16820415</v>
      </c>
      <c r="JS98" s="54">
        <f t="shared" si="335"/>
        <v>50500358</v>
      </c>
    </row>
    <row r="99" spans="1:279" x14ac:dyDescent="0.15">
      <c r="A99" s="18" t="s">
        <v>472</v>
      </c>
      <c r="B99" s="4"/>
      <c r="C99" s="106"/>
      <c r="D99" s="106"/>
      <c r="E99" s="106"/>
      <c r="F99" s="106"/>
      <c r="G99" s="107" t="e">
        <f>MODE(G3:G92)</f>
        <v>#N/A</v>
      </c>
      <c r="H99" s="107" t="e">
        <f t="shared" ref="H99:BS99" si="336">MODE(H3:H92)</f>
        <v>#N/A</v>
      </c>
      <c r="I99" s="108" t="e">
        <f t="shared" si="336"/>
        <v>#N/A</v>
      </c>
      <c r="J99" s="108" t="e">
        <f t="shared" si="336"/>
        <v>#N/A</v>
      </c>
      <c r="K99" s="108">
        <f>MODE(K3:K92)</f>
        <v>0</v>
      </c>
      <c r="L99" s="108" t="e">
        <f t="shared" si="336"/>
        <v>#N/A</v>
      </c>
      <c r="M99" s="108" t="e">
        <f t="shared" si="336"/>
        <v>#N/A</v>
      </c>
      <c r="N99" s="108" t="e">
        <f t="shared" si="336"/>
        <v>#N/A</v>
      </c>
      <c r="O99" s="108">
        <f t="shared" si="336"/>
        <v>0</v>
      </c>
      <c r="P99" s="108" t="e">
        <f t="shared" si="336"/>
        <v>#N/A</v>
      </c>
      <c r="Q99" s="108" t="e">
        <f t="shared" si="336"/>
        <v>#N/A</v>
      </c>
      <c r="R99" s="108" t="e">
        <f t="shared" si="336"/>
        <v>#N/A</v>
      </c>
      <c r="S99" s="108" t="e">
        <f t="shared" si="336"/>
        <v>#N/A</v>
      </c>
      <c r="T99" s="108" t="e">
        <f t="shared" si="336"/>
        <v>#N/A</v>
      </c>
      <c r="U99" s="108" t="e">
        <f t="shared" si="336"/>
        <v>#N/A</v>
      </c>
      <c r="V99" s="108" t="e">
        <f t="shared" si="336"/>
        <v>#N/A</v>
      </c>
      <c r="W99" s="108" t="e">
        <f t="shared" si="336"/>
        <v>#N/A</v>
      </c>
      <c r="X99" s="108" t="e">
        <f t="shared" si="336"/>
        <v>#N/A</v>
      </c>
      <c r="Y99" s="108" t="e">
        <f t="shared" si="336"/>
        <v>#N/A</v>
      </c>
      <c r="Z99" s="108" t="e">
        <f t="shared" si="336"/>
        <v>#N/A</v>
      </c>
      <c r="AA99" s="108">
        <f t="shared" si="336"/>
        <v>34310</v>
      </c>
      <c r="AB99" s="108" t="e">
        <f t="shared" si="336"/>
        <v>#N/A</v>
      </c>
      <c r="AC99" s="131">
        <f t="shared" si="336"/>
        <v>9</v>
      </c>
      <c r="AD99" s="131">
        <f t="shared" si="336"/>
        <v>10</v>
      </c>
      <c r="AE99" s="131">
        <f t="shared" si="336"/>
        <v>0</v>
      </c>
      <c r="AF99" s="26" t="e">
        <f t="shared" si="336"/>
        <v>#N/A</v>
      </c>
      <c r="AG99" s="26" t="e">
        <f t="shared" si="336"/>
        <v>#N/A</v>
      </c>
      <c r="AH99" s="26" t="e">
        <f t="shared" si="336"/>
        <v>#N/A</v>
      </c>
      <c r="AI99" s="26" t="e">
        <f t="shared" si="336"/>
        <v>#N/A</v>
      </c>
      <c r="AJ99" s="26" t="e">
        <f t="shared" si="336"/>
        <v>#N/A</v>
      </c>
      <c r="AK99" s="36">
        <f t="shared" si="336"/>
        <v>6</v>
      </c>
      <c r="AL99" s="26" t="e">
        <f t="shared" si="336"/>
        <v>#N/A</v>
      </c>
      <c r="AM99" s="36">
        <f t="shared" si="336"/>
        <v>7</v>
      </c>
      <c r="AN99" s="26" t="e">
        <f t="shared" si="336"/>
        <v>#N/A</v>
      </c>
      <c r="AO99" s="36">
        <f t="shared" si="336"/>
        <v>8</v>
      </c>
      <c r="AP99" s="26" t="e">
        <f t="shared" si="336"/>
        <v>#N/A</v>
      </c>
      <c r="AQ99" s="36">
        <f t="shared" si="336"/>
        <v>8</v>
      </c>
      <c r="AR99" s="26" t="e">
        <f t="shared" si="336"/>
        <v>#N/A</v>
      </c>
      <c r="AS99" s="36">
        <f t="shared" si="336"/>
        <v>20</v>
      </c>
      <c r="AT99" s="26" t="e">
        <f t="shared" si="336"/>
        <v>#N/A</v>
      </c>
      <c r="AU99" s="36">
        <f t="shared" si="336"/>
        <v>18</v>
      </c>
      <c r="AV99" s="26" t="e">
        <f t="shared" si="336"/>
        <v>#N/A</v>
      </c>
      <c r="AW99" s="36">
        <f t="shared" si="336"/>
        <v>17</v>
      </c>
      <c r="AX99" s="26" t="e">
        <f t="shared" si="336"/>
        <v>#N/A</v>
      </c>
      <c r="AY99" s="36">
        <f t="shared" si="336"/>
        <v>16</v>
      </c>
      <c r="AZ99" s="54" t="e">
        <f t="shared" si="336"/>
        <v>#N/A</v>
      </c>
      <c r="BA99" s="54" t="e">
        <f>MODE(BA3:BA92)</f>
        <v>#N/A</v>
      </c>
      <c r="BB99" s="54" t="e">
        <f t="shared" si="336"/>
        <v>#N/A</v>
      </c>
      <c r="BC99" s="54">
        <f t="shared" si="336"/>
        <v>0</v>
      </c>
      <c r="BD99" s="54">
        <f t="shared" si="336"/>
        <v>0</v>
      </c>
      <c r="BE99" s="54" t="e">
        <f t="shared" si="336"/>
        <v>#N/A</v>
      </c>
      <c r="BF99" s="54">
        <f t="shared" si="336"/>
        <v>0</v>
      </c>
      <c r="BG99" s="54">
        <f t="shared" si="336"/>
        <v>0</v>
      </c>
      <c r="BH99" s="54">
        <f t="shared" si="336"/>
        <v>0</v>
      </c>
      <c r="BI99" s="54">
        <f t="shared" si="336"/>
        <v>0</v>
      </c>
      <c r="BJ99" s="54">
        <f t="shared" si="336"/>
        <v>0</v>
      </c>
      <c r="BK99" s="54">
        <f t="shared" si="336"/>
        <v>0</v>
      </c>
      <c r="BL99" s="54">
        <f t="shared" si="336"/>
        <v>0</v>
      </c>
      <c r="BM99" s="54">
        <f t="shared" si="336"/>
        <v>0</v>
      </c>
      <c r="BN99" s="54">
        <f t="shared" si="336"/>
        <v>0</v>
      </c>
      <c r="BO99" s="54">
        <f t="shared" si="336"/>
        <v>0</v>
      </c>
      <c r="BP99" s="54">
        <f t="shared" si="336"/>
        <v>0</v>
      </c>
      <c r="BQ99" s="54" t="e">
        <f t="shared" si="336"/>
        <v>#N/A</v>
      </c>
      <c r="BR99" s="54">
        <f t="shared" si="336"/>
        <v>0</v>
      </c>
      <c r="BS99" s="54">
        <f t="shared" si="336"/>
        <v>0</v>
      </c>
      <c r="BT99" s="54">
        <f t="shared" ref="BT99:EE99" si="337">MODE(BT3:BT92)</f>
        <v>0</v>
      </c>
      <c r="BU99" s="54">
        <f t="shared" si="337"/>
        <v>0</v>
      </c>
      <c r="BV99" s="54">
        <f t="shared" si="337"/>
        <v>0</v>
      </c>
      <c r="BW99" s="54" t="e">
        <f t="shared" si="337"/>
        <v>#N/A</v>
      </c>
      <c r="BX99" s="54">
        <f t="shared" si="337"/>
        <v>0</v>
      </c>
      <c r="BY99" s="54">
        <f t="shared" si="337"/>
        <v>0</v>
      </c>
      <c r="BZ99" s="54">
        <f t="shared" si="337"/>
        <v>0</v>
      </c>
      <c r="CA99" s="54">
        <f t="shared" si="337"/>
        <v>0</v>
      </c>
      <c r="CB99" s="54">
        <f t="shared" si="337"/>
        <v>0</v>
      </c>
      <c r="CC99" s="54">
        <f t="shared" si="337"/>
        <v>0</v>
      </c>
      <c r="CD99" s="54">
        <f t="shared" si="337"/>
        <v>0</v>
      </c>
      <c r="CE99" s="54">
        <f t="shared" si="337"/>
        <v>0</v>
      </c>
      <c r="CF99" s="54">
        <f t="shared" si="337"/>
        <v>0</v>
      </c>
      <c r="CG99" s="54">
        <f t="shared" si="337"/>
        <v>0</v>
      </c>
      <c r="CH99" s="54">
        <f t="shared" si="337"/>
        <v>0</v>
      </c>
      <c r="CI99" s="54">
        <f t="shared" si="337"/>
        <v>0</v>
      </c>
      <c r="CJ99" s="54">
        <f t="shared" si="337"/>
        <v>0</v>
      </c>
      <c r="CK99" s="54">
        <f t="shared" si="337"/>
        <v>0</v>
      </c>
      <c r="CL99" s="54">
        <f t="shared" si="337"/>
        <v>0</v>
      </c>
      <c r="CM99" s="54">
        <f t="shared" si="337"/>
        <v>0</v>
      </c>
      <c r="CN99" s="54">
        <f t="shared" si="337"/>
        <v>0</v>
      </c>
      <c r="CO99" s="54">
        <f t="shared" si="337"/>
        <v>0</v>
      </c>
      <c r="CP99" s="54">
        <f t="shared" si="337"/>
        <v>0</v>
      </c>
      <c r="CQ99" s="54">
        <f t="shared" si="337"/>
        <v>0</v>
      </c>
      <c r="CR99" s="54">
        <f t="shared" si="337"/>
        <v>0</v>
      </c>
      <c r="CS99" s="54">
        <f t="shared" si="337"/>
        <v>0</v>
      </c>
      <c r="CT99" s="54">
        <f t="shared" si="337"/>
        <v>0</v>
      </c>
      <c r="CU99" s="54">
        <f t="shared" si="337"/>
        <v>0</v>
      </c>
      <c r="CV99" s="54">
        <f t="shared" si="337"/>
        <v>0</v>
      </c>
      <c r="CW99" s="54">
        <f t="shared" si="337"/>
        <v>0</v>
      </c>
      <c r="CX99" s="54">
        <f t="shared" si="337"/>
        <v>0</v>
      </c>
      <c r="CY99" s="54">
        <f t="shared" si="337"/>
        <v>0</v>
      </c>
      <c r="CZ99" s="54">
        <f t="shared" si="337"/>
        <v>0</v>
      </c>
      <c r="DA99" s="54" t="e">
        <f t="shared" si="337"/>
        <v>#N/A</v>
      </c>
      <c r="DB99" s="54">
        <f t="shared" si="337"/>
        <v>0</v>
      </c>
      <c r="DC99" s="54">
        <f t="shared" si="337"/>
        <v>0</v>
      </c>
      <c r="DD99" s="54">
        <f t="shared" si="337"/>
        <v>0</v>
      </c>
      <c r="DE99" s="54">
        <f t="shared" si="337"/>
        <v>0</v>
      </c>
      <c r="DF99" s="54">
        <f t="shared" si="337"/>
        <v>0</v>
      </c>
      <c r="DG99" s="54">
        <f t="shared" si="337"/>
        <v>0</v>
      </c>
      <c r="DH99" s="54">
        <f t="shared" si="337"/>
        <v>0</v>
      </c>
      <c r="DI99" s="54">
        <f t="shared" si="337"/>
        <v>0</v>
      </c>
      <c r="DJ99" s="54">
        <f t="shared" si="337"/>
        <v>0</v>
      </c>
      <c r="DK99" s="54">
        <f t="shared" si="337"/>
        <v>0</v>
      </c>
      <c r="DL99" s="54">
        <f t="shared" si="337"/>
        <v>0</v>
      </c>
      <c r="DM99" s="54" t="e">
        <f t="shared" si="337"/>
        <v>#N/A</v>
      </c>
      <c r="DN99" s="54">
        <f t="shared" si="337"/>
        <v>0</v>
      </c>
      <c r="DO99" s="54">
        <f t="shared" si="337"/>
        <v>0</v>
      </c>
      <c r="DP99" s="54">
        <f t="shared" si="337"/>
        <v>0</v>
      </c>
      <c r="DQ99" s="54">
        <f t="shared" si="337"/>
        <v>0</v>
      </c>
      <c r="DR99" s="54">
        <f t="shared" si="337"/>
        <v>0</v>
      </c>
      <c r="DS99" s="54" t="e">
        <f t="shared" si="337"/>
        <v>#N/A</v>
      </c>
      <c r="DT99" s="54">
        <f t="shared" si="337"/>
        <v>0</v>
      </c>
      <c r="DU99" s="54">
        <f t="shared" si="337"/>
        <v>0</v>
      </c>
      <c r="DV99" s="54">
        <f t="shared" si="337"/>
        <v>0</v>
      </c>
      <c r="DW99" s="54">
        <f t="shared" si="337"/>
        <v>0</v>
      </c>
      <c r="DX99" s="54">
        <f t="shared" si="337"/>
        <v>0</v>
      </c>
      <c r="DY99" s="54">
        <f t="shared" si="337"/>
        <v>0</v>
      </c>
      <c r="DZ99" s="54">
        <f t="shared" si="337"/>
        <v>0</v>
      </c>
      <c r="EA99" s="54">
        <f t="shared" si="337"/>
        <v>0</v>
      </c>
      <c r="EB99" s="54">
        <f t="shared" si="337"/>
        <v>0</v>
      </c>
      <c r="EC99" s="54">
        <f t="shared" si="337"/>
        <v>0</v>
      </c>
      <c r="ED99" s="54">
        <f t="shared" si="337"/>
        <v>0</v>
      </c>
      <c r="EE99" s="54">
        <f t="shared" si="337"/>
        <v>0</v>
      </c>
      <c r="EF99" s="54">
        <f t="shared" ref="EF99:GQ99" si="338">MODE(EF3:EF92)</f>
        <v>0</v>
      </c>
      <c r="EG99" s="54">
        <f t="shared" si="338"/>
        <v>0</v>
      </c>
      <c r="EH99" s="54">
        <f t="shared" si="338"/>
        <v>0</v>
      </c>
      <c r="EI99" s="54">
        <f t="shared" si="338"/>
        <v>0</v>
      </c>
      <c r="EJ99" s="54">
        <f t="shared" si="338"/>
        <v>0</v>
      </c>
      <c r="EK99" s="54">
        <f t="shared" si="338"/>
        <v>0</v>
      </c>
      <c r="EL99" s="54" t="e">
        <f t="shared" ref="EL99:EQ99" si="339">MODE(EL3:EL92)</f>
        <v>#N/A</v>
      </c>
      <c r="EM99" s="54" t="e">
        <f t="shared" si="339"/>
        <v>#N/A</v>
      </c>
      <c r="EN99" s="54" t="e">
        <f t="shared" si="339"/>
        <v>#N/A</v>
      </c>
      <c r="EO99" s="54" t="e">
        <f t="shared" si="339"/>
        <v>#N/A</v>
      </c>
      <c r="EP99" s="54" t="e">
        <f t="shared" si="339"/>
        <v>#N/A</v>
      </c>
      <c r="EQ99" s="54" t="e">
        <f t="shared" si="339"/>
        <v>#N/A</v>
      </c>
      <c r="ER99" s="54" t="e">
        <f t="shared" si="338"/>
        <v>#N/A</v>
      </c>
      <c r="ES99" s="54" t="e">
        <f t="shared" si="338"/>
        <v>#N/A</v>
      </c>
      <c r="ET99" s="54" t="e">
        <f t="shared" si="338"/>
        <v>#N/A</v>
      </c>
      <c r="EU99" s="54" t="e">
        <f t="shared" si="338"/>
        <v>#N/A</v>
      </c>
      <c r="EV99" s="54">
        <f t="shared" si="338"/>
        <v>0</v>
      </c>
      <c r="EW99" s="54" t="e">
        <f t="shared" si="338"/>
        <v>#N/A</v>
      </c>
      <c r="EX99" s="54">
        <f t="shared" si="338"/>
        <v>400000</v>
      </c>
      <c r="EY99" s="54">
        <f t="shared" si="338"/>
        <v>0</v>
      </c>
      <c r="EZ99" s="54">
        <f t="shared" si="338"/>
        <v>0</v>
      </c>
      <c r="FA99" s="54">
        <f t="shared" si="338"/>
        <v>0</v>
      </c>
      <c r="FB99" s="54">
        <f t="shared" si="338"/>
        <v>0</v>
      </c>
      <c r="FC99" s="54" t="e">
        <f t="shared" si="338"/>
        <v>#N/A</v>
      </c>
      <c r="FD99" s="54" t="e">
        <f t="shared" si="338"/>
        <v>#N/A</v>
      </c>
      <c r="FE99" s="54" t="e">
        <f t="shared" si="338"/>
        <v>#N/A</v>
      </c>
      <c r="FF99" s="54" t="e">
        <f t="shared" si="338"/>
        <v>#N/A</v>
      </c>
      <c r="FG99" s="54" t="e">
        <f t="shared" si="338"/>
        <v>#N/A</v>
      </c>
      <c r="FH99" s="54">
        <f t="shared" si="338"/>
        <v>0</v>
      </c>
      <c r="FI99" s="54" t="e">
        <f t="shared" si="338"/>
        <v>#N/A</v>
      </c>
      <c r="FJ99" s="54">
        <f t="shared" si="338"/>
        <v>0</v>
      </c>
      <c r="FK99" s="54">
        <f t="shared" si="338"/>
        <v>0</v>
      </c>
      <c r="FL99" s="54">
        <f t="shared" si="338"/>
        <v>0</v>
      </c>
      <c r="FM99" s="54">
        <f t="shared" si="338"/>
        <v>0</v>
      </c>
      <c r="FN99" s="54">
        <f t="shared" si="338"/>
        <v>0</v>
      </c>
      <c r="FO99" s="54">
        <f t="shared" si="338"/>
        <v>0</v>
      </c>
      <c r="FP99" s="54">
        <f t="shared" si="338"/>
        <v>0</v>
      </c>
      <c r="FQ99" s="54">
        <f t="shared" si="338"/>
        <v>0</v>
      </c>
      <c r="FR99" s="54">
        <f t="shared" si="338"/>
        <v>0</v>
      </c>
      <c r="FS99" s="54">
        <f t="shared" si="338"/>
        <v>0</v>
      </c>
      <c r="FT99" s="54" t="e">
        <f t="shared" si="338"/>
        <v>#N/A</v>
      </c>
      <c r="FU99" s="54" t="e">
        <f t="shared" si="338"/>
        <v>#N/A</v>
      </c>
      <c r="FV99" s="54">
        <f t="shared" si="338"/>
        <v>0</v>
      </c>
      <c r="FW99" s="54">
        <f t="shared" si="338"/>
        <v>0</v>
      </c>
      <c r="FX99" s="54">
        <f t="shared" si="338"/>
        <v>0</v>
      </c>
      <c r="FY99" s="54">
        <f t="shared" si="338"/>
        <v>0</v>
      </c>
      <c r="FZ99" s="54">
        <f t="shared" si="338"/>
        <v>0</v>
      </c>
      <c r="GA99" s="54">
        <f t="shared" si="338"/>
        <v>0</v>
      </c>
      <c r="GB99" s="54">
        <f t="shared" si="338"/>
        <v>0</v>
      </c>
      <c r="GC99" s="54">
        <f t="shared" si="338"/>
        <v>0</v>
      </c>
      <c r="GD99" s="54">
        <f t="shared" si="338"/>
        <v>0</v>
      </c>
      <c r="GE99" s="54">
        <f t="shared" si="338"/>
        <v>0</v>
      </c>
      <c r="GF99" s="54">
        <f t="shared" si="338"/>
        <v>0</v>
      </c>
      <c r="GG99" s="54">
        <f t="shared" si="338"/>
        <v>0</v>
      </c>
      <c r="GH99" s="54" t="e">
        <f t="shared" si="338"/>
        <v>#N/A</v>
      </c>
      <c r="GI99" s="54" t="e">
        <f t="shared" si="338"/>
        <v>#N/A</v>
      </c>
      <c r="GJ99" s="54" t="e">
        <f t="shared" si="338"/>
        <v>#N/A</v>
      </c>
      <c r="GK99" s="54" t="e">
        <f t="shared" si="338"/>
        <v>#N/A</v>
      </c>
      <c r="GL99" s="54">
        <f t="shared" si="338"/>
        <v>0</v>
      </c>
      <c r="GM99" s="54" t="e">
        <f t="shared" si="338"/>
        <v>#N/A</v>
      </c>
      <c r="GN99" s="54" t="e">
        <f t="shared" si="338"/>
        <v>#N/A</v>
      </c>
      <c r="GO99" s="54" t="e">
        <f t="shared" si="338"/>
        <v>#N/A</v>
      </c>
      <c r="GP99" s="54" t="e">
        <f t="shared" si="338"/>
        <v>#N/A</v>
      </c>
      <c r="GQ99" s="54" t="e">
        <f t="shared" si="338"/>
        <v>#N/A</v>
      </c>
      <c r="GR99" s="54">
        <f t="shared" ref="GR99:JC99" si="340">MODE(GR3:GR92)</f>
        <v>0</v>
      </c>
      <c r="GS99" s="54" t="e">
        <f t="shared" si="340"/>
        <v>#N/A</v>
      </c>
      <c r="GT99" s="54" t="e">
        <f t="shared" si="340"/>
        <v>#N/A</v>
      </c>
      <c r="GU99" s="54" t="e">
        <f t="shared" si="340"/>
        <v>#N/A</v>
      </c>
      <c r="GV99" s="54" t="e">
        <f t="shared" si="340"/>
        <v>#N/A</v>
      </c>
      <c r="GW99" s="54" t="e">
        <f t="shared" si="340"/>
        <v>#N/A</v>
      </c>
      <c r="GX99" s="54">
        <f t="shared" si="340"/>
        <v>0</v>
      </c>
      <c r="GY99" s="54" t="e">
        <f t="shared" si="340"/>
        <v>#N/A</v>
      </c>
      <c r="GZ99" s="54" t="e">
        <f t="shared" si="340"/>
        <v>#N/A</v>
      </c>
      <c r="HA99" s="54">
        <f t="shared" si="340"/>
        <v>0</v>
      </c>
      <c r="HB99" s="54">
        <f t="shared" si="340"/>
        <v>0</v>
      </c>
      <c r="HC99" s="54">
        <f t="shared" si="340"/>
        <v>0</v>
      </c>
      <c r="HD99" s="54">
        <f t="shared" si="340"/>
        <v>0</v>
      </c>
      <c r="HE99" s="54" t="e">
        <f t="shared" si="340"/>
        <v>#N/A</v>
      </c>
      <c r="HF99" s="54">
        <f t="shared" si="340"/>
        <v>0</v>
      </c>
      <c r="HG99" s="54">
        <f t="shared" si="340"/>
        <v>0</v>
      </c>
      <c r="HH99" s="54">
        <f t="shared" si="340"/>
        <v>0</v>
      </c>
      <c r="HI99" s="54">
        <f t="shared" si="340"/>
        <v>0</v>
      </c>
      <c r="HJ99" s="54">
        <f t="shared" si="340"/>
        <v>0</v>
      </c>
      <c r="HK99" s="54" t="e">
        <f t="shared" si="340"/>
        <v>#N/A</v>
      </c>
      <c r="HL99" s="54">
        <f t="shared" si="340"/>
        <v>0</v>
      </c>
      <c r="HM99" s="54">
        <f t="shared" si="340"/>
        <v>0</v>
      </c>
      <c r="HN99" s="54">
        <f t="shared" si="340"/>
        <v>0</v>
      </c>
      <c r="HO99" s="54">
        <f t="shared" si="340"/>
        <v>0</v>
      </c>
      <c r="HP99" s="54">
        <f t="shared" si="340"/>
        <v>0</v>
      </c>
      <c r="HQ99" s="54">
        <f t="shared" si="340"/>
        <v>0</v>
      </c>
      <c r="HR99" s="54">
        <f t="shared" si="340"/>
        <v>0</v>
      </c>
      <c r="HS99" s="54">
        <f t="shared" si="340"/>
        <v>0</v>
      </c>
      <c r="HT99" s="54">
        <f t="shared" si="340"/>
        <v>0</v>
      </c>
      <c r="HU99" s="54">
        <f t="shared" si="340"/>
        <v>0</v>
      </c>
      <c r="HV99" s="54">
        <f t="shared" si="340"/>
        <v>0</v>
      </c>
      <c r="HW99" s="54" t="e">
        <f t="shared" si="340"/>
        <v>#N/A</v>
      </c>
      <c r="HX99" s="54">
        <f t="shared" si="340"/>
        <v>0</v>
      </c>
      <c r="HY99" s="54">
        <f t="shared" si="340"/>
        <v>0</v>
      </c>
      <c r="HZ99" s="54">
        <f t="shared" si="340"/>
        <v>0</v>
      </c>
      <c r="IA99" s="54">
        <f t="shared" si="340"/>
        <v>0</v>
      </c>
      <c r="IB99" s="54">
        <f t="shared" si="340"/>
        <v>0</v>
      </c>
      <c r="IC99" s="54">
        <f t="shared" si="340"/>
        <v>0</v>
      </c>
      <c r="ID99" s="54">
        <f t="shared" si="340"/>
        <v>0</v>
      </c>
      <c r="IE99" s="54">
        <f t="shared" si="340"/>
        <v>0</v>
      </c>
      <c r="IF99" s="54">
        <f t="shared" si="340"/>
        <v>0</v>
      </c>
      <c r="IG99" s="54">
        <f t="shared" si="340"/>
        <v>0</v>
      </c>
      <c r="IH99" s="54">
        <f t="shared" si="340"/>
        <v>0</v>
      </c>
      <c r="II99" s="54">
        <f t="shared" si="340"/>
        <v>0</v>
      </c>
      <c r="IJ99" s="54">
        <f t="shared" si="340"/>
        <v>0</v>
      </c>
      <c r="IK99" s="54">
        <f t="shared" si="340"/>
        <v>0</v>
      </c>
      <c r="IL99" s="54">
        <f t="shared" si="340"/>
        <v>0</v>
      </c>
      <c r="IM99" s="54">
        <f t="shared" si="340"/>
        <v>0</v>
      </c>
      <c r="IN99" s="54">
        <f t="shared" si="340"/>
        <v>0</v>
      </c>
      <c r="IO99" s="54" t="e">
        <f t="shared" si="340"/>
        <v>#N/A</v>
      </c>
      <c r="IP99" s="54">
        <f t="shared" si="340"/>
        <v>0</v>
      </c>
      <c r="IQ99" s="54">
        <f t="shared" si="340"/>
        <v>0</v>
      </c>
      <c r="IR99" s="54">
        <f t="shared" si="340"/>
        <v>0</v>
      </c>
      <c r="IS99" s="54">
        <f t="shared" si="340"/>
        <v>0</v>
      </c>
      <c r="IT99" s="54">
        <f t="shared" si="340"/>
        <v>0</v>
      </c>
      <c r="IU99" s="54" t="e">
        <f t="shared" si="340"/>
        <v>#N/A</v>
      </c>
      <c r="IV99" s="54">
        <f t="shared" si="340"/>
        <v>0</v>
      </c>
      <c r="IW99" s="54">
        <f t="shared" si="340"/>
        <v>0</v>
      </c>
      <c r="IX99" s="54">
        <f t="shared" si="340"/>
        <v>0</v>
      </c>
      <c r="IY99" s="54">
        <f t="shared" si="340"/>
        <v>0</v>
      </c>
      <c r="IZ99" s="54" t="e">
        <f t="shared" si="340"/>
        <v>#N/A</v>
      </c>
      <c r="JA99" s="54" t="e">
        <f t="shared" si="340"/>
        <v>#N/A</v>
      </c>
      <c r="JB99" s="54" t="e">
        <f t="shared" si="340"/>
        <v>#N/A</v>
      </c>
      <c r="JC99" s="54" t="e">
        <f t="shared" si="340"/>
        <v>#N/A</v>
      </c>
      <c r="JD99" s="54" t="e">
        <f t="shared" ref="JD99:JS99" si="341">MODE(JD3:JD92)</f>
        <v>#N/A</v>
      </c>
      <c r="JE99" s="54" t="e">
        <f t="shared" si="341"/>
        <v>#N/A</v>
      </c>
      <c r="JF99" s="54" t="e">
        <f t="shared" si="341"/>
        <v>#N/A</v>
      </c>
      <c r="JG99" s="54" t="e">
        <f t="shared" si="341"/>
        <v>#N/A</v>
      </c>
      <c r="JH99" s="54">
        <f t="shared" si="341"/>
        <v>0</v>
      </c>
      <c r="JI99" s="54">
        <f t="shared" si="341"/>
        <v>0</v>
      </c>
      <c r="JJ99" s="54">
        <f t="shared" si="341"/>
        <v>0</v>
      </c>
      <c r="JK99" s="54">
        <f t="shared" si="341"/>
        <v>0</v>
      </c>
      <c r="JL99" s="54">
        <f t="shared" si="341"/>
        <v>0</v>
      </c>
      <c r="JM99" s="54">
        <f t="shared" si="341"/>
        <v>0</v>
      </c>
      <c r="JN99" s="54" t="e">
        <f t="shared" si="341"/>
        <v>#N/A</v>
      </c>
      <c r="JO99" s="54" t="e">
        <f t="shared" si="341"/>
        <v>#N/A</v>
      </c>
      <c r="JP99" s="54" t="e">
        <f t="shared" si="341"/>
        <v>#N/A</v>
      </c>
      <c r="JQ99" s="54" t="e">
        <f t="shared" si="341"/>
        <v>#N/A</v>
      </c>
      <c r="JR99" s="54" t="e">
        <f t="shared" si="341"/>
        <v>#N/A</v>
      </c>
      <c r="JS99" s="54" t="e">
        <f t="shared" si="341"/>
        <v>#N/A</v>
      </c>
    </row>
    <row r="100" spans="1:279" x14ac:dyDescent="0.15">
      <c r="A100" s="31" t="s">
        <v>473</v>
      </c>
      <c r="B100" s="21"/>
      <c r="C100" s="110"/>
      <c r="D100" s="110"/>
      <c r="E100" s="110"/>
      <c r="F100" s="110"/>
      <c r="G100" s="107">
        <f>STDEV(G3:G92)</f>
        <v>3997.3281769698656</v>
      </c>
      <c r="H100" s="107">
        <f t="shared" ref="H100:BS100" si="342">STDEV(H3:H92)</f>
        <v>3983.678499930008</v>
      </c>
      <c r="I100" s="108">
        <f t="shared" si="342"/>
        <v>961181188.37752831</v>
      </c>
      <c r="J100" s="108">
        <f t="shared" si="342"/>
        <v>174332366.25115776</v>
      </c>
      <c r="K100" s="108">
        <f>STDEV(K3:K92)</f>
        <v>12830048.606007779</v>
      </c>
      <c r="L100" s="108" t="e">
        <f t="shared" si="342"/>
        <v>#DIV/0!</v>
      </c>
      <c r="M100" s="108">
        <f t="shared" si="342"/>
        <v>64179977.636558548</v>
      </c>
      <c r="N100" s="108" t="e">
        <f t="shared" si="342"/>
        <v>#DIV/0!</v>
      </c>
      <c r="O100" s="108">
        <f t="shared" si="342"/>
        <v>73672521.803577915</v>
      </c>
      <c r="P100" s="108" t="e">
        <f t="shared" si="342"/>
        <v>#DIV/0!</v>
      </c>
      <c r="Q100" s="108">
        <f t="shared" si="342"/>
        <v>404300541.16332418</v>
      </c>
      <c r="R100" s="108" t="e">
        <f t="shared" si="342"/>
        <v>#DIV/0!</v>
      </c>
      <c r="S100" s="108">
        <f t="shared" si="342"/>
        <v>1462005774.3975608</v>
      </c>
      <c r="T100" s="108">
        <f t="shared" si="342"/>
        <v>67198208.949537694</v>
      </c>
      <c r="U100" s="108">
        <f t="shared" si="342"/>
        <v>3317.8764601483681</v>
      </c>
      <c r="V100" s="108">
        <f t="shared" si="342"/>
        <v>6270.2146959520705</v>
      </c>
      <c r="W100" s="108">
        <f t="shared" si="342"/>
        <v>6435.2825531637891</v>
      </c>
      <c r="X100" s="108">
        <f t="shared" si="342"/>
        <v>8983.1849585767741</v>
      </c>
      <c r="Y100" s="108">
        <f t="shared" si="342"/>
        <v>3321.9508423565617</v>
      </c>
      <c r="Z100" s="108">
        <f t="shared" si="342"/>
        <v>6944.369733820341</v>
      </c>
      <c r="AA100" s="108">
        <f t="shared" si="342"/>
        <v>6610.5700094957056</v>
      </c>
      <c r="AB100" s="108">
        <f t="shared" si="342"/>
        <v>9789.0571728503692</v>
      </c>
      <c r="AC100" s="131">
        <f t="shared" si="342"/>
        <v>2.1666234510239302</v>
      </c>
      <c r="AD100" s="131">
        <f t="shared" si="342"/>
        <v>2.0608714203549807</v>
      </c>
      <c r="AE100" s="131">
        <f t="shared" si="342"/>
        <v>0.34037750264246341</v>
      </c>
      <c r="AF100" s="26">
        <f t="shared" si="342"/>
        <v>1386694.6175586621</v>
      </c>
      <c r="AG100" s="26">
        <f t="shared" si="342"/>
        <v>1253647.5699976673</v>
      </c>
      <c r="AH100" s="26">
        <f t="shared" si="342"/>
        <v>301007.3945394585</v>
      </c>
      <c r="AI100" s="26">
        <f t="shared" si="342"/>
        <v>359892.2277550486</v>
      </c>
      <c r="AJ100" s="26">
        <f t="shared" si="342"/>
        <v>1137258.7797486398</v>
      </c>
      <c r="AK100" s="36">
        <f t="shared" si="342"/>
        <v>2.0961274729932238</v>
      </c>
      <c r="AL100" s="26">
        <f t="shared" si="342"/>
        <v>332892.25447336747</v>
      </c>
      <c r="AM100" s="36">
        <f t="shared" si="342"/>
        <v>2.2685149050883817</v>
      </c>
      <c r="AN100" s="26">
        <f t="shared" si="342"/>
        <v>100090.86703426164</v>
      </c>
      <c r="AO100" s="36">
        <f t="shared" si="342"/>
        <v>2.1937812035370001</v>
      </c>
      <c r="AP100" s="26">
        <f t="shared" si="342"/>
        <v>67203.654140088474</v>
      </c>
      <c r="AQ100" s="36">
        <f t="shared" si="342"/>
        <v>2.3264313551128564</v>
      </c>
      <c r="AR100" s="26">
        <f t="shared" si="342"/>
        <v>163318.1441001409</v>
      </c>
      <c r="AS100" s="36">
        <f t="shared" si="342"/>
        <v>4.5787922012760109</v>
      </c>
      <c r="AT100" s="26">
        <f t="shared" si="342"/>
        <v>54362.415413745002</v>
      </c>
      <c r="AU100" s="36">
        <f t="shared" si="342"/>
        <v>5.4463450771670781</v>
      </c>
      <c r="AV100" s="26">
        <f t="shared" si="342"/>
        <v>43970.347218637929</v>
      </c>
      <c r="AW100" s="36">
        <f t="shared" si="342"/>
        <v>5.0071615459119387</v>
      </c>
      <c r="AX100" s="26">
        <f t="shared" si="342"/>
        <v>26105.805441844048</v>
      </c>
      <c r="AY100" s="36">
        <f t="shared" si="342"/>
        <v>5.9855167411266352</v>
      </c>
      <c r="AZ100" s="54">
        <f t="shared" si="342"/>
        <v>9861179.3434075695</v>
      </c>
      <c r="BA100" s="54">
        <f>STDEV(BA3:BA92)</f>
        <v>2871098.4697635942</v>
      </c>
      <c r="BB100" s="54">
        <f t="shared" si="342"/>
        <v>271921.97044208401</v>
      </c>
      <c r="BC100" s="54">
        <f t="shared" si="342"/>
        <v>845236.66425813886</v>
      </c>
      <c r="BD100" s="54">
        <f t="shared" si="342"/>
        <v>2076352.5274774705</v>
      </c>
      <c r="BE100" s="54">
        <f t="shared" si="342"/>
        <v>12479736.835574325</v>
      </c>
      <c r="BF100" s="54">
        <f t="shared" si="342"/>
        <v>1248666.9140050621</v>
      </c>
      <c r="BG100" s="54">
        <f t="shared" si="342"/>
        <v>315784.29277766694</v>
      </c>
      <c r="BH100" s="54">
        <f t="shared" si="342"/>
        <v>350325.33527281036</v>
      </c>
      <c r="BI100" s="54">
        <f t="shared" si="342"/>
        <v>1666320.1920330839</v>
      </c>
      <c r="BJ100" s="54">
        <f t="shared" si="342"/>
        <v>3669655.8425715081</v>
      </c>
      <c r="BK100" s="54">
        <f t="shared" si="342"/>
        <v>4317952.0172481611</v>
      </c>
      <c r="BL100" s="54">
        <f t="shared" si="342"/>
        <v>751638.01588871132</v>
      </c>
      <c r="BM100" s="54">
        <f t="shared" si="342"/>
        <v>122421.83850714978</v>
      </c>
      <c r="BN100" s="54">
        <f t="shared" si="342"/>
        <v>16663.908578983326</v>
      </c>
      <c r="BO100" s="54">
        <f t="shared" si="342"/>
        <v>42124.860372329596</v>
      </c>
      <c r="BP100" s="54">
        <f t="shared" si="342"/>
        <v>23015.626415351187</v>
      </c>
      <c r="BQ100" s="54">
        <f t="shared" si="342"/>
        <v>817627.32611369481</v>
      </c>
      <c r="BR100" s="54">
        <f t="shared" si="342"/>
        <v>7511495.522344864</v>
      </c>
      <c r="BS100" s="54">
        <f t="shared" si="342"/>
        <v>2303411.1556428466</v>
      </c>
      <c r="BT100" s="54">
        <f t="shared" ref="BT100:EE100" si="343">STDEV(BT3:BT92)</f>
        <v>221280.04381948579</v>
      </c>
      <c r="BU100" s="54">
        <f t="shared" si="343"/>
        <v>1433983.1922609445</v>
      </c>
      <c r="BV100" s="54">
        <f t="shared" si="343"/>
        <v>5844166.6562384702</v>
      </c>
      <c r="BW100" s="54">
        <f t="shared" si="343"/>
        <v>10414852.851463571</v>
      </c>
      <c r="BX100" s="54">
        <f t="shared" si="343"/>
        <v>406401.5441890441</v>
      </c>
      <c r="BY100" s="54">
        <f t="shared" si="343"/>
        <v>98023.856028339695</v>
      </c>
      <c r="BZ100" s="54">
        <f t="shared" si="343"/>
        <v>42845.365352362249</v>
      </c>
      <c r="CA100" s="54">
        <f t="shared" si="343"/>
        <v>54127.625783344891</v>
      </c>
      <c r="CB100" s="54">
        <f t="shared" si="343"/>
        <v>24121.093408096622</v>
      </c>
      <c r="CC100" s="54">
        <f t="shared" si="343"/>
        <v>525643.73624049441</v>
      </c>
      <c r="CD100" s="54">
        <f t="shared" si="343"/>
        <v>356859.93674420257</v>
      </c>
      <c r="CE100" s="54">
        <f t="shared" si="343"/>
        <v>36583.833085551065</v>
      </c>
      <c r="CF100" s="54">
        <f t="shared" si="343"/>
        <v>31644.076946584701</v>
      </c>
      <c r="CG100" s="54">
        <f t="shared" si="343"/>
        <v>147609.38956988932</v>
      </c>
      <c r="CH100" s="54">
        <f t="shared" si="343"/>
        <v>1081405.4459154925</v>
      </c>
      <c r="CI100" s="54">
        <f t="shared" si="343"/>
        <v>1222141.9126021697</v>
      </c>
      <c r="CJ100" s="54">
        <f t="shared" si="343"/>
        <v>796283.55184086005</v>
      </c>
      <c r="CK100" s="54">
        <f t="shared" si="343"/>
        <v>244792.92456941161</v>
      </c>
      <c r="CL100" s="54">
        <f t="shared" si="343"/>
        <v>308018.95094164414</v>
      </c>
      <c r="CM100" s="54">
        <f t="shared" si="343"/>
        <v>1612199.1020469326</v>
      </c>
      <c r="CN100" s="54">
        <f t="shared" si="343"/>
        <v>3752198.6320098126</v>
      </c>
      <c r="CO100" s="54">
        <f t="shared" si="343"/>
        <v>4706522.1993316393</v>
      </c>
      <c r="CP100" s="54">
        <f t="shared" si="343"/>
        <v>228327.39822389008</v>
      </c>
      <c r="CQ100" s="54">
        <f t="shared" si="343"/>
        <v>63220.109457425526</v>
      </c>
      <c r="CR100" s="54">
        <f t="shared" si="343"/>
        <v>52571.292065426162</v>
      </c>
      <c r="CS100" s="54">
        <f t="shared" si="343"/>
        <v>242121.67921055175</v>
      </c>
      <c r="CT100" s="54">
        <f t="shared" si="343"/>
        <v>1702363.3609762157</v>
      </c>
      <c r="CU100" s="54">
        <f t="shared" si="343"/>
        <v>1792498.6201266937</v>
      </c>
      <c r="CV100" s="54">
        <f t="shared" si="343"/>
        <v>5334243.4986150647</v>
      </c>
      <c r="CW100" s="54">
        <f t="shared" si="343"/>
        <v>2534230.7147736619</v>
      </c>
      <c r="CX100" s="54">
        <f t="shared" si="343"/>
        <v>107158.93015529767</v>
      </c>
      <c r="CY100" s="54">
        <f t="shared" si="343"/>
        <v>268445.44548190333</v>
      </c>
      <c r="CZ100" s="54">
        <f t="shared" si="343"/>
        <v>2374356.6750147189</v>
      </c>
      <c r="DA100" s="54">
        <f t="shared" si="343"/>
        <v>8229082.3092197552</v>
      </c>
      <c r="DB100" s="54">
        <f t="shared" si="343"/>
        <v>1758556.0708734235</v>
      </c>
      <c r="DC100" s="54">
        <f t="shared" si="343"/>
        <v>767369.66978339956</v>
      </c>
      <c r="DD100" s="54">
        <f t="shared" si="343"/>
        <v>139363.60343643403</v>
      </c>
      <c r="DE100" s="54">
        <f t="shared" si="343"/>
        <v>146570.59234717497</v>
      </c>
      <c r="DF100" s="54">
        <f t="shared" si="343"/>
        <v>1741122.4757048718</v>
      </c>
      <c r="DG100" s="54">
        <f t="shared" si="343"/>
        <v>2946074.8798687626</v>
      </c>
      <c r="DH100" s="54">
        <f t="shared" si="343"/>
        <v>800904.98631401989</v>
      </c>
      <c r="DI100" s="54">
        <f t="shared" si="343"/>
        <v>228779.10794924459</v>
      </c>
      <c r="DJ100" s="54">
        <f t="shared" si="343"/>
        <v>34632.524495065125</v>
      </c>
      <c r="DK100" s="54">
        <f t="shared" si="343"/>
        <v>128117.10163287526</v>
      </c>
      <c r="DL100" s="54">
        <f t="shared" si="343"/>
        <v>1081644.4448706897</v>
      </c>
      <c r="DM100" s="54">
        <f t="shared" si="343"/>
        <v>1767897.5299613865</v>
      </c>
      <c r="DN100" s="54">
        <f t="shared" si="343"/>
        <v>2201771.2446197411</v>
      </c>
      <c r="DO100" s="54">
        <f t="shared" si="343"/>
        <v>548632.03843113035</v>
      </c>
      <c r="DP100" s="54">
        <f t="shared" si="343"/>
        <v>69337.383787624698</v>
      </c>
      <c r="DQ100" s="54">
        <f t="shared" si="343"/>
        <v>717392.03310855629</v>
      </c>
      <c r="DR100" s="54">
        <f t="shared" si="343"/>
        <v>3373372.967801109</v>
      </c>
      <c r="DS100" s="54">
        <f t="shared" si="343"/>
        <v>4261694.5167547939</v>
      </c>
      <c r="DT100" s="54">
        <f t="shared" si="343"/>
        <v>120854.34606500142</v>
      </c>
      <c r="DU100" s="54">
        <f t="shared" si="343"/>
        <v>119470.88350837688</v>
      </c>
      <c r="DV100" s="54">
        <f t="shared" si="343"/>
        <v>53285.379804192336</v>
      </c>
      <c r="DW100" s="54">
        <f t="shared" si="343"/>
        <v>653324.21558533376</v>
      </c>
      <c r="DX100" s="54">
        <f t="shared" si="343"/>
        <v>181164.91267980749</v>
      </c>
      <c r="DY100" s="54">
        <f t="shared" si="343"/>
        <v>966779.31430790608</v>
      </c>
      <c r="DZ100" s="54">
        <f t="shared" si="343"/>
        <v>262836.56378790544</v>
      </c>
      <c r="EA100" s="54">
        <f t="shared" si="343"/>
        <v>83325.280773376027</v>
      </c>
      <c r="EB100" s="54">
        <f t="shared" si="343"/>
        <v>42724.046229494081</v>
      </c>
      <c r="EC100" s="54">
        <f t="shared" si="343"/>
        <v>350466.96233330172</v>
      </c>
      <c r="ED100" s="54">
        <f t="shared" si="343"/>
        <v>1571015.5022580961</v>
      </c>
      <c r="EE100" s="54">
        <f t="shared" si="343"/>
        <v>1821437.8171858543</v>
      </c>
      <c r="EF100" s="54">
        <f t="shared" ref="EF100:GQ100" si="344">STDEV(EF3:EF92)</f>
        <v>844291.07957329205</v>
      </c>
      <c r="EG100" s="54">
        <f t="shared" si="344"/>
        <v>276476.36058921349</v>
      </c>
      <c r="EH100" s="54">
        <f t="shared" si="344"/>
        <v>26566.847366374968</v>
      </c>
      <c r="EI100" s="54">
        <f t="shared" si="344"/>
        <v>85073.348085402191</v>
      </c>
      <c r="EJ100" s="54">
        <f t="shared" si="344"/>
        <v>1598686.0642650253</v>
      </c>
      <c r="EK100" s="54">
        <f t="shared" si="344"/>
        <v>1949596.5370907967</v>
      </c>
      <c r="EL100" s="54">
        <f t="shared" ref="EL100:EQ100" si="345">STDEV(EL3:EL92)</f>
        <v>22282690.302411951</v>
      </c>
      <c r="EM100" s="54">
        <f t="shared" si="345"/>
        <v>6572436.0090083675</v>
      </c>
      <c r="EN100" s="54">
        <f t="shared" si="345"/>
        <v>777973.55246298038</v>
      </c>
      <c r="EO100" s="54">
        <f t="shared" si="345"/>
        <v>3150563.4589369418</v>
      </c>
      <c r="EP100" s="54">
        <f t="shared" si="345"/>
        <v>10570171.454099268</v>
      </c>
      <c r="EQ100" s="54">
        <f t="shared" si="345"/>
        <v>32188109.6005519</v>
      </c>
      <c r="ER100" s="54">
        <f t="shared" si="344"/>
        <v>650437.10739011981</v>
      </c>
      <c r="ES100" s="54">
        <f t="shared" si="344"/>
        <v>94462.375112124442</v>
      </c>
      <c r="ET100" s="54">
        <f t="shared" si="344"/>
        <v>106392.02868616587</v>
      </c>
      <c r="EU100" s="54">
        <f t="shared" si="344"/>
        <v>1817667.3266887225</v>
      </c>
      <c r="EV100" s="54">
        <f t="shared" si="344"/>
        <v>600456.75412485702</v>
      </c>
      <c r="EW100" s="54">
        <f t="shared" si="344"/>
        <v>2540724.2538784025</v>
      </c>
      <c r="EX100" s="54">
        <f t="shared" si="344"/>
        <v>995734.81966868485</v>
      </c>
      <c r="EY100" s="54">
        <f t="shared" si="344"/>
        <v>278790.91985669913</v>
      </c>
      <c r="EZ100" s="54">
        <f t="shared" si="344"/>
        <v>71081.214860116452</v>
      </c>
      <c r="FA100" s="54">
        <f t="shared" si="344"/>
        <v>725273.87148343318</v>
      </c>
      <c r="FB100" s="54">
        <f t="shared" si="344"/>
        <v>220625.60252163673</v>
      </c>
      <c r="FC100" s="54">
        <f t="shared" si="344"/>
        <v>1584557.2538425848</v>
      </c>
      <c r="FD100" s="54">
        <f t="shared" si="344"/>
        <v>2341022.6718707075</v>
      </c>
      <c r="FE100" s="54">
        <f t="shared" si="344"/>
        <v>1208650.1461162218</v>
      </c>
      <c r="FF100" s="54">
        <f t="shared" si="344"/>
        <v>431083.39404823643</v>
      </c>
      <c r="FG100" s="54">
        <f t="shared" si="344"/>
        <v>1569487.1975504172</v>
      </c>
      <c r="FH100" s="54">
        <f t="shared" si="344"/>
        <v>94677.221627912164</v>
      </c>
      <c r="FI100" s="54">
        <f t="shared" si="344"/>
        <v>4958081.7744637281</v>
      </c>
      <c r="FJ100" s="54">
        <f t="shared" si="344"/>
        <v>608912.65616569307</v>
      </c>
      <c r="FK100" s="54">
        <f t="shared" si="344"/>
        <v>161909.75571264219</v>
      </c>
      <c r="FL100" s="54">
        <f t="shared" si="344"/>
        <v>180659.87346014639</v>
      </c>
      <c r="FM100" s="54">
        <f t="shared" si="344"/>
        <v>273852.91971251363</v>
      </c>
      <c r="FN100" s="54">
        <f t="shared" si="344"/>
        <v>103.66779266462201</v>
      </c>
      <c r="FO100" s="54">
        <f t="shared" si="344"/>
        <v>1199472.6581011254</v>
      </c>
      <c r="FP100" s="54">
        <f t="shared" si="344"/>
        <v>574721.50700206636</v>
      </c>
      <c r="FQ100" s="54">
        <f t="shared" si="344"/>
        <v>210263.83912277507</v>
      </c>
      <c r="FR100" s="54">
        <f t="shared" si="344"/>
        <v>122118.63330539694</v>
      </c>
      <c r="FS100" s="54">
        <f t="shared" si="344"/>
        <v>943954.50883363001</v>
      </c>
      <c r="FT100" s="54">
        <f t="shared" si="344"/>
        <v>4932616.4330738429</v>
      </c>
      <c r="FU100" s="54">
        <f t="shared" si="344"/>
        <v>5638829.8630507635</v>
      </c>
      <c r="FV100" s="54">
        <f t="shared" si="344"/>
        <v>5723.2846486229864</v>
      </c>
      <c r="FW100" s="54">
        <f t="shared" si="344"/>
        <v>297.41932571012876</v>
      </c>
      <c r="FX100" s="54">
        <f t="shared" si="344"/>
        <v>130.03888787416849</v>
      </c>
      <c r="FY100" s="54">
        <f t="shared" si="344"/>
        <v>462.6377717666042</v>
      </c>
      <c r="FZ100" s="54">
        <f t="shared" si="344"/>
        <v>24456.851629422694</v>
      </c>
      <c r="GA100" s="54">
        <f t="shared" si="344"/>
        <v>28531.923761529084</v>
      </c>
      <c r="GB100" s="54">
        <f t="shared" si="344"/>
        <v>483663.55478867347</v>
      </c>
      <c r="GC100" s="54">
        <f t="shared" si="344"/>
        <v>304182.56959757349</v>
      </c>
      <c r="GD100" s="54">
        <f t="shared" si="344"/>
        <v>132669.26138950142</v>
      </c>
      <c r="GE100" s="54">
        <f t="shared" si="344"/>
        <v>64691.892344701177</v>
      </c>
      <c r="GF100" s="54">
        <f t="shared" si="344"/>
        <v>362407.64070728654</v>
      </c>
      <c r="GG100" s="54">
        <f t="shared" si="344"/>
        <v>719880.86692144594</v>
      </c>
      <c r="GH100" s="54">
        <f t="shared" si="344"/>
        <v>191616.68454321299</v>
      </c>
      <c r="GI100" s="54">
        <f t="shared" si="344"/>
        <v>87036.087015316938</v>
      </c>
      <c r="GJ100" s="54">
        <f t="shared" si="344"/>
        <v>37935.14156939106</v>
      </c>
      <c r="GK100" s="54">
        <f t="shared" si="344"/>
        <v>159294.30870929253</v>
      </c>
      <c r="GL100" s="54">
        <f t="shared" si="344"/>
        <v>27369.723766726347</v>
      </c>
      <c r="GM100" s="54">
        <f t="shared" si="344"/>
        <v>416205.76385452115</v>
      </c>
      <c r="GN100" s="54">
        <f t="shared" si="344"/>
        <v>613926.00730509218</v>
      </c>
      <c r="GO100" s="54">
        <f t="shared" si="344"/>
        <v>289679.67620530352</v>
      </c>
      <c r="GP100" s="54">
        <f t="shared" si="344"/>
        <v>183063.38031144682</v>
      </c>
      <c r="GQ100" s="54">
        <f t="shared" si="344"/>
        <v>820450.7842577917</v>
      </c>
      <c r="GR100" s="54">
        <f t="shared" ref="GR100:JC100" si="346">STDEV(GR3:GR92)</f>
        <v>142854.44571707165</v>
      </c>
      <c r="GS100" s="54">
        <f t="shared" si="346"/>
        <v>1683358.8587636319</v>
      </c>
      <c r="GT100" s="54">
        <f t="shared" si="346"/>
        <v>279018.98697482358</v>
      </c>
      <c r="GU100" s="54">
        <f t="shared" si="346"/>
        <v>70364.980172607233</v>
      </c>
      <c r="GV100" s="54">
        <f t="shared" si="346"/>
        <v>36912.249686261886</v>
      </c>
      <c r="GW100" s="54">
        <f t="shared" si="346"/>
        <v>339076.78590775578</v>
      </c>
      <c r="GX100" s="54">
        <f t="shared" si="346"/>
        <v>324699.459144525</v>
      </c>
      <c r="GY100" s="54">
        <f t="shared" si="346"/>
        <v>793052.5014414381</v>
      </c>
      <c r="GZ100" s="54">
        <f t="shared" si="346"/>
        <v>1115549.9423289483</v>
      </c>
      <c r="HA100" s="54">
        <f t="shared" si="346"/>
        <v>271373.17487205734</v>
      </c>
      <c r="HB100" s="54">
        <f t="shared" si="346"/>
        <v>154138.29787108698</v>
      </c>
      <c r="HC100" s="54">
        <f t="shared" si="346"/>
        <v>368364.08316446515</v>
      </c>
      <c r="HD100" s="54">
        <f t="shared" si="346"/>
        <v>1713455.1073242752</v>
      </c>
      <c r="HE100" s="54">
        <f t="shared" si="346"/>
        <v>2854364.6999240378</v>
      </c>
      <c r="HF100" s="54">
        <f t="shared" si="346"/>
        <v>655141.92320283735</v>
      </c>
      <c r="HG100" s="54">
        <f t="shared" si="346"/>
        <v>109225.70365414182</v>
      </c>
      <c r="HH100" s="54">
        <f t="shared" si="346"/>
        <v>44853.878514005286</v>
      </c>
      <c r="HI100" s="54">
        <f t="shared" si="346"/>
        <v>170118.69148440752</v>
      </c>
      <c r="HJ100" s="54">
        <f t="shared" si="346"/>
        <v>1022410.4836209753</v>
      </c>
      <c r="HK100" s="54">
        <f t="shared" si="346"/>
        <v>1324732.3383358729</v>
      </c>
      <c r="HL100" s="54">
        <f t="shared" si="346"/>
        <v>93609.079137039473</v>
      </c>
      <c r="HM100" s="54">
        <f t="shared" si="346"/>
        <v>78556.175062076145</v>
      </c>
      <c r="HN100" s="54">
        <f t="shared" si="346"/>
        <v>31275.203229936011</v>
      </c>
      <c r="HO100" s="54">
        <f t="shared" si="346"/>
        <v>355503.69160165475</v>
      </c>
      <c r="HP100" s="54">
        <f t="shared" si="346"/>
        <v>311815.70817038079</v>
      </c>
      <c r="HQ100" s="54">
        <f t="shared" si="346"/>
        <v>657592.36554315442</v>
      </c>
      <c r="HR100" s="54">
        <f t="shared" si="346"/>
        <v>2332244.8504240112</v>
      </c>
      <c r="HS100" s="54">
        <f t="shared" si="346"/>
        <v>526542.95453185972</v>
      </c>
      <c r="HT100" s="54">
        <f t="shared" si="346"/>
        <v>310691.66252301191</v>
      </c>
      <c r="HU100" s="54">
        <f t="shared" si="346"/>
        <v>968536.29919097212</v>
      </c>
      <c r="HV100" s="54">
        <f t="shared" si="346"/>
        <v>6558917.6967142755</v>
      </c>
      <c r="HW100" s="54">
        <f t="shared" si="346"/>
        <v>7616537.0282765618</v>
      </c>
      <c r="HX100" s="54">
        <f t="shared" si="346"/>
        <v>160716.21722021917</v>
      </c>
      <c r="HY100" s="54">
        <f t="shared" si="346"/>
        <v>21878.677744100165</v>
      </c>
      <c r="HZ100" s="54">
        <f t="shared" si="346"/>
        <v>16851.313730940819</v>
      </c>
      <c r="IA100" s="54">
        <f t="shared" si="346"/>
        <v>24620.299561136166</v>
      </c>
      <c r="IB100" s="54">
        <f t="shared" si="346"/>
        <v>218840.22420541782</v>
      </c>
      <c r="IC100" s="54">
        <f t="shared" si="346"/>
        <v>271680.89241897652</v>
      </c>
      <c r="ID100" s="54">
        <f t="shared" si="346"/>
        <v>246917.446304007</v>
      </c>
      <c r="IE100" s="54">
        <f t="shared" si="346"/>
        <v>64249.324556824497</v>
      </c>
      <c r="IF100" s="54">
        <f t="shared" si="346"/>
        <v>53238.90918389336</v>
      </c>
      <c r="IG100" s="54">
        <f t="shared" si="346"/>
        <v>251591.28254653313</v>
      </c>
      <c r="IH100" s="54">
        <f t="shared" si="346"/>
        <v>1692000.6883176104</v>
      </c>
      <c r="II100" s="54">
        <f t="shared" si="346"/>
        <v>1789607.4942246866</v>
      </c>
      <c r="IJ100" s="54">
        <f t="shared" si="346"/>
        <v>134748.52591084005</v>
      </c>
      <c r="IK100" s="54">
        <f t="shared" si="346"/>
        <v>16335.645443747197</v>
      </c>
      <c r="IL100" s="54">
        <f t="shared" si="346"/>
        <v>18901.750440051575</v>
      </c>
      <c r="IM100" s="54">
        <f t="shared" si="346"/>
        <v>251625.10221023063</v>
      </c>
      <c r="IN100" s="54">
        <f t="shared" si="346"/>
        <v>641803.22517575952</v>
      </c>
      <c r="IO100" s="54">
        <f t="shared" si="346"/>
        <v>655478.62211173691</v>
      </c>
      <c r="IP100" s="54">
        <f t="shared" si="346"/>
        <v>30617.786088279332</v>
      </c>
      <c r="IQ100" s="54">
        <f t="shared" si="346"/>
        <v>6013.68755277734</v>
      </c>
      <c r="IR100" s="54">
        <f t="shared" si="346"/>
        <v>4994.7905324501371</v>
      </c>
      <c r="IS100" s="54">
        <f t="shared" si="346"/>
        <v>179852.51016104926</v>
      </c>
      <c r="IT100" s="54">
        <f t="shared" si="346"/>
        <v>417417.09468707489</v>
      </c>
      <c r="IU100" s="54">
        <f t="shared" si="346"/>
        <v>445307.53029505617</v>
      </c>
      <c r="IV100" s="54">
        <f t="shared" si="346"/>
        <v>772212.1078594554</v>
      </c>
      <c r="IW100" s="54">
        <f t="shared" si="346"/>
        <v>218674.35149963305</v>
      </c>
      <c r="IX100" s="54">
        <f t="shared" si="346"/>
        <v>66158.168325561361</v>
      </c>
      <c r="IY100" s="54">
        <f t="shared" si="346"/>
        <v>483432.90742235462</v>
      </c>
      <c r="IZ100" s="54">
        <f t="shared" si="346"/>
        <v>3484890.745768954</v>
      </c>
      <c r="JA100" s="54">
        <f t="shared" si="346"/>
        <v>4182118.2095729979</v>
      </c>
      <c r="JB100" s="54">
        <f t="shared" si="346"/>
        <v>7719557.1946673375</v>
      </c>
      <c r="JC100" s="54">
        <f t="shared" si="346"/>
        <v>2658374.6194695681</v>
      </c>
      <c r="JD100" s="54">
        <f t="shared" ref="JD100:JS100" si="347">STDEV(JD3:JD92)</f>
        <v>1121888.3721694176</v>
      </c>
      <c r="JE100" s="54">
        <f t="shared" si="347"/>
        <v>9445140.3168409206</v>
      </c>
      <c r="JF100" s="54">
        <f t="shared" si="347"/>
        <v>14682623.328596467</v>
      </c>
      <c r="JG100" s="54">
        <f t="shared" si="347"/>
        <v>30432100.025153339</v>
      </c>
      <c r="JH100" s="54">
        <f t="shared" si="347"/>
        <v>174167.51539674294</v>
      </c>
      <c r="JI100" s="54">
        <f t="shared" si="347"/>
        <v>52183.253224638473</v>
      </c>
      <c r="JJ100" s="54">
        <f t="shared" si="347"/>
        <v>2575.0426986751113</v>
      </c>
      <c r="JK100" s="54">
        <f t="shared" si="347"/>
        <v>13647.547107244014</v>
      </c>
      <c r="JL100" s="54">
        <f t="shared" si="347"/>
        <v>1686824.4213382758</v>
      </c>
      <c r="JM100" s="54">
        <f t="shared" si="347"/>
        <v>1706000.1626856204</v>
      </c>
      <c r="JN100" s="54">
        <f t="shared" si="347"/>
        <v>7729443.0181271499</v>
      </c>
      <c r="JO100" s="54">
        <f t="shared" si="347"/>
        <v>2684353.9741911725</v>
      </c>
      <c r="JP100" s="54">
        <f t="shared" si="347"/>
        <v>1118771.8590484483</v>
      </c>
      <c r="JQ100" s="54">
        <f t="shared" si="347"/>
        <v>6176301.7694220804</v>
      </c>
      <c r="JR100" s="54">
        <f t="shared" si="347"/>
        <v>15751685.385788918</v>
      </c>
      <c r="JS100" s="54">
        <f t="shared" si="347"/>
        <v>30123049.839515116</v>
      </c>
    </row>
    <row r="101" spans="1:279" x14ac:dyDescent="0.15">
      <c r="A101" s="18" t="s">
        <v>474</v>
      </c>
      <c r="B101" s="4"/>
      <c r="C101" s="4"/>
      <c r="D101" s="4"/>
      <c r="G101" s="34">
        <f>COUNTIF(G3:G92,"="&amp;0)</f>
        <v>0</v>
      </c>
      <c r="H101" s="34">
        <f t="shared" ref="H101:BS101" si="348">COUNTIF(H3:H92,"="&amp;0)</f>
        <v>0</v>
      </c>
      <c r="I101" s="32">
        <f t="shared" si="348"/>
        <v>0</v>
      </c>
      <c r="J101" s="32">
        <f t="shared" si="348"/>
        <v>0</v>
      </c>
      <c r="K101" s="32">
        <f>COUNTIF(K3:K92,"="&amp;0)</f>
        <v>10</v>
      </c>
      <c r="L101" s="32">
        <f t="shared" si="348"/>
        <v>0</v>
      </c>
      <c r="M101" s="32">
        <f t="shared" si="348"/>
        <v>1</v>
      </c>
      <c r="N101" s="32">
        <f t="shared" si="348"/>
        <v>0</v>
      </c>
      <c r="O101" s="32">
        <f t="shared" si="348"/>
        <v>10</v>
      </c>
      <c r="P101" s="32">
        <f t="shared" si="348"/>
        <v>0</v>
      </c>
      <c r="Q101" s="32">
        <f t="shared" si="348"/>
        <v>0</v>
      </c>
      <c r="R101" s="32">
        <f t="shared" si="348"/>
        <v>0</v>
      </c>
      <c r="S101" s="32">
        <f t="shared" si="348"/>
        <v>0</v>
      </c>
      <c r="T101" s="32">
        <f t="shared" si="348"/>
        <v>0</v>
      </c>
      <c r="U101" s="32">
        <f t="shared" si="348"/>
        <v>0</v>
      </c>
      <c r="V101" s="32">
        <f t="shared" si="348"/>
        <v>0</v>
      </c>
      <c r="W101" s="32">
        <f t="shared" si="348"/>
        <v>0</v>
      </c>
      <c r="X101" s="32">
        <f t="shared" si="348"/>
        <v>0</v>
      </c>
      <c r="Y101" s="32">
        <f t="shared" si="348"/>
        <v>0</v>
      </c>
      <c r="Z101" s="32">
        <f t="shared" si="348"/>
        <v>0</v>
      </c>
      <c r="AA101" s="32">
        <f t="shared" si="348"/>
        <v>0</v>
      </c>
      <c r="AB101" s="32">
        <f t="shared" si="348"/>
        <v>0</v>
      </c>
      <c r="AC101" s="32">
        <f t="shared" si="348"/>
        <v>0</v>
      </c>
      <c r="AD101" s="32">
        <f t="shared" si="348"/>
        <v>0</v>
      </c>
      <c r="AE101" s="32">
        <f t="shared" si="348"/>
        <v>80</v>
      </c>
      <c r="AF101" s="32">
        <f t="shared" si="348"/>
        <v>0</v>
      </c>
      <c r="AG101" s="32">
        <f t="shared" si="348"/>
        <v>0</v>
      </c>
      <c r="AH101" s="32">
        <f t="shared" si="348"/>
        <v>0</v>
      </c>
      <c r="AI101" s="32">
        <f t="shared" si="348"/>
        <v>0</v>
      </c>
      <c r="AJ101" s="32">
        <f t="shared" si="348"/>
        <v>0</v>
      </c>
      <c r="AK101" s="32">
        <f t="shared" si="348"/>
        <v>0</v>
      </c>
      <c r="AL101" s="32">
        <f t="shared" si="348"/>
        <v>0</v>
      </c>
      <c r="AM101" s="32">
        <f t="shared" si="348"/>
        <v>1</v>
      </c>
      <c r="AN101" s="32">
        <f t="shared" si="348"/>
        <v>0</v>
      </c>
      <c r="AO101" s="32">
        <f t="shared" si="348"/>
        <v>1</v>
      </c>
      <c r="AP101" s="32">
        <f t="shared" si="348"/>
        <v>0</v>
      </c>
      <c r="AQ101" s="32">
        <f t="shared" si="348"/>
        <v>1</v>
      </c>
      <c r="AR101" s="32">
        <f t="shared" si="348"/>
        <v>0</v>
      </c>
      <c r="AS101" s="32">
        <f t="shared" si="348"/>
        <v>1</v>
      </c>
      <c r="AT101" s="32">
        <f t="shared" si="348"/>
        <v>0</v>
      </c>
      <c r="AU101" s="32">
        <f t="shared" si="348"/>
        <v>1</v>
      </c>
      <c r="AV101" s="32">
        <f t="shared" si="348"/>
        <v>0</v>
      </c>
      <c r="AW101" s="32">
        <f t="shared" si="348"/>
        <v>1</v>
      </c>
      <c r="AX101" s="32">
        <f t="shared" si="348"/>
        <v>0</v>
      </c>
      <c r="AY101" s="32">
        <f t="shared" si="348"/>
        <v>1</v>
      </c>
      <c r="AZ101" s="32">
        <f t="shared" si="348"/>
        <v>0</v>
      </c>
      <c r="BA101" s="32">
        <f>COUNTIF(BA3:BA92,"="&amp;0)</f>
        <v>0</v>
      </c>
      <c r="BB101" s="32">
        <f t="shared" si="348"/>
        <v>1</v>
      </c>
      <c r="BC101" s="32">
        <f t="shared" si="348"/>
        <v>2</v>
      </c>
      <c r="BD101" s="32">
        <f t="shared" si="348"/>
        <v>49</v>
      </c>
      <c r="BE101" s="32">
        <f t="shared" si="348"/>
        <v>0</v>
      </c>
      <c r="BF101" s="32">
        <f t="shared" si="348"/>
        <v>72</v>
      </c>
      <c r="BG101" s="32">
        <f t="shared" si="348"/>
        <v>73</v>
      </c>
      <c r="BH101" s="32">
        <f t="shared" si="348"/>
        <v>70</v>
      </c>
      <c r="BI101" s="32">
        <f t="shared" si="348"/>
        <v>68</v>
      </c>
      <c r="BJ101" s="32">
        <f t="shared" si="348"/>
        <v>37</v>
      </c>
      <c r="BK101" s="32">
        <f t="shared" si="348"/>
        <v>22</v>
      </c>
      <c r="BL101" s="32">
        <f t="shared" si="348"/>
        <v>6</v>
      </c>
      <c r="BM101" s="32">
        <f t="shared" si="348"/>
        <v>24</v>
      </c>
      <c r="BN101" s="32">
        <f t="shared" si="348"/>
        <v>53</v>
      </c>
      <c r="BO101" s="32">
        <f t="shared" si="348"/>
        <v>20</v>
      </c>
      <c r="BP101" s="32">
        <f t="shared" si="348"/>
        <v>86</v>
      </c>
      <c r="BQ101" s="32">
        <f t="shared" si="348"/>
        <v>0</v>
      </c>
      <c r="BR101" s="32">
        <f t="shared" si="348"/>
        <v>4</v>
      </c>
      <c r="BS101" s="32">
        <f t="shared" si="348"/>
        <v>5</v>
      </c>
      <c r="BT101" s="32">
        <f t="shared" ref="BT101:EE101" si="349">COUNTIF(BT3:BT92,"="&amp;0)</f>
        <v>12</v>
      </c>
      <c r="BU101" s="32">
        <f t="shared" si="349"/>
        <v>4</v>
      </c>
      <c r="BV101" s="32">
        <f t="shared" si="349"/>
        <v>2</v>
      </c>
      <c r="BW101" s="32">
        <f t="shared" si="349"/>
        <v>0</v>
      </c>
      <c r="BX101" s="32">
        <f t="shared" si="349"/>
        <v>68</v>
      </c>
      <c r="BY101" s="32">
        <f t="shared" si="349"/>
        <v>69</v>
      </c>
      <c r="BZ101" s="32">
        <f t="shared" si="349"/>
        <v>72</v>
      </c>
      <c r="CA101" s="32">
        <f t="shared" si="349"/>
        <v>69</v>
      </c>
      <c r="CB101" s="32">
        <f t="shared" si="349"/>
        <v>77</v>
      </c>
      <c r="CC101" s="32">
        <f t="shared" si="349"/>
        <v>64</v>
      </c>
      <c r="CD101" s="32">
        <f t="shared" si="349"/>
        <v>83</v>
      </c>
      <c r="CE101" s="32">
        <f t="shared" si="349"/>
        <v>87</v>
      </c>
      <c r="CF101" s="32">
        <f t="shared" si="349"/>
        <v>87</v>
      </c>
      <c r="CG101" s="32">
        <f t="shared" si="349"/>
        <v>85</v>
      </c>
      <c r="CH101" s="32">
        <f t="shared" si="349"/>
        <v>76</v>
      </c>
      <c r="CI101" s="32">
        <f t="shared" si="349"/>
        <v>74</v>
      </c>
      <c r="CJ101" s="32">
        <f t="shared" si="349"/>
        <v>56</v>
      </c>
      <c r="CK101" s="32">
        <f t="shared" si="349"/>
        <v>57</v>
      </c>
      <c r="CL101" s="32">
        <f t="shared" si="349"/>
        <v>51</v>
      </c>
      <c r="CM101" s="32">
        <f t="shared" si="349"/>
        <v>49</v>
      </c>
      <c r="CN101" s="32">
        <f t="shared" si="349"/>
        <v>23</v>
      </c>
      <c r="CO101" s="32">
        <f t="shared" si="349"/>
        <v>19</v>
      </c>
      <c r="CP101" s="32">
        <f t="shared" si="349"/>
        <v>81</v>
      </c>
      <c r="CQ101" s="32">
        <f t="shared" si="349"/>
        <v>81</v>
      </c>
      <c r="CR101" s="32">
        <f t="shared" si="349"/>
        <v>82</v>
      </c>
      <c r="CS101" s="32">
        <f t="shared" si="349"/>
        <v>81</v>
      </c>
      <c r="CT101" s="32">
        <f t="shared" si="349"/>
        <v>46</v>
      </c>
      <c r="CU101" s="32">
        <f t="shared" si="349"/>
        <v>44</v>
      </c>
      <c r="CV101" s="32">
        <f t="shared" si="349"/>
        <v>18</v>
      </c>
      <c r="CW101" s="32">
        <f t="shared" si="349"/>
        <v>15</v>
      </c>
      <c r="CX101" s="32">
        <f t="shared" si="349"/>
        <v>47</v>
      </c>
      <c r="CY101" s="32">
        <f t="shared" si="349"/>
        <v>30</v>
      </c>
      <c r="CZ101" s="32">
        <f t="shared" si="349"/>
        <v>6</v>
      </c>
      <c r="DA101" s="32">
        <f t="shared" si="349"/>
        <v>0</v>
      </c>
      <c r="DB101" s="32">
        <f t="shared" si="349"/>
        <v>63</v>
      </c>
      <c r="DC101" s="32">
        <f t="shared" si="349"/>
        <v>62</v>
      </c>
      <c r="DD101" s="32">
        <f t="shared" si="349"/>
        <v>79</v>
      </c>
      <c r="DE101" s="32">
        <f t="shared" si="349"/>
        <v>79</v>
      </c>
      <c r="DF101" s="32">
        <f t="shared" si="349"/>
        <v>54</v>
      </c>
      <c r="DG101" s="32">
        <f t="shared" si="349"/>
        <v>37</v>
      </c>
      <c r="DH101" s="32">
        <f t="shared" si="349"/>
        <v>10</v>
      </c>
      <c r="DI101" s="32">
        <f t="shared" si="349"/>
        <v>16</v>
      </c>
      <c r="DJ101" s="32">
        <f t="shared" si="349"/>
        <v>25</v>
      </c>
      <c r="DK101" s="32">
        <f t="shared" si="349"/>
        <v>18</v>
      </c>
      <c r="DL101" s="32">
        <f t="shared" si="349"/>
        <v>13</v>
      </c>
      <c r="DM101" s="32">
        <f t="shared" si="349"/>
        <v>0</v>
      </c>
      <c r="DN101" s="32">
        <f t="shared" si="349"/>
        <v>40</v>
      </c>
      <c r="DO101" s="32">
        <f t="shared" si="349"/>
        <v>50</v>
      </c>
      <c r="DP101" s="32">
        <f t="shared" si="349"/>
        <v>57</v>
      </c>
      <c r="DQ101" s="32">
        <f t="shared" si="349"/>
        <v>50</v>
      </c>
      <c r="DR101" s="32">
        <f t="shared" si="349"/>
        <v>4</v>
      </c>
      <c r="DS101" s="32">
        <f t="shared" si="349"/>
        <v>0</v>
      </c>
      <c r="DT101" s="32">
        <f t="shared" si="349"/>
        <v>46</v>
      </c>
      <c r="DU101" s="32">
        <f t="shared" si="349"/>
        <v>47</v>
      </c>
      <c r="DV101" s="32">
        <f t="shared" si="349"/>
        <v>49</v>
      </c>
      <c r="DW101" s="32">
        <f t="shared" si="349"/>
        <v>44</v>
      </c>
      <c r="DX101" s="32">
        <f t="shared" si="349"/>
        <v>57</v>
      </c>
      <c r="DY101" s="32">
        <f t="shared" si="349"/>
        <v>38</v>
      </c>
      <c r="DZ101" s="32">
        <f t="shared" si="349"/>
        <v>42</v>
      </c>
      <c r="EA101" s="32">
        <f t="shared" si="349"/>
        <v>47</v>
      </c>
      <c r="EB101" s="32">
        <f t="shared" si="349"/>
        <v>49</v>
      </c>
      <c r="EC101" s="32">
        <f t="shared" si="349"/>
        <v>39</v>
      </c>
      <c r="ED101" s="32">
        <f t="shared" si="349"/>
        <v>15</v>
      </c>
      <c r="EE101" s="32">
        <f t="shared" si="349"/>
        <v>12</v>
      </c>
      <c r="EF101" s="32">
        <f t="shared" ref="EF101:GQ101" si="350">COUNTIF(EF3:EF92,"="&amp;0)</f>
        <v>22</v>
      </c>
      <c r="EG101" s="32">
        <f t="shared" si="350"/>
        <v>46</v>
      </c>
      <c r="EH101" s="32">
        <f t="shared" si="350"/>
        <v>47</v>
      </c>
      <c r="EI101" s="32">
        <f t="shared" si="350"/>
        <v>21</v>
      </c>
      <c r="EJ101" s="32">
        <f t="shared" si="350"/>
        <v>2</v>
      </c>
      <c r="EK101" s="32">
        <f t="shared" si="350"/>
        <v>2</v>
      </c>
      <c r="EL101" s="32">
        <f t="shared" ref="EL101:EQ101" si="351">COUNTIF(EL3:EL92,"="&amp;0)</f>
        <v>0</v>
      </c>
      <c r="EM101" s="32">
        <f t="shared" si="351"/>
        <v>0</v>
      </c>
      <c r="EN101" s="32">
        <f t="shared" si="351"/>
        <v>0</v>
      </c>
      <c r="EO101" s="32">
        <f t="shared" si="351"/>
        <v>0</v>
      </c>
      <c r="EP101" s="32">
        <f t="shared" si="351"/>
        <v>0</v>
      </c>
      <c r="EQ101" s="32">
        <f t="shared" si="351"/>
        <v>0</v>
      </c>
      <c r="ER101" s="32">
        <f t="shared" si="350"/>
        <v>0</v>
      </c>
      <c r="ES101" s="32">
        <f t="shared" si="350"/>
        <v>0</v>
      </c>
      <c r="ET101" s="32">
        <f t="shared" si="350"/>
        <v>0</v>
      </c>
      <c r="EU101" s="32">
        <f t="shared" si="350"/>
        <v>0</v>
      </c>
      <c r="EV101" s="32">
        <f t="shared" si="350"/>
        <v>10</v>
      </c>
      <c r="EW101" s="32">
        <f t="shared" si="350"/>
        <v>0</v>
      </c>
      <c r="EX101" s="32">
        <f t="shared" si="350"/>
        <v>2</v>
      </c>
      <c r="EY101" s="32">
        <f t="shared" si="350"/>
        <v>2</v>
      </c>
      <c r="EZ101" s="32">
        <f t="shared" si="350"/>
        <v>7</v>
      </c>
      <c r="FA101" s="32">
        <f t="shared" si="350"/>
        <v>8</v>
      </c>
      <c r="FB101" s="32">
        <f t="shared" si="350"/>
        <v>82</v>
      </c>
      <c r="FC101" s="32">
        <f t="shared" si="350"/>
        <v>0</v>
      </c>
      <c r="FD101" s="32">
        <f t="shared" si="350"/>
        <v>0</v>
      </c>
      <c r="FE101" s="32">
        <f t="shared" si="350"/>
        <v>0</v>
      </c>
      <c r="FF101" s="32">
        <f t="shared" si="350"/>
        <v>0</v>
      </c>
      <c r="FG101" s="32">
        <f t="shared" si="350"/>
        <v>0</v>
      </c>
      <c r="FH101" s="32">
        <f t="shared" si="350"/>
        <v>80</v>
      </c>
      <c r="FI101" s="32">
        <f t="shared" si="350"/>
        <v>0</v>
      </c>
      <c r="FJ101" s="32">
        <f t="shared" si="350"/>
        <v>68</v>
      </c>
      <c r="FK101" s="32">
        <f t="shared" si="350"/>
        <v>69</v>
      </c>
      <c r="FL101" s="32">
        <f t="shared" si="350"/>
        <v>71</v>
      </c>
      <c r="FM101" s="32">
        <f t="shared" si="350"/>
        <v>68</v>
      </c>
      <c r="FN101" s="32">
        <f t="shared" si="350"/>
        <v>88</v>
      </c>
      <c r="FO101" s="32">
        <f t="shared" si="350"/>
        <v>64</v>
      </c>
      <c r="FP101" s="32">
        <f t="shared" si="350"/>
        <v>4</v>
      </c>
      <c r="FQ101" s="32">
        <f t="shared" si="350"/>
        <v>5</v>
      </c>
      <c r="FR101" s="32">
        <f t="shared" si="350"/>
        <v>9</v>
      </c>
      <c r="FS101" s="32">
        <f t="shared" si="350"/>
        <v>13</v>
      </c>
      <c r="FT101" s="32">
        <f t="shared" si="350"/>
        <v>1</v>
      </c>
      <c r="FU101" s="32">
        <f t="shared" si="350"/>
        <v>0</v>
      </c>
      <c r="FV101" s="32">
        <f t="shared" si="350"/>
        <v>82</v>
      </c>
      <c r="FW101" s="32">
        <f t="shared" si="350"/>
        <v>87</v>
      </c>
      <c r="FX101" s="32">
        <f t="shared" si="350"/>
        <v>88</v>
      </c>
      <c r="FY101" s="32">
        <f t="shared" si="350"/>
        <v>87</v>
      </c>
      <c r="FZ101" s="32">
        <f t="shared" si="350"/>
        <v>76</v>
      </c>
      <c r="GA101" s="32">
        <f t="shared" si="350"/>
        <v>75</v>
      </c>
      <c r="GB101" s="32">
        <f t="shared" si="350"/>
        <v>66</v>
      </c>
      <c r="GC101" s="32">
        <f t="shared" si="350"/>
        <v>70</v>
      </c>
      <c r="GD101" s="32">
        <f t="shared" si="350"/>
        <v>73</v>
      </c>
      <c r="GE101" s="32">
        <f t="shared" si="350"/>
        <v>66</v>
      </c>
      <c r="GF101" s="32">
        <f t="shared" si="350"/>
        <v>69</v>
      </c>
      <c r="GG101" s="32">
        <f t="shared" si="350"/>
        <v>45</v>
      </c>
      <c r="GH101" s="32">
        <f t="shared" si="350"/>
        <v>0</v>
      </c>
      <c r="GI101" s="32">
        <f t="shared" si="350"/>
        <v>0</v>
      </c>
      <c r="GJ101" s="32">
        <f t="shared" si="350"/>
        <v>0</v>
      </c>
      <c r="GK101" s="32">
        <f t="shared" si="350"/>
        <v>0</v>
      </c>
      <c r="GL101" s="32">
        <f t="shared" si="350"/>
        <v>63</v>
      </c>
      <c r="GM101" s="32">
        <f t="shared" si="350"/>
        <v>0</v>
      </c>
      <c r="GN101" s="32">
        <f t="shared" si="350"/>
        <v>0</v>
      </c>
      <c r="GO101" s="32">
        <f t="shared" si="350"/>
        <v>0</v>
      </c>
      <c r="GP101" s="32">
        <f t="shared" si="350"/>
        <v>0</v>
      </c>
      <c r="GQ101" s="32">
        <f t="shared" si="350"/>
        <v>0</v>
      </c>
      <c r="GR101" s="32">
        <f t="shared" ref="GR101:JC101" si="352">COUNTIF(GR3:GR92,"="&amp;0)</f>
        <v>43</v>
      </c>
      <c r="GS101" s="32">
        <f t="shared" si="352"/>
        <v>0</v>
      </c>
      <c r="GT101" s="32">
        <f t="shared" si="352"/>
        <v>0</v>
      </c>
      <c r="GU101" s="32">
        <f t="shared" si="352"/>
        <v>0</v>
      </c>
      <c r="GV101" s="32">
        <f t="shared" si="352"/>
        <v>0</v>
      </c>
      <c r="GW101" s="32">
        <f t="shared" si="352"/>
        <v>0</v>
      </c>
      <c r="GX101" s="32">
        <f t="shared" si="352"/>
        <v>20</v>
      </c>
      <c r="GY101" s="32">
        <f t="shared" si="352"/>
        <v>0</v>
      </c>
      <c r="GZ101" s="32">
        <f t="shared" si="352"/>
        <v>1</v>
      </c>
      <c r="HA101" s="32">
        <f t="shared" si="352"/>
        <v>2</v>
      </c>
      <c r="HB101" s="32">
        <f t="shared" si="352"/>
        <v>2</v>
      </c>
      <c r="HC101" s="32">
        <f t="shared" si="352"/>
        <v>2</v>
      </c>
      <c r="HD101" s="32">
        <f t="shared" si="352"/>
        <v>24</v>
      </c>
      <c r="HE101" s="32">
        <f t="shared" si="352"/>
        <v>0</v>
      </c>
      <c r="HF101" s="32">
        <f t="shared" si="352"/>
        <v>27</v>
      </c>
      <c r="HG101" s="32">
        <f t="shared" si="352"/>
        <v>33</v>
      </c>
      <c r="HH101" s="32">
        <f t="shared" si="352"/>
        <v>31</v>
      </c>
      <c r="HI101" s="32">
        <f t="shared" si="352"/>
        <v>28</v>
      </c>
      <c r="HJ101" s="32">
        <f t="shared" si="352"/>
        <v>2</v>
      </c>
      <c r="HK101" s="32">
        <f t="shared" si="352"/>
        <v>0</v>
      </c>
      <c r="HL101" s="32">
        <f t="shared" si="352"/>
        <v>50</v>
      </c>
      <c r="HM101" s="32">
        <f t="shared" si="352"/>
        <v>50</v>
      </c>
      <c r="HN101" s="32">
        <f t="shared" si="352"/>
        <v>52</v>
      </c>
      <c r="HO101" s="32">
        <f t="shared" si="352"/>
        <v>49</v>
      </c>
      <c r="HP101" s="32">
        <f t="shared" si="352"/>
        <v>62</v>
      </c>
      <c r="HQ101" s="32">
        <f t="shared" si="352"/>
        <v>43</v>
      </c>
      <c r="HR101" s="32">
        <f t="shared" si="352"/>
        <v>6</v>
      </c>
      <c r="HS101" s="32">
        <f t="shared" si="352"/>
        <v>16</v>
      </c>
      <c r="HT101" s="32">
        <f t="shared" si="352"/>
        <v>16</v>
      </c>
      <c r="HU101" s="32">
        <f t="shared" si="352"/>
        <v>7</v>
      </c>
      <c r="HV101" s="32">
        <f t="shared" si="352"/>
        <v>4</v>
      </c>
      <c r="HW101" s="32">
        <f t="shared" si="352"/>
        <v>1</v>
      </c>
      <c r="HX101" s="32">
        <f t="shared" si="352"/>
        <v>70</v>
      </c>
      <c r="HY101" s="32">
        <f t="shared" si="352"/>
        <v>76</v>
      </c>
      <c r="HZ101" s="32">
        <f t="shared" si="352"/>
        <v>75</v>
      </c>
      <c r="IA101" s="32">
        <f t="shared" si="352"/>
        <v>82</v>
      </c>
      <c r="IB101" s="32">
        <f t="shared" si="352"/>
        <v>15</v>
      </c>
      <c r="IC101" s="32">
        <f t="shared" si="352"/>
        <v>9</v>
      </c>
      <c r="ID101" s="32">
        <f t="shared" si="352"/>
        <v>78</v>
      </c>
      <c r="IE101" s="32">
        <f t="shared" si="352"/>
        <v>78</v>
      </c>
      <c r="IF101" s="32">
        <f t="shared" si="352"/>
        <v>79</v>
      </c>
      <c r="IG101" s="32">
        <f t="shared" si="352"/>
        <v>78</v>
      </c>
      <c r="IH101" s="32">
        <f t="shared" si="352"/>
        <v>46</v>
      </c>
      <c r="II101" s="32">
        <f t="shared" si="352"/>
        <v>43</v>
      </c>
      <c r="IJ101" s="32">
        <f t="shared" si="352"/>
        <v>40</v>
      </c>
      <c r="IK101" s="32">
        <f t="shared" si="352"/>
        <v>42</v>
      </c>
      <c r="IL101" s="32">
        <f t="shared" si="352"/>
        <v>45</v>
      </c>
      <c r="IM101" s="32">
        <f t="shared" si="352"/>
        <v>40</v>
      </c>
      <c r="IN101" s="32">
        <f t="shared" si="352"/>
        <v>5</v>
      </c>
      <c r="IO101" s="32">
        <f t="shared" si="352"/>
        <v>0</v>
      </c>
      <c r="IP101" s="32">
        <f t="shared" si="352"/>
        <v>12</v>
      </c>
      <c r="IQ101" s="32">
        <f t="shared" si="352"/>
        <v>14</v>
      </c>
      <c r="IR101" s="32">
        <f t="shared" si="352"/>
        <v>10</v>
      </c>
      <c r="IS101" s="32">
        <f t="shared" si="352"/>
        <v>5</v>
      </c>
      <c r="IT101" s="32">
        <f t="shared" si="352"/>
        <v>2</v>
      </c>
      <c r="IU101" s="32">
        <f t="shared" si="352"/>
        <v>0</v>
      </c>
      <c r="IV101" s="32">
        <f t="shared" si="352"/>
        <v>5</v>
      </c>
      <c r="IW101" s="32">
        <f t="shared" si="352"/>
        <v>5</v>
      </c>
      <c r="IX101" s="32">
        <f t="shared" si="352"/>
        <v>5</v>
      </c>
      <c r="IY101" s="32">
        <f t="shared" si="352"/>
        <v>5</v>
      </c>
      <c r="IZ101" s="32">
        <f t="shared" si="352"/>
        <v>1</v>
      </c>
      <c r="JA101" s="32">
        <f t="shared" si="352"/>
        <v>0</v>
      </c>
      <c r="JB101" s="32">
        <f t="shared" si="352"/>
        <v>0</v>
      </c>
      <c r="JC101" s="32">
        <f t="shared" si="352"/>
        <v>0</v>
      </c>
      <c r="JD101" s="32">
        <f t="shared" ref="JD101:JS101" si="353">COUNTIF(JD3:JD92,"="&amp;0)</f>
        <v>0</v>
      </c>
      <c r="JE101" s="32">
        <f t="shared" si="353"/>
        <v>0</v>
      </c>
      <c r="JF101" s="32">
        <f t="shared" si="353"/>
        <v>1</v>
      </c>
      <c r="JG101" s="32">
        <f t="shared" si="353"/>
        <v>0</v>
      </c>
      <c r="JH101" s="32">
        <f t="shared" si="353"/>
        <v>82</v>
      </c>
      <c r="JI101" s="32">
        <f t="shared" si="353"/>
        <v>88</v>
      </c>
      <c r="JJ101" s="32">
        <f t="shared" si="353"/>
        <v>89</v>
      </c>
      <c r="JK101" s="32">
        <f t="shared" si="353"/>
        <v>89</v>
      </c>
      <c r="JL101" s="32">
        <f t="shared" si="353"/>
        <v>69</v>
      </c>
      <c r="JM101" s="32">
        <f t="shared" si="353"/>
        <v>69</v>
      </c>
      <c r="JN101" s="32">
        <f t="shared" si="353"/>
        <v>0</v>
      </c>
      <c r="JO101" s="32">
        <f t="shared" si="353"/>
        <v>0</v>
      </c>
      <c r="JP101" s="32">
        <f t="shared" si="353"/>
        <v>0</v>
      </c>
      <c r="JQ101" s="32">
        <f t="shared" si="353"/>
        <v>0</v>
      </c>
      <c r="JR101" s="32">
        <f t="shared" si="353"/>
        <v>1</v>
      </c>
      <c r="JS101" s="32">
        <f t="shared" si="353"/>
        <v>0</v>
      </c>
    </row>
    <row r="102" spans="1:279" x14ac:dyDescent="0.15">
      <c r="JS102" s="22"/>
    </row>
    <row r="103" spans="1:279" x14ac:dyDescent="0.15">
      <c r="G103" s="19">
        <f>SUM(G3:G92)</f>
        <v>871931</v>
      </c>
      <c r="H103" s="19">
        <f t="shared" ref="H103:BS103" si="354">SUM(H3:H92)</f>
        <v>921272</v>
      </c>
      <c r="I103" s="19">
        <f t="shared" si="354"/>
        <v>94655421192</v>
      </c>
      <c r="J103" s="19">
        <f t="shared" si="354"/>
        <v>1770967949</v>
      </c>
      <c r="K103" s="19">
        <f t="shared" si="354"/>
        <v>517315877</v>
      </c>
      <c r="L103" s="19">
        <f t="shared" si="354"/>
        <v>0</v>
      </c>
      <c r="M103" s="19">
        <f t="shared" si="354"/>
        <v>4299139677</v>
      </c>
      <c r="N103" s="19">
        <f t="shared" si="354"/>
        <v>0</v>
      </c>
      <c r="O103" s="19">
        <f t="shared" si="354"/>
        <v>5145770753</v>
      </c>
      <c r="P103" s="19">
        <f t="shared" si="354"/>
        <v>0</v>
      </c>
      <c r="Q103" s="19">
        <f t="shared" si="354"/>
        <v>41567701529</v>
      </c>
      <c r="R103" s="19">
        <f t="shared" si="354"/>
        <v>0</v>
      </c>
      <c r="S103" s="19">
        <f t="shared" si="354"/>
        <v>82260420733</v>
      </c>
      <c r="T103" s="19">
        <f t="shared" si="354"/>
        <v>1274328341</v>
      </c>
      <c r="U103" s="19">
        <f t="shared" si="354"/>
        <v>1545372</v>
      </c>
      <c r="V103" s="19">
        <f t="shared" si="354"/>
        <v>52229</v>
      </c>
      <c r="W103" s="19">
        <f t="shared" si="354"/>
        <v>2655953</v>
      </c>
      <c r="X103" s="19">
        <f t="shared" si="354"/>
        <v>84372</v>
      </c>
      <c r="Y103" s="19">
        <f t="shared" si="354"/>
        <v>1890015</v>
      </c>
      <c r="Z103" s="19">
        <f t="shared" si="354"/>
        <v>66735</v>
      </c>
      <c r="AA103" s="19">
        <f t="shared" si="354"/>
        <v>2987535</v>
      </c>
      <c r="AB103" s="19">
        <f t="shared" si="354"/>
        <v>99608</v>
      </c>
      <c r="AC103" s="19">
        <f t="shared" si="354"/>
        <v>773</v>
      </c>
      <c r="AD103" s="19">
        <f t="shared" si="354"/>
        <v>960</v>
      </c>
      <c r="AE103" s="19">
        <f t="shared" si="354"/>
        <v>9</v>
      </c>
      <c r="AF103" s="19">
        <f t="shared" si="354"/>
        <v>349463219.02999997</v>
      </c>
      <c r="AG103" s="19">
        <f t="shared" si="354"/>
        <v>268483233.5</v>
      </c>
      <c r="AH103" s="19">
        <f t="shared" si="354"/>
        <v>47296724.019999996</v>
      </c>
      <c r="AI103" s="19">
        <f t="shared" si="354"/>
        <v>24143228.739999998</v>
      </c>
      <c r="AJ103" s="19">
        <f t="shared" si="354"/>
        <v>58201964.750811964</v>
      </c>
      <c r="AK103" s="19">
        <f t="shared" si="354"/>
        <v>561.88999999999987</v>
      </c>
      <c r="AL103" s="19">
        <f t="shared" si="354"/>
        <v>44250611.642132863</v>
      </c>
      <c r="AM103" s="19">
        <f t="shared" si="354"/>
        <v>633</v>
      </c>
      <c r="AN103" s="19">
        <f t="shared" si="354"/>
        <v>14310033.22061543</v>
      </c>
      <c r="AO103" s="19">
        <f t="shared" si="354"/>
        <v>719.2</v>
      </c>
      <c r="AP103" s="19">
        <f t="shared" si="354"/>
        <v>12885824.820697082</v>
      </c>
      <c r="AQ103" s="19">
        <f t="shared" si="354"/>
        <v>802.25</v>
      </c>
      <c r="AR103" s="19">
        <f t="shared" si="354"/>
        <v>15078155.71038889</v>
      </c>
      <c r="AS103" s="19">
        <f t="shared" si="354"/>
        <v>1708.39</v>
      </c>
      <c r="AT103" s="19">
        <f t="shared" si="354"/>
        <v>12102399.316962797</v>
      </c>
      <c r="AU103" s="19">
        <f t="shared" si="354"/>
        <v>2000.25</v>
      </c>
      <c r="AV103" s="19">
        <f t="shared" si="354"/>
        <v>6714399.8760874858</v>
      </c>
      <c r="AW103" s="19">
        <f t="shared" si="354"/>
        <v>1302.0099999999998</v>
      </c>
      <c r="AX103" s="19">
        <f t="shared" si="354"/>
        <v>5493383.4488415392</v>
      </c>
      <c r="AY103" s="19">
        <f t="shared" si="354"/>
        <v>1587</v>
      </c>
      <c r="AZ103" s="19">
        <f t="shared" si="354"/>
        <v>846030260</v>
      </c>
      <c r="BA103" s="19">
        <f t="shared" si="354"/>
        <v>216893430</v>
      </c>
      <c r="BB103" s="19">
        <f t="shared" si="354"/>
        <v>14077692</v>
      </c>
      <c r="BC103" s="19">
        <f t="shared" si="354"/>
        <v>44334579</v>
      </c>
      <c r="BD103" s="19">
        <f t="shared" si="354"/>
        <v>35017097</v>
      </c>
      <c r="BE103" s="19">
        <f t="shared" si="354"/>
        <v>1156353058</v>
      </c>
      <c r="BF103" s="19">
        <f t="shared" si="354"/>
        <v>39804071</v>
      </c>
      <c r="BG103" s="19">
        <f t="shared" si="354"/>
        <v>10705423</v>
      </c>
      <c r="BH103" s="19">
        <f t="shared" si="354"/>
        <v>11575418</v>
      </c>
      <c r="BI103" s="19">
        <f t="shared" si="354"/>
        <v>58538923</v>
      </c>
      <c r="BJ103" s="19">
        <f t="shared" si="354"/>
        <v>231173774.38999999</v>
      </c>
      <c r="BK103" s="19">
        <f t="shared" si="354"/>
        <v>351797609.38999999</v>
      </c>
      <c r="BL103" s="19">
        <f t="shared" si="354"/>
        <v>84732280</v>
      </c>
      <c r="BM103" s="19">
        <f t="shared" si="354"/>
        <v>8885870</v>
      </c>
      <c r="BN103" s="19">
        <f t="shared" si="354"/>
        <v>596027</v>
      </c>
      <c r="BO103" s="19">
        <f t="shared" si="354"/>
        <v>1973360</v>
      </c>
      <c r="BP103" s="19">
        <f t="shared" si="354"/>
        <v>294633</v>
      </c>
      <c r="BQ103" s="19">
        <f t="shared" si="354"/>
        <v>96482170</v>
      </c>
      <c r="BR103" s="19">
        <f t="shared" si="354"/>
        <v>418418521.11000001</v>
      </c>
      <c r="BS103" s="19">
        <f t="shared" si="354"/>
        <v>80928798</v>
      </c>
      <c r="BT103" s="19">
        <f t="shared" ref="BT103:EE103" si="355">SUM(BT3:BT92)</f>
        <v>13229542.780000001</v>
      </c>
      <c r="BU103" s="19">
        <f t="shared" si="355"/>
        <v>88528738.270000011</v>
      </c>
      <c r="BV103" s="19">
        <f t="shared" si="355"/>
        <v>412222559.68000001</v>
      </c>
      <c r="BW103" s="19">
        <f t="shared" si="355"/>
        <v>1013328160.84</v>
      </c>
      <c r="BX103" s="19">
        <f t="shared" si="355"/>
        <v>7953269</v>
      </c>
      <c r="BY103" s="19">
        <f t="shared" si="355"/>
        <v>2635886</v>
      </c>
      <c r="BZ103" s="19">
        <f t="shared" si="355"/>
        <v>675523</v>
      </c>
      <c r="CA103" s="19">
        <f t="shared" si="355"/>
        <v>1852996</v>
      </c>
      <c r="CB103" s="19">
        <f t="shared" si="355"/>
        <v>658729</v>
      </c>
      <c r="CC103" s="19">
        <f t="shared" si="355"/>
        <v>13776403</v>
      </c>
      <c r="CD103" s="19">
        <f t="shared" si="355"/>
        <v>4586923</v>
      </c>
      <c r="CE103" s="19">
        <f t="shared" si="355"/>
        <v>528456</v>
      </c>
      <c r="CF103" s="19">
        <f t="shared" si="355"/>
        <v>435451</v>
      </c>
      <c r="CG103" s="19">
        <f t="shared" si="355"/>
        <v>2570826</v>
      </c>
      <c r="CH103" s="19">
        <f t="shared" si="355"/>
        <v>25857900</v>
      </c>
      <c r="CI103" s="19">
        <f t="shared" si="355"/>
        <v>33979556</v>
      </c>
      <c r="CJ103" s="19">
        <f t="shared" si="355"/>
        <v>38899366.010000005</v>
      </c>
      <c r="CK103" s="19">
        <f t="shared" si="355"/>
        <v>10216554.85</v>
      </c>
      <c r="CL103" s="19">
        <f t="shared" si="355"/>
        <v>14117578.9</v>
      </c>
      <c r="CM103" s="19">
        <f t="shared" si="355"/>
        <v>88104262.870000005</v>
      </c>
      <c r="CN103" s="19">
        <f t="shared" si="355"/>
        <v>226176127.22</v>
      </c>
      <c r="CO103" s="19">
        <f t="shared" si="355"/>
        <v>377513888.85000002</v>
      </c>
      <c r="CP103" s="19">
        <f t="shared" si="355"/>
        <v>5396554</v>
      </c>
      <c r="CQ103" s="19">
        <f t="shared" si="355"/>
        <v>1476379</v>
      </c>
      <c r="CR103" s="19">
        <f t="shared" si="355"/>
        <v>1200497</v>
      </c>
      <c r="CS103" s="19">
        <f t="shared" si="355"/>
        <v>5193832</v>
      </c>
      <c r="CT103" s="19">
        <f t="shared" si="355"/>
        <v>90617254.090000004</v>
      </c>
      <c r="CU103" s="19">
        <f t="shared" si="355"/>
        <v>103884516.09</v>
      </c>
      <c r="CV103" s="19">
        <f t="shared" si="355"/>
        <v>465901421</v>
      </c>
      <c r="CW103" s="19">
        <f t="shared" si="355"/>
        <v>222366441</v>
      </c>
      <c r="CX103" s="19">
        <f t="shared" si="355"/>
        <v>3487454</v>
      </c>
      <c r="CY103" s="19">
        <f t="shared" si="355"/>
        <v>13313940</v>
      </c>
      <c r="CZ103" s="19">
        <f t="shared" si="355"/>
        <v>151084456.09</v>
      </c>
      <c r="DA103" s="19">
        <f t="shared" si="355"/>
        <v>856153712.09000003</v>
      </c>
      <c r="DB103" s="19">
        <f t="shared" si="355"/>
        <v>57766177</v>
      </c>
      <c r="DC103" s="19">
        <f t="shared" si="355"/>
        <v>23564315</v>
      </c>
      <c r="DD103" s="19">
        <f t="shared" si="355"/>
        <v>1997181</v>
      </c>
      <c r="DE103" s="19">
        <f t="shared" si="355"/>
        <v>2250974</v>
      </c>
      <c r="DF103" s="19">
        <f t="shared" si="355"/>
        <v>63762200</v>
      </c>
      <c r="DG103" s="19">
        <f t="shared" si="355"/>
        <v>149340847</v>
      </c>
      <c r="DH103" s="19">
        <f t="shared" si="355"/>
        <v>59095679.729999997</v>
      </c>
      <c r="DI103" s="19">
        <f t="shared" si="355"/>
        <v>12690424.27</v>
      </c>
      <c r="DJ103" s="19">
        <f t="shared" si="355"/>
        <v>1899798.35</v>
      </c>
      <c r="DK103" s="19">
        <f t="shared" si="355"/>
        <v>6110242</v>
      </c>
      <c r="DL103" s="19">
        <f t="shared" si="355"/>
        <v>46627128</v>
      </c>
      <c r="DM103" s="19">
        <f t="shared" si="355"/>
        <v>126423272.34999999</v>
      </c>
      <c r="DN103" s="19">
        <f t="shared" si="355"/>
        <v>66358362</v>
      </c>
      <c r="DO103" s="19">
        <f t="shared" si="355"/>
        <v>20992799</v>
      </c>
      <c r="DP103" s="19">
        <f t="shared" si="355"/>
        <v>3063924</v>
      </c>
      <c r="DQ103" s="19">
        <f t="shared" si="355"/>
        <v>21484630</v>
      </c>
      <c r="DR103" s="19">
        <f t="shared" si="355"/>
        <v>252392711.41</v>
      </c>
      <c r="DS103" s="19">
        <f t="shared" si="355"/>
        <v>364292424.40999997</v>
      </c>
      <c r="DT103" s="19">
        <f t="shared" si="355"/>
        <v>5455787</v>
      </c>
      <c r="DU103" s="19">
        <f t="shared" si="355"/>
        <v>5283230</v>
      </c>
      <c r="DV103" s="19">
        <f t="shared" si="355"/>
        <v>2040545</v>
      </c>
      <c r="DW103" s="19">
        <f t="shared" si="355"/>
        <v>27398963.25</v>
      </c>
      <c r="DX103" s="19">
        <f t="shared" si="355"/>
        <v>5167013</v>
      </c>
      <c r="DY103" s="19">
        <f t="shared" si="355"/>
        <v>45345538.25</v>
      </c>
      <c r="DZ103" s="19">
        <f t="shared" si="355"/>
        <v>10354336.58</v>
      </c>
      <c r="EA103" s="19">
        <f t="shared" si="355"/>
        <v>3369667.1399999997</v>
      </c>
      <c r="EB103" s="19">
        <f t="shared" si="355"/>
        <v>1319457.6099999999</v>
      </c>
      <c r="EC103" s="19">
        <f t="shared" si="355"/>
        <v>12413033.65</v>
      </c>
      <c r="ED103" s="19">
        <f t="shared" si="355"/>
        <v>66440548.390000001</v>
      </c>
      <c r="EE103" s="19">
        <f t="shared" si="355"/>
        <v>93897043.370000005</v>
      </c>
      <c r="EF103" s="19">
        <f t="shared" ref="EF103:GQ103" si="356">SUM(EF3:EF92)</f>
        <v>16181436.5</v>
      </c>
      <c r="EG103" s="19">
        <f t="shared" si="356"/>
        <v>5719097</v>
      </c>
      <c r="EH103" s="19">
        <f t="shared" si="356"/>
        <v>783358</v>
      </c>
      <c r="EI103" s="19">
        <f t="shared" si="356"/>
        <v>5855601.3599999994</v>
      </c>
      <c r="EJ103" s="19">
        <f t="shared" si="356"/>
        <v>94079597.129999995</v>
      </c>
      <c r="EK103" s="19">
        <f t="shared" si="356"/>
        <v>122619089.98999999</v>
      </c>
      <c r="EL103" s="19">
        <f t="shared" si="356"/>
        <v>2102281211.9300001</v>
      </c>
      <c r="EM103" s="19">
        <f t="shared" si="356"/>
        <v>623074320.25999999</v>
      </c>
      <c r="EN103" s="19">
        <f t="shared" si="356"/>
        <v>72310389.640000001</v>
      </c>
      <c r="EO103" s="19">
        <f t="shared" si="356"/>
        <v>387911112.39999998</v>
      </c>
      <c r="EP103" s="19">
        <f t="shared" si="356"/>
        <v>1720398751.4000001</v>
      </c>
      <c r="EQ103" s="19">
        <f t="shared" si="356"/>
        <v>4905975786.6300001</v>
      </c>
      <c r="ER103" s="19">
        <f t="shared" si="356"/>
        <v>217523599.06999999</v>
      </c>
      <c r="ES103" s="19">
        <f t="shared" si="356"/>
        <v>34766899.920000002</v>
      </c>
      <c r="ET103" s="19">
        <f t="shared" si="356"/>
        <v>36052331.899999999</v>
      </c>
      <c r="EU103" s="19">
        <f t="shared" si="356"/>
        <v>353747083.63999999</v>
      </c>
      <c r="EV103" s="19">
        <f t="shared" si="356"/>
        <v>33562213.539999999</v>
      </c>
      <c r="EW103" s="19">
        <f t="shared" si="356"/>
        <v>682023754.06999993</v>
      </c>
      <c r="EX103" s="19">
        <f t="shared" si="356"/>
        <v>95255195</v>
      </c>
      <c r="EY103" s="19">
        <f t="shared" si="356"/>
        <v>33841577</v>
      </c>
      <c r="EZ103" s="19">
        <f t="shared" si="356"/>
        <v>5392526</v>
      </c>
      <c r="FA103" s="19">
        <f t="shared" si="356"/>
        <v>13193985</v>
      </c>
      <c r="FB103" s="19">
        <f t="shared" si="356"/>
        <v>3082680</v>
      </c>
      <c r="FC103" s="19">
        <f t="shared" si="356"/>
        <v>151199158</v>
      </c>
      <c r="FD103" s="19">
        <f t="shared" si="356"/>
        <v>341085015.49000001</v>
      </c>
      <c r="FE103" s="19">
        <f t="shared" si="356"/>
        <v>159434437.53</v>
      </c>
      <c r="FF103" s="19">
        <f t="shared" si="356"/>
        <v>69200151</v>
      </c>
      <c r="FG103" s="19">
        <f t="shared" si="356"/>
        <v>261210126.38</v>
      </c>
      <c r="FH103" s="19">
        <f t="shared" si="356"/>
        <v>1856312</v>
      </c>
      <c r="FI103" s="19">
        <f t="shared" si="356"/>
        <v>834690644.69000006</v>
      </c>
      <c r="FJ103" s="19">
        <f t="shared" si="356"/>
        <v>9983526</v>
      </c>
      <c r="FK103" s="19">
        <f t="shared" si="356"/>
        <v>3631067.46</v>
      </c>
      <c r="FL103" s="19">
        <f t="shared" si="356"/>
        <v>2334406</v>
      </c>
      <c r="FM103" s="19">
        <f t="shared" si="356"/>
        <v>4274719</v>
      </c>
      <c r="FN103" s="19">
        <f t="shared" si="356"/>
        <v>978</v>
      </c>
      <c r="FO103" s="19">
        <f t="shared" si="356"/>
        <v>20353372</v>
      </c>
      <c r="FP103" s="19">
        <f t="shared" si="356"/>
        <v>58974153.460000001</v>
      </c>
      <c r="FQ103" s="19">
        <f t="shared" si="356"/>
        <v>20195992.5</v>
      </c>
      <c r="FR103" s="19">
        <f t="shared" si="356"/>
        <v>12213792.25</v>
      </c>
      <c r="FS103" s="19">
        <f t="shared" si="356"/>
        <v>30986121</v>
      </c>
      <c r="FT103" s="19">
        <f t="shared" si="356"/>
        <v>645128113.78999996</v>
      </c>
      <c r="FU103" s="19">
        <f t="shared" si="356"/>
        <v>772028795</v>
      </c>
      <c r="FV103" s="19">
        <f t="shared" si="356"/>
        <v>110905</v>
      </c>
      <c r="FW103" s="19">
        <f t="shared" si="356"/>
        <v>4325</v>
      </c>
      <c r="FX103" s="19">
        <f t="shared" si="356"/>
        <v>1500</v>
      </c>
      <c r="FY103" s="19">
        <f t="shared" si="356"/>
        <v>6300</v>
      </c>
      <c r="FZ103" s="19">
        <f t="shared" si="356"/>
        <v>704925</v>
      </c>
      <c r="GA103" s="19">
        <f t="shared" si="356"/>
        <v>827955</v>
      </c>
      <c r="GB103" s="19">
        <f t="shared" si="356"/>
        <v>12837275</v>
      </c>
      <c r="GC103" s="19">
        <f t="shared" si="356"/>
        <v>8047276</v>
      </c>
      <c r="GD103" s="19">
        <f t="shared" si="356"/>
        <v>2102360</v>
      </c>
      <c r="GE103" s="19">
        <f t="shared" si="356"/>
        <v>1622873</v>
      </c>
      <c r="GF103" s="19">
        <f t="shared" si="356"/>
        <v>6281303</v>
      </c>
      <c r="GG103" s="19">
        <f t="shared" si="356"/>
        <v>31022692</v>
      </c>
      <c r="GH103" s="19">
        <f t="shared" si="356"/>
        <v>27628220.23</v>
      </c>
      <c r="GI103" s="19">
        <f t="shared" si="356"/>
        <v>12195380.27</v>
      </c>
      <c r="GJ103" s="19">
        <f t="shared" si="356"/>
        <v>7473597.5099999998</v>
      </c>
      <c r="GK103" s="19">
        <f t="shared" si="356"/>
        <v>23445567.780000001</v>
      </c>
      <c r="GL103" s="19">
        <f t="shared" si="356"/>
        <v>815744</v>
      </c>
      <c r="GM103" s="19">
        <f t="shared" si="356"/>
        <v>71973075.789999992</v>
      </c>
      <c r="GN103" s="19">
        <f t="shared" si="356"/>
        <v>99474948.400000006</v>
      </c>
      <c r="GO103" s="19">
        <f t="shared" si="356"/>
        <v>39684929.480000004</v>
      </c>
      <c r="GP103" s="19">
        <f t="shared" si="356"/>
        <v>27458397.420000002</v>
      </c>
      <c r="GQ103" s="19">
        <f t="shared" si="356"/>
        <v>133189136.38</v>
      </c>
      <c r="GR103" s="19">
        <f t="shared" ref="GR103:JC103" si="357">SUM(GR3:GR92)</f>
        <v>5744232</v>
      </c>
      <c r="GS103" s="19">
        <f t="shared" si="357"/>
        <v>307792865.68000001</v>
      </c>
      <c r="GT103" s="19">
        <f t="shared" si="357"/>
        <v>40324255.390000001</v>
      </c>
      <c r="GU103" s="19">
        <f t="shared" si="357"/>
        <v>7144485.1299999999</v>
      </c>
      <c r="GV103" s="19">
        <f t="shared" si="357"/>
        <v>4595624.49</v>
      </c>
      <c r="GW103" s="19">
        <f t="shared" si="357"/>
        <v>45654814.480000004</v>
      </c>
      <c r="GX103" s="19">
        <f t="shared" si="357"/>
        <v>21706684.189999998</v>
      </c>
      <c r="GY103" s="19">
        <f t="shared" si="357"/>
        <v>121544805.68000001</v>
      </c>
      <c r="GZ103" s="19">
        <f t="shared" si="357"/>
        <v>98010671.099999994</v>
      </c>
      <c r="HA103" s="19">
        <f t="shared" si="357"/>
        <v>29424710.670000002</v>
      </c>
      <c r="HB103" s="19">
        <f t="shared" si="357"/>
        <v>14838067.49</v>
      </c>
      <c r="HC103" s="19">
        <f t="shared" si="357"/>
        <v>30175373.84</v>
      </c>
      <c r="HD103" s="19">
        <f t="shared" si="357"/>
        <v>45120514.219999999</v>
      </c>
      <c r="HE103" s="19">
        <f t="shared" si="357"/>
        <v>218030065.31999999</v>
      </c>
      <c r="HF103" s="19">
        <f t="shared" si="357"/>
        <v>19961492.100000001</v>
      </c>
      <c r="HG103" s="19">
        <f t="shared" si="357"/>
        <v>4027041.46</v>
      </c>
      <c r="HH103" s="19">
        <f t="shared" si="357"/>
        <v>1791958.33</v>
      </c>
      <c r="HI103" s="19">
        <f t="shared" si="357"/>
        <v>5513718.0099999998</v>
      </c>
      <c r="HJ103" s="19">
        <f t="shared" si="357"/>
        <v>92461372.159999996</v>
      </c>
      <c r="HK103" s="19">
        <f t="shared" si="357"/>
        <v>123862325.06</v>
      </c>
      <c r="HL103" s="19">
        <f t="shared" si="357"/>
        <v>3841082.48</v>
      </c>
      <c r="HM103" s="19">
        <f t="shared" si="357"/>
        <v>3416337</v>
      </c>
      <c r="HN103" s="19">
        <f t="shared" si="357"/>
        <v>1332095</v>
      </c>
      <c r="HO103" s="19">
        <f t="shared" si="357"/>
        <v>14638335.65</v>
      </c>
      <c r="HP103" s="19">
        <f t="shared" si="357"/>
        <v>6129719.8499999996</v>
      </c>
      <c r="HQ103" s="19">
        <f t="shared" si="357"/>
        <v>29635761.98</v>
      </c>
      <c r="HR103" s="19">
        <f t="shared" si="357"/>
        <v>97748894.939999998</v>
      </c>
      <c r="HS103" s="19">
        <f t="shared" si="357"/>
        <v>19046949.030000001</v>
      </c>
      <c r="HT103" s="19">
        <f t="shared" si="357"/>
        <v>11139016.01</v>
      </c>
      <c r="HU103" s="19">
        <f t="shared" si="357"/>
        <v>46590293.560000002</v>
      </c>
      <c r="HV103" s="19">
        <f t="shared" si="357"/>
        <v>528977585.94999999</v>
      </c>
      <c r="HW103" s="19">
        <f t="shared" si="357"/>
        <v>703554579.49000001</v>
      </c>
      <c r="HX103" s="19">
        <f t="shared" si="357"/>
        <v>5079395.6099999994</v>
      </c>
      <c r="HY103" s="19">
        <f t="shared" si="357"/>
        <v>551777</v>
      </c>
      <c r="HZ103" s="19">
        <f t="shared" si="357"/>
        <v>437247</v>
      </c>
      <c r="IA103" s="19">
        <f t="shared" si="357"/>
        <v>423328</v>
      </c>
      <c r="IB103" s="19">
        <f t="shared" si="357"/>
        <v>15691623.720000001</v>
      </c>
      <c r="IC103" s="19">
        <f t="shared" si="357"/>
        <v>22197341.329999998</v>
      </c>
      <c r="ID103" s="19">
        <f t="shared" si="357"/>
        <v>6572887.9699999997</v>
      </c>
      <c r="IE103" s="19">
        <f t="shared" si="357"/>
        <v>1619528</v>
      </c>
      <c r="IF103" s="19">
        <f t="shared" si="357"/>
        <v>1310089.75</v>
      </c>
      <c r="IG103" s="19">
        <f t="shared" si="357"/>
        <v>6010223.9100000001</v>
      </c>
      <c r="IH103" s="19">
        <f t="shared" si="357"/>
        <v>87823004.390000001</v>
      </c>
      <c r="II103" s="19">
        <f t="shared" si="357"/>
        <v>105707795.02</v>
      </c>
      <c r="IJ103" s="19">
        <f t="shared" si="357"/>
        <v>6943900.3899999997</v>
      </c>
      <c r="IK103" s="19">
        <f t="shared" si="357"/>
        <v>885531.13</v>
      </c>
      <c r="IL103" s="19">
        <f t="shared" si="357"/>
        <v>971468.69</v>
      </c>
      <c r="IM103" s="19">
        <f t="shared" si="357"/>
        <v>11289749.02</v>
      </c>
      <c r="IN103" s="19">
        <f t="shared" si="357"/>
        <v>49634442.789999999</v>
      </c>
      <c r="IO103" s="19">
        <f t="shared" si="357"/>
        <v>69974699.020000011</v>
      </c>
      <c r="IP103" s="19">
        <f t="shared" si="357"/>
        <v>890011.51</v>
      </c>
      <c r="IQ103" s="19">
        <f t="shared" si="357"/>
        <v>306679.39</v>
      </c>
      <c r="IR103" s="19">
        <f t="shared" si="357"/>
        <v>253048.23</v>
      </c>
      <c r="IS103" s="19">
        <f t="shared" si="357"/>
        <v>3011874.7</v>
      </c>
      <c r="IT103" s="19">
        <f t="shared" si="357"/>
        <v>23789795.34</v>
      </c>
      <c r="IU103" s="19">
        <f t="shared" si="357"/>
        <v>28549678.170000002</v>
      </c>
      <c r="IV103" s="19">
        <f t="shared" si="357"/>
        <v>61794456.640000001</v>
      </c>
      <c r="IW103" s="19">
        <f t="shared" si="357"/>
        <v>17219648.09</v>
      </c>
      <c r="IX103" s="19">
        <f t="shared" si="357"/>
        <v>7184402</v>
      </c>
      <c r="IY103" s="19">
        <f t="shared" si="357"/>
        <v>36570376.489999995</v>
      </c>
      <c r="IZ103" s="19">
        <f t="shared" si="357"/>
        <v>272840882.50999999</v>
      </c>
      <c r="JA103" s="19">
        <f t="shared" si="357"/>
        <v>397879952.73000002</v>
      </c>
      <c r="JB103" s="19">
        <f t="shared" si="357"/>
        <v>1194152993.78</v>
      </c>
      <c r="JC103" s="19">
        <f t="shared" si="357"/>
        <v>393331380.88999999</v>
      </c>
      <c r="JD103" s="19">
        <f t="shared" ref="JD103:JS103" si="358">SUM(JD3:JD92)</f>
        <v>203485857.06999999</v>
      </c>
      <c r="JE103" s="19">
        <f t="shared" si="358"/>
        <v>1071580926.84</v>
      </c>
      <c r="JF103" s="19">
        <f t="shared" si="358"/>
        <v>1837654597.45</v>
      </c>
      <c r="JG103" s="19">
        <f t="shared" si="358"/>
        <v>4726427449.0300007</v>
      </c>
      <c r="JH103" s="19">
        <f t="shared" si="358"/>
        <v>2811618</v>
      </c>
      <c r="JI103" s="19">
        <f t="shared" si="358"/>
        <v>697185</v>
      </c>
      <c r="JJ103" s="19">
        <f t="shared" si="358"/>
        <v>24429</v>
      </c>
      <c r="JK103" s="19">
        <f t="shared" si="358"/>
        <v>129472</v>
      </c>
      <c r="JL103" s="19">
        <f t="shared" si="358"/>
        <v>53339184</v>
      </c>
      <c r="JM103" s="19">
        <f t="shared" si="358"/>
        <v>57001888</v>
      </c>
      <c r="JN103" s="19">
        <f t="shared" si="358"/>
        <v>1196630971.78</v>
      </c>
      <c r="JO103" s="19">
        <f t="shared" si="358"/>
        <v>389379955.88999999</v>
      </c>
      <c r="JP103" s="19">
        <f t="shared" si="358"/>
        <v>203719904.06999999</v>
      </c>
      <c r="JQ103" s="19">
        <f t="shared" si="358"/>
        <v>1009025463.84</v>
      </c>
      <c r="JR103" s="19">
        <f t="shared" si="358"/>
        <v>1889734293.45</v>
      </c>
      <c r="JS103" s="19">
        <f t="shared" si="358"/>
        <v>4714712282.0300007</v>
      </c>
    </row>
    <row r="105" spans="1:279" x14ac:dyDescent="0.15">
      <c r="H105" s="19">
        <f>G103+H103</f>
        <v>1793203</v>
      </c>
    </row>
  </sheetData>
  <sortState ref="A3:JS92">
    <sortCondition ref="A3:A92"/>
  </sortState>
  <conditionalFormatting sqref="GZ7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workbookViewId="0">
      <selection activeCell="H32" sqref="H32"/>
    </sheetView>
  </sheetViews>
  <sheetFormatPr baseColWidth="10" defaultRowHeight="16" x14ac:dyDescent="0.2"/>
  <cols>
    <col min="1" max="1" width="18.1640625" customWidth="1"/>
    <col min="2" max="2" width="9" customWidth="1"/>
    <col min="3" max="3" width="20.1640625" customWidth="1"/>
    <col min="4" max="4" width="7.33203125" bestFit="1" customWidth="1"/>
    <col min="5" max="5" width="26.83203125" bestFit="1" customWidth="1"/>
    <col min="6" max="6" width="3.1640625" bestFit="1" customWidth="1"/>
    <col min="7" max="7" width="7.5" bestFit="1" customWidth="1"/>
    <col min="8" max="9" width="9" customWidth="1"/>
    <col min="10" max="10" width="34.33203125" customWidth="1"/>
  </cols>
  <sheetData>
    <row r="1" spans="1:11" x14ac:dyDescent="0.2">
      <c r="A1" t="s">
        <v>491</v>
      </c>
    </row>
    <row r="2" spans="1:11" x14ac:dyDescent="0.2">
      <c r="A2" t="s">
        <v>404</v>
      </c>
      <c r="B2" t="s">
        <v>408</v>
      </c>
      <c r="H2" t="s">
        <v>502</v>
      </c>
    </row>
    <row r="3" spans="1:11" x14ac:dyDescent="0.2">
      <c r="A3" t="s">
        <v>1</v>
      </c>
      <c r="B3" t="s">
        <v>409</v>
      </c>
      <c r="H3" t="s">
        <v>456</v>
      </c>
    </row>
    <row r="4" spans="1:11" x14ac:dyDescent="0.2">
      <c r="A4" t="s">
        <v>2</v>
      </c>
      <c r="B4" t="s">
        <v>410</v>
      </c>
    </row>
    <row r="5" spans="1:11" x14ac:dyDescent="0.2">
      <c r="A5" t="s">
        <v>3</v>
      </c>
      <c r="B5" t="s">
        <v>411</v>
      </c>
    </row>
    <row r="6" spans="1:11" x14ac:dyDescent="0.2">
      <c r="A6" t="s">
        <v>4</v>
      </c>
      <c r="B6">
        <v>1</v>
      </c>
      <c r="C6" t="s">
        <v>299</v>
      </c>
      <c r="H6" s="3"/>
    </row>
    <row r="7" spans="1:11" x14ac:dyDescent="0.2">
      <c r="B7">
        <v>2</v>
      </c>
      <c r="C7" t="s">
        <v>412</v>
      </c>
    </row>
    <row r="8" spans="1:11" x14ac:dyDescent="0.2">
      <c r="B8">
        <v>3</v>
      </c>
      <c r="C8" t="s">
        <v>307</v>
      </c>
    </row>
    <row r="9" spans="1:11" x14ac:dyDescent="0.2">
      <c r="B9">
        <v>4</v>
      </c>
      <c r="C9" t="s">
        <v>302</v>
      </c>
    </row>
    <row r="10" spans="1:11" x14ac:dyDescent="0.2">
      <c r="B10">
        <v>5</v>
      </c>
      <c r="C10" t="s">
        <v>399</v>
      </c>
    </row>
    <row r="11" spans="1:11" x14ac:dyDescent="0.2">
      <c r="B11">
        <v>6</v>
      </c>
      <c r="C11" t="s">
        <v>426</v>
      </c>
    </row>
    <row r="12" spans="1:11" x14ac:dyDescent="0.2">
      <c r="B12">
        <v>7</v>
      </c>
      <c r="C12" t="s">
        <v>413</v>
      </c>
    </row>
    <row r="13" spans="1:11" x14ac:dyDescent="0.2">
      <c r="B13">
        <v>8</v>
      </c>
      <c r="C13" t="s">
        <v>398</v>
      </c>
    </row>
    <row r="14" spans="1:11" x14ac:dyDescent="0.2">
      <c r="B14">
        <v>9</v>
      </c>
      <c r="C14" t="s">
        <v>401</v>
      </c>
    </row>
    <row r="15" spans="1:11" x14ac:dyDescent="0.2">
      <c r="B15">
        <v>10</v>
      </c>
      <c r="C15" t="s">
        <v>400</v>
      </c>
      <c r="K15" t="s">
        <v>517</v>
      </c>
    </row>
    <row r="16" spans="1:11" x14ac:dyDescent="0.2">
      <c r="B16">
        <v>11</v>
      </c>
      <c r="C16" t="s">
        <v>304</v>
      </c>
      <c r="K16" t="s">
        <v>433</v>
      </c>
    </row>
    <row r="17" spans="1:16" x14ac:dyDescent="0.2">
      <c r="B17">
        <v>12</v>
      </c>
      <c r="C17" t="s">
        <v>463</v>
      </c>
      <c r="K17" t="s">
        <v>466</v>
      </c>
    </row>
    <row r="18" spans="1:16" x14ac:dyDescent="0.2">
      <c r="A18" t="s">
        <v>414</v>
      </c>
      <c r="K18" s="28" t="s">
        <v>440</v>
      </c>
    </row>
    <row r="19" spans="1:16" x14ac:dyDescent="0.2">
      <c r="K19" t="s">
        <v>443</v>
      </c>
    </row>
    <row r="20" spans="1:16" x14ac:dyDescent="0.2">
      <c r="A20" t="s">
        <v>492</v>
      </c>
      <c r="E20" s="17"/>
      <c r="K20" t="s">
        <v>449</v>
      </c>
    </row>
    <row r="21" spans="1:16" x14ac:dyDescent="0.2">
      <c r="A21" t="s">
        <v>465</v>
      </c>
      <c r="B21" s="2"/>
      <c r="C21" t="s">
        <v>460</v>
      </c>
      <c r="K21" s="28" t="s">
        <v>455</v>
      </c>
      <c r="P21" s="30"/>
    </row>
    <row r="22" spans="1:16" x14ac:dyDescent="0.2">
      <c r="B22" s="17"/>
      <c r="L22" s="28"/>
      <c r="P22" s="30"/>
    </row>
    <row r="23" spans="1:16" x14ac:dyDescent="0.2">
      <c r="B23" s="17"/>
      <c r="G23" s="147"/>
      <c r="H23" s="147" t="s">
        <v>496</v>
      </c>
      <c r="I23" s="147"/>
      <c r="L23" s="28"/>
      <c r="P23" s="30"/>
    </row>
    <row r="24" spans="1:16" x14ac:dyDescent="0.2">
      <c r="A24" s="3"/>
      <c r="B24" s="3"/>
      <c r="C24" s="3"/>
      <c r="D24" s="3"/>
      <c r="G24" s="147" t="s">
        <v>493</v>
      </c>
      <c r="H24" s="147" t="s">
        <v>510</v>
      </c>
      <c r="I24" s="147" t="s">
        <v>494</v>
      </c>
      <c r="L24" s="148" t="s">
        <v>511</v>
      </c>
    </row>
    <row r="25" spans="1:16" x14ac:dyDescent="0.2">
      <c r="A25" s="97" t="s">
        <v>415</v>
      </c>
      <c r="B25" s="160" t="s">
        <v>400</v>
      </c>
      <c r="C25" s="29" t="s">
        <v>284</v>
      </c>
      <c r="D25" s="159" t="s">
        <v>401</v>
      </c>
      <c r="E25" s="29" t="s">
        <v>284</v>
      </c>
      <c r="F25" s="17">
        <v>9</v>
      </c>
      <c r="G25" s="140"/>
      <c r="H25" s="141"/>
      <c r="I25" s="141"/>
      <c r="J25" s="29"/>
    </row>
    <row r="26" spans="1:16" x14ac:dyDescent="0.2">
      <c r="A26" s="29" t="s">
        <v>284</v>
      </c>
      <c r="B26" s="159" t="s">
        <v>401</v>
      </c>
      <c r="C26" s="29" t="s">
        <v>416</v>
      </c>
      <c r="D26" s="159" t="s">
        <v>399</v>
      </c>
      <c r="E26" s="152" t="s">
        <v>416</v>
      </c>
      <c r="F26" s="164">
        <v>5</v>
      </c>
      <c r="G26" s="142" t="s">
        <v>495</v>
      </c>
      <c r="H26" s="141"/>
      <c r="I26" s="141"/>
      <c r="J26" s="29" t="s">
        <v>497</v>
      </c>
    </row>
    <row r="27" spans="1:16" x14ac:dyDescent="0.2">
      <c r="A27" s="29" t="s">
        <v>416</v>
      </c>
      <c r="B27" s="159" t="s">
        <v>399</v>
      </c>
      <c r="C27" s="29" t="s">
        <v>512</v>
      </c>
      <c r="D27" s="159" t="s">
        <v>398</v>
      </c>
      <c r="E27" s="29" t="s">
        <v>512</v>
      </c>
      <c r="F27" s="17">
        <v>8</v>
      </c>
      <c r="G27" s="142"/>
      <c r="H27" s="143"/>
      <c r="I27" s="144"/>
      <c r="J27" s="29"/>
    </row>
    <row r="28" spans="1:16" x14ac:dyDescent="0.2">
      <c r="A28" s="29" t="s">
        <v>512</v>
      </c>
      <c r="B28" s="159" t="s">
        <v>398</v>
      </c>
      <c r="C28" s="29" t="s">
        <v>285</v>
      </c>
      <c r="D28" s="159" t="s">
        <v>418</v>
      </c>
      <c r="E28" s="29" t="s">
        <v>285</v>
      </c>
      <c r="F28" s="17">
        <v>4</v>
      </c>
      <c r="G28" s="141"/>
      <c r="H28" s="141"/>
      <c r="I28" s="141"/>
      <c r="J28" s="29" t="s">
        <v>506</v>
      </c>
    </row>
    <row r="29" spans="1:16" x14ac:dyDescent="0.2">
      <c r="A29" s="29" t="s">
        <v>285</v>
      </c>
      <c r="B29" s="159" t="s">
        <v>418</v>
      </c>
      <c r="C29" s="29" t="s">
        <v>286</v>
      </c>
      <c r="D29" s="159" t="s">
        <v>418</v>
      </c>
      <c r="E29" s="29" t="s">
        <v>286</v>
      </c>
      <c r="F29" s="17">
        <v>4</v>
      </c>
      <c r="G29" s="142"/>
      <c r="H29" s="141"/>
      <c r="I29" s="141"/>
      <c r="J29" s="29"/>
    </row>
    <row r="30" spans="1:16" x14ac:dyDescent="0.2">
      <c r="A30" s="29" t="s">
        <v>286</v>
      </c>
      <c r="B30" s="159" t="s">
        <v>418</v>
      </c>
      <c r="C30" s="29" t="s">
        <v>287</v>
      </c>
      <c r="D30" s="159" t="s">
        <v>399</v>
      </c>
      <c r="E30" s="29" t="s">
        <v>287</v>
      </c>
      <c r="F30" s="17">
        <v>5</v>
      </c>
      <c r="G30" s="142"/>
      <c r="H30" s="141"/>
      <c r="I30" s="141"/>
      <c r="J30" s="29"/>
    </row>
    <row r="31" spans="1:16" x14ac:dyDescent="0.2">
      <c r="A31" s="29" t="s">
        <v>287</v>
      </c>
      <c r="B31" s="159" t="s">
        <v>399</v>
      </c>
      <c r="C31" s="29" t="s">
        <v>288</v>
      </c>
      <c r="D31" s="159" t="s">
        <v>417</v>
      </c>
      <c r="E31" s="29" t="s">
        <v>288</v>
      </c>
      <c r="F31" s="17">
        <v>11</v>
      </c>
      <c r="G31" s="140"/>
      <c r="H31" s="141"/>
      <c r="I31" s="141"/>
      <c r="J31" s="29"/>
    </row>
    <row r="32" spans="1:16" x14ac:dyDescent="0.2">
      <c r="A32" s="29" t="s">
        <v>288</v>
      </c>
      <c r="B32" s="159" t="s">
        <v>417</v>
      </c>
      <c r="C32" s="29" t="s">
        <v>289</v>
      </c>
      <c r="D32" s="159" t="s">
        <v>399</v>
      </c>
      <c r="E32" s="29" t="s">
        <v>289</v>
      </c>
      <c r="F32" s="17">
        <v>5</v>
      </c>
      <c r="G32" s="142"/>
      <c r="H32" s="141"/>
      <c r="I32" s="141"/>
      <c r="J32" s="29"/>
    </row>
    <row r="33" spans="1:14" x14ac:dyDescent="0.2">
      <c r="A33" s="97" t="s">
        <v>419</v>
      </c>
      <c r="B33" s="160" t="s">
        <v>420</v>
      </c>
      <c r="C33" s="29" t="s">
        <v>290</v>
      </c>
      <c r="D33" s="159" t="s">
        <v>401</v>
      </c>
      <c r="E33" s="29" t="s">
        <v>290</v>
      </c>
      <c r="F33" s="17">
        <v>9</v>
      </c>
      <c r="G33" s="142"/>
      <c r="H33" s="141"/>
      <c r="I33" s="141"/>
      <c r="J33" s="29"/>
    </row>
    <row r="34" spans="1:14" x14ac:dyDescent="0.2">
      <c r="A34" s="29" t="s">
        <v>289</v>
      </c>
      <c r="B34" s="159" t="s">
        <v>399</v>
      </c>
      <c r="C34" s="29" t="s">
        <v>291</v>
      </c>
      <c r="D34" s="159" t="s">
        <v>400</v>
      </c>
      <c r="E34" s="29" t="s">
        <v>291</v>
      </c>
      <c r="F34" s="164">
        <v>10</v>
      </c>
      <c r="G34" s="142"/>
      <c r="H34" s="141"/>
      <c r="I34" s="141"/>
      <c r="J34" s="29"/>
    </row>
    <row r="35" spans="1:14" x14ac:dyDescent="0.2">
      <c r="A35" s="29" t="s">
        <v>290</v>
      </c>
      <c r="B35" s="159" t="s">
        <v>401</v>
      </c>
      <c r="C35" s="29" t="s">
        <v>292</v>
      </c>
      <c r="D35" s="159" t="s">
        <v>401</v>
      </c>
      <c r="E35" s="29" t="s">
        <v>292</v>
      </c>
      <c r="F35" s="17">
        <v>9</v>
      </c>
      <c r="G35" s="142"/>
      <c r="H35" s="143"/>
      <c r="I35" s="144"/>
      <c r="J35" s="29" t="s">
        <v>504</v>
      </c>
      <c r="N35" s="29"/>
    </row>
    <row r="36" spans="1:14" x14ac:dyDescent="0.2">
      <c r="A36" s="161" t="s">
        <v>421</v>
      </c>
      <c r="B36" s="160" t="s">
        <v>422</v>
      </c>
      <c r="C36" s="29" t="s">
        <v>293</v>
      </c>
      <c r="D36" s="159" t="s">
        <v>401</v>
      </c>
      <c r="E36" s="152" t="s">
        <v>293</v>
      </c>
      <c r="F36" s="17">
        <v>9</v>
      </c>
      <c r="G36" s="142" t="s">
        <v>495</v>
      </c>
      <c r="H36" s="143" t="s">
        <v>495</v>
      </c>
      <c r="I36" s="144" t="s">
        <v>495</v>
      </c>
      <c r="J36" s="29" t="s">
        <v>509</v>
      </c>
    </row>
    <row r="37" spans="1:14" x14ac:dyDescent="0.2">
      <c r="A37" s="29" t="s">
        <v>291</v>
      </c>
      <c r="B37" s="159" t="s">
        <v>400</v>
      </c>
      <c r="C37" s="29" t="s">
        <v>294</v>
      </c>
      <c r="D37" s="159" t="s">
        <v>418</v>
      </c>
      <c r="E37" s="29" t="s">
        <v>294</v>
      </c>
      <c r="F37" s="17">
        <v>4</v>
      </c>
      <c r="G37" s="142"/>
      <c r="H37" s="143"/>
      <c r="I37" s="144"/>
      <c r="J37" s="29"/>
      <c r="N37" s="29"/>
    </row>
    <row r="38" spans="1:14" x14ac:dyDescent="0.2">
      <c r="A38" s="97" t="s">
        <v>423</v>
      </c>
      <c r="B38" s="160" t="s">
        <v>299</v>
      </c>
      <c r="C38" s="29" t="s">
        <v>277</v>
      </c>
      <c r="D38" s="159" t="s">
        <v>401</v>
      </c>
      <c r="E38" s="29" t="s">
        <v>277</v>
      </c>
      <c r="F38" s="17">
        <v>9</v>
      </c>
      <c r="G38" s="142"/>
      <c r="H38" s="143"/>
      <c r="I38" s="144"/>
      <c r="J38" s="29"/>
    </row>
    <row r="39" spans="1:14" x14ac:dyDescent="0.2">
      <c r="A39" s="29" t="s">
        <v>292</v>
      </c>
      <c r="B39" s="159" t="s">
        <v>401</v>
      </c>
      <c r="C39" s="29" t="s">
        <v>278</v>
      </c>
      <c r="D39" s="159" t="s">
        <v>299</v>
      </c>
      <c r="E39" s="29" t="s">
        <v>278</v>
      </c>
      <c r="F39" s="17">
        <v>1</v>
      </c>
      <c r="G39" s="145"/>
      <c r="H39" s="143"/>
      <c r="I39" s="144"/>
      <c r="J39" s="29" t="s">
        <v>505</v>
      </c>
    </row>
    <row r="40" spans="1:14" x14ac:dyDescent="0.2">
      <c r="A40" s="29" t="s">
        <v>293</v>
      </c>
      <c r="B40" s="159" t="s">
        <v>401</v>
      </c>
      <c r="C40" s="149" t="s">
        <v>279</v>
      </c>
      <c r="D40" s="159" t="s">
        <v>418</v>
      </c>
      <c r="E40" s="149" t="s">
        <v>279</v>
      </c>
      <c r="F40" s="17">
        <v>4</v>
      </c>
      <c r="G40" s="142"/>
      <c r="H40" s="143"/>
      <c r="I40" s="144"/>
      <c r="J40" s="29"/>
    </row>
    <row r="41" spans="1:14" x14ac:dyDescent="0.2">
      <c r="A41" s="97" t="s">
        <v>424</v>
      </c>
      <c r="B41" s="160" t="s">
        <v>420</v>
      </c>
      <c r="C41" s="29" t="s">
        <v>280</v>
      </c>
      <c r="D41" s="159" t="s">
        <v>400</v>
      </c>
      <c r="E41" s="29" t="s">
        <v>280</v>
      </c>
      <c r="F41" s="17">
        <v>10</v>
      </c>
      <c r="G41" s="142"/>
      <c r="H41" s="143"/>
      <c r="I41" s="144"/>
      <c r="J41" s="29"/>
    </row>
    <row r="42" spans="1:14" x14ac:dyDescent="0.2">
      <c r="A42" s="29" t="s">
        <v>294</v>
      </c>
      <c r="B42" s="159" t="s">
        <v>418</v>
      </c>
      <c r="C42" s="29" t="s">
        <v>281</v>
      </c>
      <c r="D42" s="159" t="s">
        <v>462</v>
      </c>
      <c r="E42" s="29" t="s">
        <v>281</v>
      </c>
      <c r="F42" s="17">
        <v>7</v>
      </c>
      <c r="G42" s="140"/>
      <c r="H42" s="143"/>
      <c r="I42" s="144"/>
      <c r="J42" s="29"/>
    </row>
    <row r="43" spans="1:14" x14ac:dyDescent="0.2">
      <c r="A43" s="97" t="s">
        <v>515</v>
      </c>
      <c r="B43" s="160" t="s">
        <v>398</v>
      </c>
      <c r="C43" s="29" t="s">
        <v>428</v>
      </c>
      <c r="D43" s="159" t="s">
        <v>398</v>
      </c>
      <c r="E43" s="152" t="s">
        <v>428</v>
      </c>
      <c r="F43" s="17">
        <v>6</v>
      </c>
      <c r="G43" s="142" t="s">
        <v>495</v>
      </c>
      <c r="H43" s="143"/>
      <c r="I43" s="144"/>
      <c r="J43" s="29" t="s">
        <v>501</v>
      </c>
    </row>
    <row r="44" spans="1:14" x14ac:dyDescent="0.2">
      <c r="A44" s="29" t="s">
        <v>277</v>
      </c>
      <c r="B44" s="159" t="s">
        <v>401</v>
      </c>
      <c r="C44" s="29" t="s">
        <v>429</v>
      </c>
      <c r="D44" s="159" t="s">
        <v>401</v>
      </c>
      <c r="E44" s="29" t="s">
        <v>429</v>
      </c>
      <c r="F44" s="17">
        <v>9</v>
      </c>
      <c r="G44" s="140"/>
      <c r="H44" s="143"/>
      <c r="I44" s="144"/>
      <c r="J44" s="29"/>
    </row>
    <row r="45" spans="1:14" x14ac:dyDescent="0.2">
      <c r="A45" s="97" t="s">
        <v>425</v>
      </c>
      <c r="B45" s="160" t="s">
        <v>462</v>
      </c>
      <c r="C45" s="29" t="s">
        <v>430</v>
      </c>
      <c r="D45" s="159" t="s">
        <v>399</v>
      </c>
      <c r="E45" s="29" t="s">
        <v>430</v>
      </c>
      <c r="F45" s="17">
        <v>5</v>
      </c>
      <c r="G45" s="142"/>
      <c r="H45" s="143"/>
      <c r="I45" s="144"/>
      <c r="J45" s="29"/>
    </row>
    <row r="46" spans="1:14" x14ac:dyDescent="0.2">
      <c r="A46" s="29" t="s">
        <v>278</v>
      </c>
      <c r="B46" s="159" t="s">
        <v>299</v>
      </c>
      <c r="C46" s="29" t="s">
        <v>431</v>
      </c>
      <c r="D46" s="159" t="s">
        <v>417</v>
      </c>
      <c r="E46" s="29" t="s">
        <v>431</v>
      </c>
      <c r="F46" s="17">
        <v>8</v>
      </c>
      <c r="G46" s="140"/>
      <c r="H46" s="143"/>
      <c r="I46" s="144"/>
      <c r="J46" s="29"/>
    </row>
    <row r="47" spans="1:14" x14ac:dyDescent="0.2">
      <c r="A47" s="149" t="s">
        <v>279</v>
      </c>
      <c r="B47" s="159" t="s">
        <v>418</v>
      </c>
      <c r="C47" s="29" t="s">
        <v>513</v>
      </c>
      <c r="D47" s="159" t="s">
        <v>417</v>
      </c>
      <c r="E47" s="29" t="s">
        <v>513</v>
      </c>
      <c r="F47" s="17">
        <v>11</v>
      </c>
      <c r="G47" s="142"/>
      <c r="H47" s="143"/>
      <c r="I47" s="144"/>
      <c r="J47" s="29"/>
    </row>
    <row r="48" spans="1:14" x14ac:dyDescent="0.2">
      <c r="A48" s="29" t="s">
        <v>280</v>
      </c>
      <c r="B48" s="159" t="s">
        <v>400</v>
      </c>
      <c r="C48" s="29" t="s">
        <v>282</v>
      </c>
      <c r="D48" s="159" t="s">
        <v>299</v>
      </c>
      <c r="E48" s="29" t="s">
        <v>282</v>
      </c>
      <c r="F48" s="17">
        <v>1</v>
      </c>
      <c r="G48" s="142"/>
      <c r="H48" s="143"/>
      <c r="I48" s="144"/>
      <c r="J48" s="29"/>
    </row>
    <row r="49" spans="1:10" x14ac:dyDescent="0.2">
      <c r="A49" s="29" t="s">
        <v>281</v>
      </c>
      <c r="B49" s="159" t="s">
        <v>462</v>
      </c>
      <c r="C49" s="29" t="s">
        <v>283</v>
      </c>
      <c r="D49" s="159" t="s">
        <v>463</v>
      </c>
      <c r="E49" s="29" t="s">
        <v>283</v>
      </c>
      <c r="F49" s="17">
        <v>10</v>
      </c>
      <c r="G49" s="142"/>
      <c r="H49" s="143"/>
      <c r="I49" s="144"/>
      <c r="J49" s="29"/>
    </row>
    <row r="50" spans="1:10" x14ac:dyDescent="0.2">
      <c r="A50" s="97" t="s">
        <v>427</v>
      </c>
      <c r="B50" s="160" t="s">
        <v>299</v>
      </c>
      <c r="C50" s="29" t="s">
        <v>309</v>
      </c>
      <c r="D50" s="159" t="s">
        <v>399</v>
      </c>
      <c r="E50" s="152" t="s">
        <v>309</v>
      </c>
      <c r="F50" s="17">
        <v>5</v>
      </c>
      <c r="G50" s="142" t="s">
        <v>495</v>
      </c>
      <c r="H50" s="143"/>
      <c r="I50" s="144"/>
      <c r="J50" s="29" t="s">
        <v>503</v>
      </c>
    </row>
    <row r="51" spans="1:10" x14ac:dyDescent="0.2">
      <c r="A51" s="29" t="s">
        <v>428</v>
      </c>
      <c r="B51" s="159" t="s">
        <v>398</v>
      </c>
      <c r="C51" s="29" t="s">
        <v>310</v>
      </c>
      <c r="D51" s="159" t="s">
        <v>299</v>
      </c>
      <c r="E51" s="29" t="s">
        <v>310</v>
      </c>
      <c r="F51" s="17">
        <v>1</v>
      </c>
      <c r="G51" s="140"/>
      <c r="H51" s="143"/>
      <c r="I51" s="144"/>
      <c r="J51" s="29"/>
    </row>
    <row r="52" spans="1:10" x14ac:dyDescent="0.2">
      <c r="A52" s="29" t="s">
        <v>429</v>
      </c>
      <c r="B52" s="159" t="s">
        <v>401</v>
      </c>
      <c r="C52" s="29" t="s">
        <v>311</v>
      </c>
      <c r="D52" s="159" t="s">
        <v>463</v>
      </c>
      <c r="E52" s="29" t="s">
        <v>311</v>
      </c>
      <c r="F52" s="17">
        <v>10</v>
      </c>
      <c r="G52" s="140"/>
      <c r="H52" s="143"/>
      <c r="I52" s="144"/>
      <c r="J52" s="29"/>
    </row>
    <row r="53" spans="1:10" x14ac:dyDescent="0.2">
      <c r="A53" s="29" t="s">
        <v>430</v>
      </c>
      <c r="B53" s="159" t="s">
        <v>399</v>
      </c>
      <c r="C53" s="29" t="s">
        <v>312</v>
      </c>
      <c r="D53" s="159" t="s">
        <v>398</v>
      </c>
      <c r="E53" s="29" t="s">
        <v>312</v>
      </c>
      <c r="F53" s="17">
        <v>6</v>
      </c>
      <c r="G53" s="145"/>
      <c r="H53" s="143"/>
      <c r="I53" s="144"/>
      <c r="J53" s="29"/>
    </row>
    <row r="54" spans="1:10" x14ac:dyDescent="0.2">
      <c r="A54" s="29" t="s">
        <v>431</v>
      </c>
      <c r="B54" s="159" t="s">
        <v>417</v>
      </c>
      <c r="C54" s="29" t="s">
        <v>313</v>
      </c>
      <c r="D54" s="159" t="s">
        <v>463</v>
      </c>
      <c r="E54" s="152" t="s">
        <v>313</v>
      </c>
      <c r="F54" s="17">
        <v>11</v>
      </c>
      <c r="G54" s="142" t="s">
        <v>495</v>
      </c>
      <c r="H54" s="143" t="s">
        <v>495</v>
      </c>
      <c r="I54" s="144"/>
      <c r="J54" s="29" t="s">
        <v>499</v>
      </c>
    </row>
    <row r="55" spans="1:10" x14ac:dyDescent="0.2">
      <c r="A55" s="29" t="s">
        <v>513</v>
      </c>
      <c r="B55" s="159" t="s">
        <v>417</v>
      </c>
      <c r="C55" s="150" t="s">
        <v>314</v>
      </c>
      <c r="D55" s="159" t="s">
        <v>432</v>
      </c>
      <c r="E55" s="150" t="s">
        <v>314</v>
      </c>
      <c r="F55" s="17">
        <v>3</v>
      </c>
      <c r="G55" s="142"/>
      <c r="H55" s="143"/>
      <c r="I55" s="144"/>
      <c r="J55" s="29"/>
    </row>
    <row r="56" spans="1:10" x14ac:dyDescent="0.2">
      <c r="A56" s="29" t="s">
        <v>282</v>
      </c>
      <c r="B56" s="159" t="s">
        <v>299</v>
      </c>
      <c r="C56" s="150" t="s">
        <v>315</v>
      </c>
      <c r="D56" s="159" t="s">
        <v>432</v>
      </c>
      <c r="E56" s="150" t="s">
        <v>315</v>
      </c>
      <c r="F56" s="17">
        <v>3</v>
      </c>
      <c r="G56" s="140"/>
      <c r="H56" s="143"/>
      <c r="I56" s="144"/>
      <c r="J56" s="29"/>
    </row>
    <row r="57" spans="1:10" x14ac:dyDescent="0.2">
      <c r="A57" s="29" t="s">
        <v>283</v>
      </c>
      <c r="B57" s="159" t="s">
        <v>463</v>
      </c>
      <c r="C57" s="150" t="s">
        <v>316</v>
      </c>
      <c r="D57" s="159" t="s">
        <v>432</v>
      </c>
      <c r="E57" s="150" t="s">
        <v>316</v>
      </c>
      <c r="F57" s="17">
        <v>3</v>
      </c>
      <c r="G57" s="142"/>
      <c r="H57" s="141"/>
      <c r="I57" s="144"/>
      <c r="J57" s="29"/>
    </row>
    <row r="58" spans="1:10" x14ac:dyDescent="0.2">
      <c r="A58" s="29" t="s">
        <v>309</v>
      </c>
      <c r="B58" s="159" t="s">
        <v>399</v>
      </c>
      <c r="C58" s="149" t="s">
        <v>317</v>
      </c>
      <c r="D58" s="159" t="s">
        <v>422</v>
      </c>
      <c r="E58" s="149" t="s">
        <v>317</v>
      </c>
      <c r="F58" s="17">
        <v>2</v>
      </c>
      <c r="G58" s="142"/>
      <c r="H58" s="141"/>
      <c r="I58" s="144"/>
      <c r="J58" s="29"/>
    </row>
    <row r="59" spans="1:10" x14ac:dyDescent="0.2">
      <c r="A59" s="29" t="s">
        <v>310</v>
      </c>
      <c r="B59" s="159" t="s">
        <v>299</v>
      </c>
      <c r="C59" s="149" t="s">
        <v>318</v>
      </c>
      <c r="D59" s="159" t="s">
        <v>422</v>
      </c>
      <c r="E59" s="149" t="s">
        <v>318</v>
      </c>
      <c r="F59" s="17">
        <v>2</v>
      </c>
      <c r="G59" s="142"/>
      <c r="H59" s="141"/>
      <c r="I59" s="144"/>
      <c r="J59" s="29"/>
    </row>
    <row r="60" spans="1:10" x14ac:dyDescent="0.2">
      <c r="A60" s="29" t="s">
        <v>311</v>
      </c>
      <c r="B60" s="159" t="s">
        <v>463</v>
      </c>
      <c r="C60" s="149" t="s">
        <v>319</v>
      </c>
      <c r="D60" s="159" t="s">
        <v>401</v>
      </c>
      <c r="E60" s="149" t="s">
        <v>319</v>
      </c>
      <c r="F60" s="17">
        <v>9</v>
      </c>
      <c r="G60" s="142"/>
      <c r="H60" s="141"/>
      <c r="I60" s="144"/>
      <c r="J60" s="29"/>
    </row>
    <row r="61" spans="1:10" x14ac:dyDescent="0.2">
      <c r="A61" s="98" t="s">
        <v>312</v>
      </c>
      <c r="B61" s="163" t="s">
        <v>398</v>
      </c>
      <c r="C61" s="29" t="s">
        <v>330</v>
      </c>
      <c r="D61" s="159" t="s">
        <v>399</v>
      </c>
      <c r="E61" s="29" t="s">
        <v>330</v>
      </c>
      <c r="F61" s="17">
        <v>5</v>
      </c>
      <c r="G61" s="140"/>
      <c r="H61" s="141"/>
      <c r="I61" s="144"/>
      <c r="J61" s="29"/>
    </row>
    <row r="62" spans="1:10" x14ac:dyDescent="0.2">
      <c r="A62" s="29" t="s">
        <v>313</v>
      </c>
      <c r="B62" s="159" t="s">
        <v>463</v>
      </c>
      <c r="C62" s="29" t="s">
        <v>434</v>
      </c>
      <c r="D62" s="159" t="s">
        <v>417</v>
      </c>
      <c r="E62" s="29" t="s">
        <v>434</v>
      </c>
      <c r="F62" s="17">
        <v>8</v>
      </c>
      <c r="G62" s="140"/>
      <c r="H62" s="141"/>
      <c r="I62" s="144"/>
      <c r="J62" s="29"/>
    </row>
    <row r="63" spans="1:10" x14ac:dyDescent="0.2">
      <c r="A63" s="150" t="s">
        <v>314</v>
      </c>
      <c r="B63" s="159" t="s">
        <v>432</v>
      </c>
      <c r="C63" s="29" t="s">
        <v>331</v>
      </c>
      <c r="D63" s="159" t="s">
        <v>463</v>
      </c>
      <c r="E63" s="29" t="s">
        <v>331</v>
      </c>
      <c r="F63" s="17">
        <v>8</v>
      </c>
      <c r="G63" s="142"/>
      <c r="H63" s="141"/>
      <c r="I63" s="144"/>
      <c r="J63" s="29"/>
    </row>
    <row r="64" spans="1:10" x14ac:dyDescent="0.2">
      <c r="A64" s="150" t="s">
        <v>315</v>
      </c>
      <c r="B64" s="159" t="s">
        <v>432</v>
      </c>
      <c r="C64" s="98" t="s">
        <v>332</v>
      </c>
      <c r="D64" s="163" t="s">
        <v>462</v>
      </c>
      <c r="E64" s="29" t="s">
        <v>332</v>
      </c>
      <c r="F64" s="17">
        <v>7</v>
      </c>
      <c r="G64" s="142"/>
      <c r="H64" s="143"/>
      <c r="I64" s="144"/>
      <c r="J64" s="29"/>
    </row>
    <row r="65" spans="1:10" x14ac:dyDescent="0.2">
      <c r="A65" s="150" t="s">
        <v>316</v>
      </c>
      <c r="B65" s="159" t="s">
        <v>432</v>
      </c>
      <c r="C65" s="29" t="s">
        <v>436</v>
      </c>
      <c r="D65" s="159" t="s">
        <v>399</v>
      </c>
      <c r="E65" s="29" t="s">
        <v>436</v>
      </c>
      <c r="F65" s="17">
        <v>5</v>
      </c>
      <c r="G65" s="140"/>
      <c r="H65" s="141"/>
      <c r="I65" s="144"/>
      <c r="J65" s="29"/>
    </row>
    <row r="66" spans="1:10" x14ac:dyDescent="0.2">
      <c r="A66" s="149" t="s">
        <v>317</v>
      </c>
      <c r="B66" s="159" t="s">
        <v>422</v>
      </c>
      <c r="C66" s="29" t="s">
        <v>333</v>
      </c>
      <c r="D66" s="159" t="s">
        <v>398</v>
      </c>
      <c r="E66" s="29" t="s">
        <v>333</v>
      </c>
      <c r="F66" s="17">
        <v>8</v>
      </c>
      <c r="G66" s="142"/>
      <c r="H66" s="143"/>
      <c r="I66" s="144"/>
      <c r="J66" s="29"/>
    </row>
    <row r="67" spans="1:10" x14ac:dyDescent="0.2">
      <c r="A67" s="149" t="s">
        <v>318</v>
      </c>
      <c r="B67" s="159" t="s">
        <v>422</v>
      </c>
      <c r="C67" s="29" t="s">
        <v>334</v>
      </c>
      <c r="D67" s="159" t="s">
        <v>299</v>
      </c>
      <c r="E67" s="29" t="s">
        <v>334</v>
      </c>
      <c r="F67" s="164">
        <v>1</v>
      </c>
      <c r="G67" s="142"/>
      <c r="H67" s="143"/>
      <c r="I67" s="144"/>
      <c r="J67" s="29"/>
    </row>
    <row r="68" spans="1:10" x14ac:dyDescent="0.2">
      <c r="A68" s="161" t="s">
        <v>433</v>
      </c>
      <c r="B68" s="160" t="s">
        <v>422</v>
      </c>
      <c r="C68" s="29" t="s">
        <v>335</v>
      </c>
      <c r="D68" s="159" t="s">
        <v>398</v>
      </c>
      <c r="E68" s="29" t="s">
        <v>335</v>
      </c>
      <c r="F68" s="17">
        <v>8</v>
      </c>
      <c r="G68" s="140"/>
      <c r="H68" s="143"/>
      <c r="I68" s="144"/>
      <c r="J68" s="29"/>
    </row>
    <row r="69" spans="1:10" x14ac:dyDescent="0.2">
      <c r="A69" s="149" t="s">
        <v>319</v>
      </c>
      <c r="B69" s="159" t="s">
        <v>401</v>
      </c>
      <c r="C69" s="29" t="s">
        <v>336</v>
      </c>
      <c r="D69" s="159" t="s">
        <v>401</v>
      </c>
      <c r="E69" s="152" t="s">
        <v>336</v>
      </c>
      <c r="F69" s="17">
        <v>9</v>
      </c>
      <c r="G69" s="140"/>
      <c r="H69" s="143" t="s">
        <v>495</v>
      </c>
      <c r="I69" s="144"/>
      <c r="J69" s="29" t="s">
        <v>500</v>
      </c>
    </row>
    <row r="70" spans="1:10" x14ac:dyDescent="0.2">
      <c r="A70" s="29" t="s">
        <v>330</v>
      </c>
      <c r="B70" s="159" t="s">
        <v>399</v>
      </c>
      <c r="C70" s="150" t="s">
        <v>337</v>
      </c>
      <c r="D70" s="159" t="s">
        <v>432</v>
      </c>
      <c r="E70" s="153" t="s">
        <v>337</v>
      </c>
      <c r="F70" s="164">
        <v>3</v>
      </c>
      <c r="G70" s="142" t="s">
        <v>495</v>
      </c>
      <c r="H70" s="143"/>
      <c r="I70" s="144"/>
      <c r="J70" s="29" t="s">
        <v>498</v>
      </c>
    </row>
    <row r="71" spans="1:10" x14ac:dyDescent="0.2">
      <c r="A71" s="29" t="s">
        <v>434</v>
      </c>
      <c r="B71" s="159" t="s">
        <v>417</v>
      </c>
      <c r="C71" s="150" t="s">
        <v>338</v>
      </c>
      <c r="D71" s="159" t="s">
        <v>432</v>
      </c>
      <c r="E71" s="150" t="s">
        <v>338</v>
      </c>
      <c r="F71" s="164">
        <v>3</v>
      </c>
      <c r="G71" s="142"/>
      <c r="H71" s="143"/>
      <c r="I71" s="144"/>
      <c r="J71" s="29"/>
    </row>
    <row r="72" spans="1:10" x14ac:dyDescent="0.2">
      <c r="A72" s="97" t="s">
        <v>435</v>
      </c>
      <c r="B72" s="160" t="s">
        <v>417</v>
      </c>
      <c r="C72" s="29" t="s">
        <v>514</v>
      </c>
      <c r="D72" s="159" t="s">
        <v>417</v>
      </c>
      <c r="E72" s="29" t="s">
        <v>514</v>
      </c>
      <c r="F72" s="17">
        <v>11</v>
      </c>
      <c r="G72" s="142"/>
      <c r="H72" s="143"/>
      <c r="I72" s="144"/>
      <c r="J72" s="29"/>
    </row>
    <row r="73" spans="1:10" x14ac:dyDescent="0.2">
      <c r="A73" s="29" t="s">
        <v>331</v>
      </c>
      <c r="B73" s="159" t="s">
        <v>463</v>
      </c>
      <c r="C73" s="150" t="s">
        <v>320</v>
      </c>
      <c r="D73" s="159" t="s">
        <v>432</v>
      </c>
      <c r="E73" s="150" t="s">
        <v>320</v>
      </c>
      <c r="F73" s="17">
        <v>3</v>
      </c>
      <c r="G73" s="145"/>
      <c r="H73" s="143"/>
      <c r="I73" s="144"/>
      <c r="J73" s="29"/>
    </row>
    <row r="74" spans="1:10" x14ac:dyDescent="0.2">
      <c r="A74" s="98" t="s">
        <v>332</v>
      </c>
      <c r="B74" s="163" t="s">
        <v>462</v>
      </c>
      <c r="C74" s="29" t="s">
        <v>482</v>
      </c>
      <c r="D74" s="159" t="s">
        <v>399</v>
      </c>
      <c r="E74" s="29" t="s">
        <v>482</v>
      </c>
      <c r="F74" s="17">
        <v>5</v>
      </c>
      <c r="G74" s="140"/>
      <c r="H74" s="143"/>
      <c r="I74" s="144"/>
      <c r="J74" s="29"/>
    </row>
    <row r="75" spans="1:10" x14ac:dyDescent="0.2">
      <c r="A75" s="29" t="s">
        <v>436</v>
      </c>
      <c r="B75" s="159" t="s">
        <v>399</v>
      </c>
      <c r="C75" s="29" t="s">
        <v>321</v>
      </c>
      <c r="D75" s="159" t="s">
        <v>399</v>
      </c>
      <c r="E75" s="29" t="s">
        <v>321</v>
      </c>
      <c r="F75" s="17">
        <v>5</v>
      </c>
      <c r="G75" s="142"/>
      <c r="H75" s="143"/>
      <c r="I75" s="144"/>
      <c r="J75" s="29"/>
    </row>
    <row r="76" spans="1:10" x14ac:dyDescent="0.2">
      <c r="A76" s="29" t="s">
        <v>333</v>
      </c>
      <c r="B76" s="159" t="s">
        <v>398</v>
      </c>
      <c r="C76" s="149" t="s">
        <v>322</v>
      </c>
      <c r="D76" s="159" t="s">
        <v>422</v>
      </c>
      <c r="E76" s="154" t="s">
        <v>322</v>
      </c>
      <c r="F76" s="164">
        <v>5</v>
      </c>
      <c r="G76" s="140" t="s">
        <v>495</v>
      </c>
      <c r="H76" s="143"/>
      <c r="I76" s="144"/>
      <c r="J76" s="29" t="s">
        <v>501</v>
      </c>
    </row>
    <row r="77" spans="1:10" x14ac:dyDescent="0.2">
      <c r="A77" s="29" t="s">
        <v>334</v>
      </c>
      <c r="B77" s="159" t="s">
        <v>299</v>
      </c>
      <c r="C77" s="149" t="s">
        <v>323</v>
      </c>
      <c r="D77" s="159" t="s">
        <v>432</v>
      </c>
      <c r="E77" s="149" t="s">
        <v>323</v>
      </c>
      <c r="F77" s="17">
        <v>3</v>
      </c>
      <c r="G77" s="142"/>
      <c r="H77" s="143"/>
      <c r="I77" s="144"/>
      <c r="J77" s="29"/>
    </row>
    <row r="78" spans="1:10" x14ac:dyDescent="0.2">
      <c r="A78" s="29" t="s">
        <v>335</v>
      </c>
      <c r="B78" s="159" t="s">
        <v>398</v>
      </c>
      <c r="C78" s="29" t="s">
        <v>324</v>
      </c>
      <c r="D78" s="159" t="s">
        <v>463</v>
      </c>
      <c r="E78" s="29" t="s">
        <v>324</v>
      </c>
      <c r="F78" s="17">
        <v>10</v>
      </c>
      <c r="G78" s="142"/>
      <c r="H78" s="143"/>
      <c r="I78" s="144"/>
      <c r="J78" s="29"/>
    </row>
    <row r="79" spans="1:10" x14ac:dyDescent="0.2">
      <c r="A79" s="97" t="s">
        <v>516</v>
      </c>
      <c r="B79" s="160" t="s">
        <v>299</v>
      </c>
      <c r="C79" s="29" t="s">
        <v>325</v>
      </c>
      <c r="D79" s="159" t="s">
        <v>400</v>
      </c>
      <c r="E79" s="29" t="s">
        <v>325</v>
      </c>
      <c r="F79" s="17">
        <v>10</v>
      </c>
      <c r="G79" s="142"/>
      <c r="H79" s="143"/>
      <c r="I79" s="144"/>
      <c r="J79" s="29"/>
    </row>
    <row r="80" spans="1:10" x14ac:dyDescent="0.2">
      <c r="A80" s="29" t="s">
        <v>336</v>
      </c>
      <c r="B80" s="159" t="s">
        <v>401</v>
      </c>
      <c r="C80" s="29" t="s">
        <v>326</v>
      </c>
      <c r="D80" s="159" t="s">
        <v>463</v>
      </c>
      <c r="E80" s="29" t="s">
        <v>326</v>
      </c>
      <c r="F80" s="17">
        <v>12</v>
      </c>
      <c r="G80" s="142"/>
      <c r="H80" s="143"/>
      <c r="I80" s="144"/>
      <c r="J80" s="29"/>
    </row>
    <row r="81" spans="1:14" x14ac:dyDescent="0.2">
      <c r="A81" s="150" t="s">
        <v>337</v>
      </c>
      <c r="B81" s="159" t="s">
        <v>432</v>
      </c>
      <c r="C81" s="29" t="s">
        <v>327</v>
      </c>
      <c r="D81" s="159" t="s">
        <v>299</v>
      </c>
      <c r="E81" s="29" t="s">
        <v>327</v>
      </c>
      <c r="F81" s="17">
        <v>1</v>
      </c>
      <c r="G81" s="142"/>
      <c r="H81" s="143"/>
      <c r="I81" s="144"/>
      <c r="J81" s="29"/>
    </row>
    <row r="82" spans="1:14" x14ac:dyDescent="0.2">
      <c r="A82" s="150" t="s">
        <v>338</v>
      </c>
      <c r="B82" s="159" t="s">
        <v>432</v>
      </c>
      <c r="C82" s="29" t="s">
        <v>328</v>
      </c>
      <c r="D82" s="159" t="s">
        <v>299</v>
      </c>
      <c r="E82" s="29" t="s">
        <v>328</v>
      </c>
      <c r="F82" s="164">
        <v>1</v>
      </c>
      <c r="G82" s="142"/>
      <c r="H82" s="143"/>
      <c r="I82" s="144"/>
      <c r="J82" s="29"/>
    </row>
    <row r="83" spans="1:14" x14ac:dyDescent="0.2">
      <c r="A83" s="29" t="s">
        <v>514</v>
      </c>
      <c r="B83" s="159" t="s">
        <v>417</v>
      </c>
      <c r="C83" s="29" t="s">
        <v>339</v>
      </c>
      <c r="D83" s="159" t="s">
        <v>417</v>
      </c>
      <c r="E83" s="29" t="s">
        <v>339</v>
      </c>
      <c r="F83" s="17">
        <v>8</v>
      </c>
      <c r="G83" s="140"/>
      <c r="H83" s="143"/>
      <c r="I83" s="144"/>
      <c r="J83" s="29"/>
    </row>
    <row r="84" spans="1:14" x14ac:dyDescent="0.2">
      <c r="A84" s="150" t="s">
        <v>320</v>
      </c>
      <c r="B84" s="159" t="s">
        <v>432</v>
      </c>
      <c r="C84" s="29" t="s">
        <v>329</v>
      </c>
      <c r="D84" s="159" t="s">
        <v>401</v>
      </c>
      <c r="E84" s="29" t="s">
        <v>329</v>
      </c>
      <c r="F84" s="17">
        <v>9</v>
      </c>
      <c r="G84" s="140"/>
      <c r="H84" s="143"/>
      <c r="I84" s="144"/>
      <c r="J84" s="29" t="s">
        <v>507</v>
      </c>
      <c r="N84" s="29"/>
    </row>
    <row r="85" spans="1:14" x14ac:dyDescent="0.2">
      <c r="A85" s="29" t="s">
        <v>482</v>
      </c>
      <c r="B85" s="159" t="s">
        <v>399</v>
      </c>
      <c r="C85" s="29" t="s">
        <v>340</v>
      </c>
      <c r="D85" s="159" t="s">
        <v>401</v>
      </c>
      <c r="E85" s="29" t="s">
        <v>340</v>
      </c>
      <c r="F85" s="17">
        <v>9</v>
      </c>
      <c r="G85" s="142"/>
      <c r="H85" s="143"/>
      <c r="I85" s="144"/>
      <c r="J85" s="29"/>
    </row>
    <row r="86" spans="1:14" x14ac:dyDescent="0.2">
      <c r="A86" s="29" t="s">
        <v>321</v>
      </c>
      <c r="B86" s="159" t="s">
        <v>399</v>
      </c>
      <c r="C86" s="150" t="s">
        <v>341</v>
      </c>
      <c r="D86" s="159" t="s">
        <v>432</v>
      </c>
      <c r="E86" s="150" t="s">
        <v>341</v>
      </c>
      <c r="F86" s="17">
        <v>3</v>
      </c>
      <c r="G86" s="142"/>
      <c r="H86" s="143"/>
      <c r="I86" s="144"/>
      <c r="J86" s="29"/>
    </row>
    <row r="87" spans="1:14" x14ac:dyDescent="0.2">
      <c r="A87" s="149" t="s">
        <v>322</v>
      </c>
      <c r="B87" s="159" t="s">
        <v>422</v>
      </c>
      <c r="C87" s="149" t="s">
        <v>342</v>
      </c>
      <c r="D87" s="159" t="s">
        <v>422</v>
      </c>
      <c r="E87" s="149" t="s">
        <v>342</v>
      </c>
      <c r="F87" s="17">
        <v>2</v>
      </c>
      <c r="G87" s="142"/>
      <c r="H87" s="143"/>
      <c r="I87" s="144"/>
      <c r="J87" s="29"/>
    </row>
    <row r="88" spans="1:14" x14ac:dyDescent="0.2">
      <c r="A88" s="97" t="s">
        <v>437</v>
      </c>
      <c r="B88" s="160" t="s">
        <v>420</v>
      </c>
      <c r="C88" s="29" t="s">
        <v>343</v>
      </c>
      <c r="D88" s="159" t="s">
        <v>422</v>
      </c>
      <c r="E88" s="29" t="s">
        <v>343</v>
      </c>
      <c r="F88" s="17">
        <v>2</v>
      </c>
      <c r="G88" s="140"/>
      <c r="H88" s="143"/>
      <c r="I88" s="144"/>
      <c r="J88" s="29"/>
      <c r="N88" s="29"/>
    </row>
    <row r="89" spans="1:14" x14ac:dyDescent="0.2">
      <c r="A89" s="149" t="s">
        <v>323</v>
      </c>
      <c r="B89" s="159" t="s">
        <v>432</v>
      </c>
      <c r="C89" s="29" t="s">
        <v>344</v>
      </c>
      <c r="D89" s="159" t="s">
        <v>418</v>
      </c>
      <c r="E89" s="29" t="s">
        <v>344</v>
      </c>
      <c r="F89" s="17">
        <v>4</v>
      </c>
      <c r="G89" s="140"/>
      <c r="H89" s="143"/>
      <c r="I89" s="144"/>
      <c r="J89" s="29"/>
    </row>
    <row r="90" spans="1:14" x14ac:dyDescent="0.2">
      <c r="A90" s="29" t="s">
        <v>324</v>
      </c>
      <c r="B90" s="159" t="s">
        <v>463</v>
      </c>
      <c r="C90" s="29" t="s">
        <v>345</v>
      </c>
      <c r="D90" s="159" t="s">
        <v>418</v>
      </c>
      <c r="E90" s="29" t="s">
        <v>345</v>
      </c>
      <c r="F90" s="17">
        <v>4</v>
      </c>
      <c r="G90" s="142"/>
      <c r="H90" s="143"/>
      <c r="I90" s="144"/>
      <c r="J90" s="29"/>
    </row>
    <row r="91" spans="1:14" x14ac:dyDescent="0.2">
      <c r="A91" s="29" t="s">
        <v>325</v>
      </c>
      <c r="B91" s="159" t="s">
        <v>400</v>
      </c>
      <c r="C91" s="150" t="s">
        <v>346</v>
      </c>
      <c r="D91" s="159" t="s">
        <v>432</v>
      </c>
      <c r="E91" s="150" t="s">
        <v>346</v>
      </c>
      <c r="F91" s="17">
        <v>3</v>
      </c>
      <c r="G91" s="142"/>
      <c r="H91" s="143"/>
      <c r="I91" s="144"/>
      <c r="J91" s="29"/>
    </row>
    <row r="92" spans="1:14" x14ac:dyDescent="0.2">
      <c r="A92" s="29" t="s">
        <v>326</v>
      </c>
      <c r="B92" s="159" t="s">
        <v>463</v>
      </c>
      <c r="C92" s="29" t="s">
        <v>347</v>
      </c>
      <c r="D92" s="159" t="s">
        <v>462</v>
      </c>
      <c r="E92" s="29" t="s">
        <v>347</v>
      </c>
      <c r="F92" s="17">
        <v>3</v>
      </c>
      <c r="G92" s="142"/>
      <c r="H92" s="143"/>
      <c r="I92" s="144"/>
      <c r="J92" s="29"/>
    </row>
    <row r="93" spans="1:14" x14ac:dyDescent="0.2">
      <c r="A93" s="29" t="s">
        <v>327</v>
      </c>
      <c r="B93" s="159" t="s">
        <v>299</v>
      </c>
      <c r="C93" s="29" t="s">
        <v>459</v>
      </c>
      <c r="D93" s="159" t="s">
        <v>463</v>
      </c>
      <c r="E93" s="29" t="s">
        <v>459</v>
      </c>
      <c r="F93" s="17">
        <v>10</v>
      </c>
      <c r="G93" s="140"/>
      <c r="H93" s="143"/>
      <c r="I93" s="144"/>
      <c r="J93" s="29"/>
    </row>
    <row r="94" spans="1:14" x14ac:dyDescent="0.2">
      <c r="A94" s="29" t="s">
        <v>328</v>
      </c>
      <c r="B94" s="159" t="s">
        <v>299</v>
      </c>
      <c r="C94" s="149" t="s">
        <v>348</v>
      </c>
      <c r="D94" s="159" t="s">
        <v>399</v>
      </c>
      <c r="E94" s="149" t="s">
        <v>348</v>
      </c>
      <c r="F94" s="17">
        <v>5</v>
      </c>
      <c r="G94" s="142"/>
      <c r="H94" s="143"/>
      <c r="I94" s="144"/>
      <c r="J94" s="29"/>
    </row>
    <row r="95" spans="1:14" x14ac:dyDescent="0.2">
      <c r="A95" s="29" t="s">
        <v>339</v>
      </c>
      <c r="B95" s="159" t="s">
        <v>417</v>
      </c>
      <c r="C95" s="29" t="s">
        <v>350</v>
      </c>
      <c r="D95" s="159" t="s">
        <v>462</v>
      </c>
      <c r="E95" s="29" t="s">
        <v>350</v>
      </c>
      <c r="F95" s="17">
        <v>6</v>
      </c>
      <c r="G95" s="142"/>
      <c r="H95" s="143"/>
      <c r="I95" s="144"/>
      <c r="J95" s="29"/>
    </row>
    <row r="96" spans="1:14" x14ac:dyDescent="0.2">
      <c r="A96" s="29" t="s">
        <v>329</v>
      </c>
      <c r="B96" s="159" t="s">
        <v>401</v>
      </c>
      <c r="C96" s="29" t="s">
        <v>349</v>
      </c>
      <c r="D96" s="159" t="s">
        <v>398</v>
      </c>
      <c r="E96" s="29" t="s">
        <v>349</v>
      </c>
      <c r="F96" s="17">
        <v>8</v>
      </c>
      <c r="G96" s="140"/>
      <c r="H96" s="143"/>
      <c r="I96" s="144"/>
      <c r="J96" s="29"/>
    </row>
    <row r="97" spans="1:10" x14ac:dyDescent="0.2">
      <c r="A97" s="162" t="s">
        <v>438</v>
      </c>
      <c r="B97" s="160" t="s">
        <v>432</v>
      </c>
      <c r="C97" s="149" t="s">
        <v>351</v>
      </c>
      <c r="D97" s="159" t="s">
        <v>422</v>
      </c>
      <c r="E97" s="149" t="s">
        <v>351</v>
      </c>
      <c r="F97" s="17">
        <v>2</v>
      </c>
      <c r="G97" s="142"/>
      <c r="H97" s="143"/>
      <c r="I97" s="144"/>
      <c r="J97" s="29"/>
    </row>
    <row r="98" spans="1:10" x14ac:dyDescent="0.2">
      <c r="A98" s="97" t="s">
        <v>439</v>
      </c>
      <c r="B98" s="160" t="s">
        <v>420</v>
      </c>
      <c r="C98" s="149" t="s">
        <v>352</v>
      </c>
      <c r="D98" s="159" t="s">
        <v>422</v>
      </c>
      <c r="E98" s="154" t="s">
        <v>352</v>
      </c>
      <c r="F98" s="17">
        <v>5</v>
      </c>
      <c r="G98" s="140" t="s">
        <v>495</v>
      </c>
      <c r="H98" s="143"/>
      <c r="I98" s="144"/>
      <c r="J98" s="29" t="s">
        <v>501</v>
      </c>
    </row>
    <row r="99" spans="1:10" x14ac:dyDescent="0.2">
      <c r="A99" s="29" t="s">
        <v>340</v>
      </c>
      <c r="B99" s="159" t="s">
        <v>401</v>
      </c>
      <c r="C99" s="149" t="s">
        <v>353</v>
      </c>
      <c r="D99" s="159" t="s">
        <v>422</v>
      </c>
      <c r="E99" s="154" t="s">
        <v>353</v>
      </c>
      <c r="F99" s="17">
        <v>2</v>
      </c>
      <c r="G99" s="142" t="s">
        <v>495</v>
      </c>
      <c r="H99" s="143"/>
      <c r="I99" s="144"/>
      <c r="J99" s="29" t="s">
        <v>501</v>
      </c>
    </row>
    <row r="100" spans="1:10" x14ac:dyDescent="0.2">
      <c r="A100" s="150" t="s">
        <v>341</v>
      </c>
      <c r="B100" s="159" t="s">
        <v>432</v>
      </c>
      <c r="C100" s="29" t="s">
        <v>354</v>
      </c>
      <c r="D100" s="159" t="s">
        <v>401</v>
      </c>
      <c r="E100" s="29" t="s">
        <v>354</v>
      </c>
      <c r="F100" s="17">
        <v>9</v>
      </c>
      <c r="G100" s="140"/>
      <c r="H100" s="143"/>
      <c r="I100" s="144"/>
      <c r="J100" s="29"/>
    </row>
    <row r="101" spans="1:10" x14ac:dyDescent="0.2">
      <c r="A101" s="149" t="s">
        <v>342</v>
      </c>
      <c r="B101" s="159" t="s">
        <v>422</v>
      </c>
      <c r="C101" s="29" t="s">
        <v>355</v>
      </c>
      <c r="D101" s="159" t="s">
        <v>417</v>
      </c>
      <c r="E101" s="29" t="s">
        <v>355</v>
      </c>
      <c r="F101" s="17">
        <v>11</v>
      </c>
      <c r="G101" s="142"/>
      <c r="H101" s="143"/>
      <c r="I101" s="144"/>
      <c r="J101" s="29"/>
    </row>
    <row r="102" spans="1:10" x14ac:dyDescent="0.2">
      <c r="A102" s="29" t="s">
        <v>343</v>
      </c>
      <c r="B102" s="159" t="s">
        <v>422</v>
      </c>
      <c r="C102" s="29" t="s">
        <v>356</v>
      </c>
      <c r="D102" s="159" t="s">
        <v>418</v>
      </c>
      <c r="E102" s="29" t="s">
        <v>356</v>
      </c>
      <c r="F102" s="17">
        <v>4</v>
      </c>
      <c r="G102" s="140"/>
      <c r="H102" s="143"/>
      <c r="I102" s="144"/>
      <c r="J102" s="29"/>
    </row>
    <row r="103" spans="1:10" x14ac:dyDescent="0.2">
      <c r="A103" s="29" t="s">
        <v>344</v>
      </c>
      <c r="B103" s="159" t="s">
        <v>418</v>
      </c>
      <c r="C103" s="29" t="s">
        <v>357</v>
      </c>
      <c r="D103" s="159" t="s">
        <v>400</v>
      </c>
      <c r="E103" s="29" t="s">
        <v>357</v>
      </c>
      <c r="F103" s="17">
        <v>10</v>
      </c>
      <c r="G103" s="142"/>
      <c r="H103" s="143"/>
      <c r="I103" s="144"/>
      <c r="J103" s="29"/>
    </row>
    <row r="104" spans="1:10" x14ac:dyDescent="0.2">
      <c r="A104" s="29" t="s">
        <v>345</v>
      </c>
      <c r="B104" s="159" t="s">
        <v>418</v>
      </c>
      <c r="C104" s="29" t="s">
        <v>295</v>
      </c>
      <c r="D104" s="159" t="s">
        <v>418</v>
      </c>
      <c r="E104" s="29" t="s">
        <v>295</v>
      </c>
      <c r="F104" s="17">
        <v>4</v>
      </c>
      <c r="G104" s="140"/>
      <c r="H104" s="143"/>
      <c r="I104" s="144"/>
      <c r="J104" s="29"/>
    </row>
    <row r="105" spans="1:10" x14ac:dyDescent="0.2">
      <c r="A105" s="162" t="s">
        <v>440</v>
      </c>
      <c r="B105" s="160" t="s">
        <v>432</v>
      </c>
      <c r="C105" s="29" t="s">
        <v>296</v>
      </c>
      <c r="D105" s="159" t="s">
        <v>463</v>
      </c>
      <c r="E105" s="29" t="s">
        <v>296</v>
      </c>
      <c r="F105" s="17">
        <v>10</v>
      </c>
      <c r="G105" s="142"/>
      <c r="H105" s="143"/>
      <c r="I105" s="144"/>
      <c r="J105" s="29"/>
    </row>
    <row r="106" spans="1:10" x14ac:dyDescent="0.2">
      <c r="A106" s="97" t="s">
        <v>441</v>
      </c>
      <c r="B106" s="160" t="s">
        <v>462</v>
      </c>
      <c r="C106" s="29" t="s">
        <v>297</v>
      </c>
      <c r="D106" s="159" t="s">
        <v>398</v>
      </c>
      <c r="E106" s="29" t="s">
        <v>297</v>
      </c>
      <c r="F106" s="17">
        <v>8</v>
      </c>
      <c r="G106" s="140"/>
      <c r="H106" s="143"/>
      <c r="I106" s="144"/>
      <c r="J106" s="29"/>
    </row>
    <row r="107" spans="1:10" x14ac:dyDescent="0.2">
      <c r="A107" s="150" t="s">
        <v>346</v>
      </c>
      <c r="B107" s="159" t="s">
        <v>432</v>
      </c>
      <c r="C107" s="29" t="s">
        <v>298</v>
      </c>
      <c r="D107" s="159" t="s">
        <v>299</v>
      </c>
      <c r="E107" s="29" t="s">
        <v>298</v>
      </c>
      <c r="F107" s="17">
        <v>1</v>
      </c>
      <c r="G107" s="142"/>
      <c r="H107" s="143"/>
      <c r="I107" s="144"/>
      <c r="J107" s="29"/>
    </row>
    <row r="108" spans="1:10" x14ac:dyDescent="0.2">
      <c r="A108" s="97" t="s">
        <v>442</v>
      </c>
      <c r="B108" s="160" t="s">
        <v>398</v>
      </c>
      <c r="C108" s="29" t="s">
        <v>300</v>
      </c>
      <c r="D108" s="159" t="s">
        <v>299</v>
      </c>
      <c r="E108" s="29" t="s">
        <v>300</v>
      </c>
      <c r="F108" s="17">
        <v>1</v>
      </c>
      <c r="G108" s="140"/>
      <c r="H108" s="143"/>
      <c r="I108" s="144"/>
      <c r="J108" s="29" t="s">
        <v>508</v>
      </c>
    </row>
    <row r="109" spans="1:10" x14ac:dyDescent="0.2">
      <c r="A109" s="29" t="s">
        <v>347</v>
      </c>
      <c r="B109" s="159" t="s">
        <v>462</v>
      </c>
      <c r="C109" s="29" t="s">
        <v>301</v>
      </c>
      <c r="D109" s="159" t="s">
        <v>418</v>
      </c>
      <c r="E109" s="29" t="s">
        <v>301</v>
      </c>
      <c r="F109" s="17">
        <v>4</v>
      </c>
      <c r="G109" s="142"/>
      <c r="H109" s="143"/>
      <c r="I109" s="144"/>
      <c r="J109" s="29"/>
    </row>
    <row r="110" spans="1:10" x14ac:dyDescent="0.2">
      <c r="A110" s="97" t="s">
        <v>443</v>
      </c>
      <c r="B110" s="160" t="s">
        <v>400</v>
      </c>
      <c r="C110" s="29" t="s">
        <v>403</v>
      </c>
      <c r="D110" s="159" t="s">
        <v>418</v>
      </c>
      <c r="E110" s="29" t="s">
        <v>403</v>
      </c>
      <c r="F110" s="17">
        <v>4</v>
      </c>
      <c r="G110" s="142"/>
      <c r="H110" s="143"/>
      <c r="I110" s="144"/>
      <c r="J110" s="29"/>
    </row>
    <row r="111" spans="1:10" x14ac:dyDescent="0.2">
      <c r="A111" s="29" t="s">
        <v>459</v>
      </c>
      <c r="B111" s="159" t="s">
        <v>463</v>
      </c>
      <c r="C111" s="29" t="s">
        <v>303</v>
      </c>
      <c r="D111" s="159" t="s">
        <v>417</v>
      </c>
      <c r="E111" s="29" t="s">
        <v>303</v>
      </c>
      <c r="F111" s="17">
        <v>8</v>
      </c>
      <c r="G111" s="140"/>
      <c r="H111" s="143"/>
      <c r="I111" s="144"/>
      <c r="J111" s="29"/>
    </row>
    <row r="112" spans="1:10" x14ac:dyDescent="0.2">
      <c r="A112" s="97" t="s">
        <v>444</v>
      </c>
      <c r="B112" s="160" t="s">
        <v>398</v>
      </c>
      <c r="C112" s="29" t="s">
        <v>305</v>
      </c>
      <c r="D112" s="159" t="s">
        <v>401</v>
      </c>
      <c r="E112" s="29" t="s">
        <v>305</v>
      </c>
      <c r="F112" s="17">
        <v>9</v>
      </c>
      <c r="G112" s="142"/>
      <c r="H112" s="143"/>
      <c r="I112" s="144"/>
      <c r="J112" s="29"/>
    </row>
    <row r="113" spans="1:16" x14ac:dyDescent="0.2">
      <c r="A113" s="149" t="s">
        <v>348</v>
      </c>
      <c r="B113" s="159" t="s">
        <v>399</v>
      </c>
      <c r="C113" s="151" t="s">
        <v>306</v>
      </c>
      <c r="D113" s="159" t="s">
        <v>432</v>
      </c>
      <c r="E113" s="151" t="s">
        <v>306</v>
      </c>
      <c r="F113" s="17">
        <v>3</v>
      </c>
      <c r="G113" s="146"/>
      <c r="H113" s="143"/>
      <c r="I113" s="140"/>
      <c r="J113" s="3"/>
    </row>
    <row r="114" spans="1:16" x14ac:dyDescent="0.2">
      <c r="A114" s="29" t="s">
        <v>350</v>
      </c>
      <c r="B114" s="159" t="s">
        <v>462</v>
      </c>
      <c r="C114" s="29" t="s">
        <v>308</v>
      </c>
      <c r="D114" s="159" t="s">
        <v>400</v>
      </c>
      <c r="E114" s="29" t="s">
        <v>308</v>
      </c>
      <c r="F114" s="17">
        <v>10</v>
      </c>
      <c r="G114" s="140"/>
      <c r="H114" s="143"/>
      <c r="I114" s="144"/>
      <c r="J114" s="29"/>
      <c r="K114" s="17"/>
      <c r="M114" s="17"/>
      <c r="N114" s="17"/>
      <c r="O114" s="29"/>
      <c r="P114" s="29"/>
    </row>
    <row r="115" spans="1:16" x14ac:dyDescent="0.2">
      <c r="A115" s="29" t="s">
        <v>349</v>
      </c>
      <c r="B115" s="159" t="s">
        <v>398</v>
      </c>
      <c r="C115" s="97"/>
      <c r="D115" s="160"/>
      <c r="E115" s="30">
        <f>COUNTA(E25:E114)</f>
        <v>90</v>
      </c>
      <c r="F115" s="1"/>
      <c r="G115" s="3">
        <f>$E$115-COUNTA(G25:G114)</f>
        <v>81</v>
      </c>
      <c r="H115" s="3">
        <f t="shared" ref="H115:I115" si="0">$E$115-COUNTA(H25:H114)</f>
        <v>87</v>
      </c>
      <c r="I115" s="3">
        <f t="shared" si="0"/>
        <v>89</v>
      </c>
      <c r="J115" s="29"/>
      <c r="K115" s="17"/>
      <c r="L115" s="17"/>
      <c r="M115" s="17"/>
      <c r="N115" s="17"/>
      <c r="O115" s="29"/>
      <c r="P115" s="29"/>
    </row>
    <row r="116" spans="1:16" x14ac:dyDescent="0.2">
      <c r="A116" s="97" t="s">
        <v>445</v>
      </c>
      <c r="B116" s="160" t="s">
        <v>418</v>
      </c>
      <c r="C116" s="97"/>
      <c r="D116" s="160"/>
      <c r="F116" s="1"/>
      <c r="G116" s="3"/>
      <c r="H116" s="17"/>
      <c r="I116" s="1"/>
      <c r="J116" s="3"/>
      <c r="K116" s="17"/>
      <c r="L116" s="17"/>
      <c r="M116" s="17"/>
      <c r="N116" s="17"/>
      <c r="O116" s="29"/>
      <c r="P116" s="29"/>
    </row>
    <row r="117" spans="1:16" x14ac:dyDescent="0.2">
      <c r="A117" s="97" t="s">
        <v>446</v>
      </c>
      <c r="B117" s="160" t="s">
        <v>462</v>
      </c>
      <c r="C117" s="161"/>
      <c r="D117" s="160"/>
      <c r="F117" s="1"/>
      <c r="G117" s="3"/>
      <c r="H117" s="17"/>
      <c r="I117" s="1"/>
      <c r="J117" s="3"/>
      <c r="K117" s="17"/>
      <c r="L117" s="17"/>
      <c r="M117" s="17"/>
      <c r="N117" s="17"/>
      <c r="O117" s="29"/>
      <c r="P117" s="29"/>
    </row>
    <row r="118" spans="1:16" x14ac:dyDescent="0.2">
      <c r="A118" s="97" t="s">
        <v>447</v>
      </c>
      <c r="B118" s="160" t="s">
        <v>400</v>
      </c>
      <c r="C118" s="97"/>
      <c r="D118" s="160"/>
      <c r="F118" s="1"/>
      <c r="G118" s="3"/>
      <c r="H118" s="17"/>
      <c r="I118" s="1"/>
      <c r="J118" s="3"/>
      <c r="K118" s="17"/>
      <c r="L118" s="17"/>
      <c r="M118" s="17"/>
      <c r="N118" s="17"/>
      <c r="O118" s="29"/>
      <c r="P118" s="29"/>
    </row>
    <row r="119" spans="1:16" x14ac:dyDescent="0.2">
      <c r="A119" s="97" t="s">
        <v>448</v>
      </c>
      <c r="B119" s="160" t="s">
        <v>401</v>
      </c>
      <c r="C119" s="97"/>
      <c r="D119" s="160"/>
      <c r="E119" s="17"/>
      <c r="F119" s="1"/>
      <c r="G119" s="3"/>
      <c r="H119" s="17"/>
      <c r="I119" s="1"/>
      <c r="J119" s="3"/>
      <c r="K119" s="17"/>
      <c r="L119" s="17"/>
      <c r="M119" s="17"/>
      <c r="N119" s="17"/>
      <c r="O119" s="29"/>
      <c r="P119" s="29"/>
    </row>
    <row r="120" spans="1:16" x14ac:dyDescent="0.2">
      <c r="A120" s="97" t="s">
        <v>449</v>
      </c>
      <c r="B120" s="160" t="s">
        <v>399</v>
      </c>
      <c r="C120" s="97"/>
      <c r="D120" s="160"/>
      <c r="F120" s="1"/>
      <c r="G120" s="3"/>
      <c r="H120" s="17"/>
      <c r="I120" s="1"/>
      <c r="J120" s="3"/>
      <c r="K120" s="17"/>
      <c r="L120" s="17"/>
      <c r="M120" s="17"/>
      <c r="N120" s="17"/>
      <c r="O120" s="29"/>
      <c r="P120" s="29"/>
    </row>
    <row r="121" spans="1:16" x14ac:dyDescent="0.2">
      <c r="A121" s="149" t="s">
        <v>351</v>
      </c>
      <c r="B121" s="159" t="s">
        <v>422</v>
      </c>
      <c r="C121" s="97"/>
      <c r="D121" s="160"/>
      <c r="F121" s="1"/>
      <c r="G121" s="3"/>
      <c r="H121" s="17"/>
      <c r="I121" s="1"/>
      <c r="J121" s="3"/>
      <c r="K121" s="17"/>
      <c r="L121" s="17"/>
      <c r="M121" s="17"/>
      <c r="N121" s="17"/>
      <c r="O121" s="29"/>
      <c r="P121" s="29"/>
    </row>
    <row r="122" spans="1:16" x14ac:dyDescent="0.2">
      <c r="A122" s="149" t="s">
        <v>352</v>
      </c>
      <c r="B122" s="159" t="s">
        <v>422</v>
      </c>
      <c r="C122" s="97"/>
      <c r="D122" s="160"/>
      <c r="F122" s="1"/>
      <c r="G122" s="3"/>
      <c r="H122" s="17"/>
      <c r="I122" s="1"/>
      <c r="J122" s="3"/>
      <c r="K122" s="17"/>
      <c r="L122" s="17"/>
      <c r="M122" s="17"/>
      <c r="N122" s="17"/>
      <c r="O122" s="29"/>
      <c r="P122" s="29"/>
    </row>
    <row r="123" spans="1:16" x14ac:dyDescent="0.2">
      <c r="A123" s="149" t="s">
        <v>353</v>
      </c>
      <c r="B123" s="159" t="s">
        <v>422</v>
      </c>
      <c r="C123" s="97"/>
      <c r="D123" s="160"/>
      <c r="F123" s="1"/>
      <c r="G123" s="3"/>
      <c r="H123" s="17"/>
      <c r="I123" s="1"/>
      <c r="J123" s="3"/>
      <c r="K123" s="17"/>
      <c r="L123" s="17"/>
      <c r="M123" s="17"/>
      <c r="N123" s="17"/>
      <c r="O123" s="29"/>
      <c r="P123" s="29"/>
    </row>
    <row r="124" spans="1:16" x14ac:dyDescent="0.2">
      <c r="A124" s="29" t="s">
        <v>354</v>
      </c>
      <c r="B124" s="159" t="s">
        <v>401</v>
      </c>
      <c r="C124" s="161"/>
      <c r="D124" s="160"/>
      <c r="F124" s="1"/>
      <c r="G124" s="3"/>
      <c r="H124" s="17"/>
      <c r="I124" s="1"/>
      <c r="J124" s="3"/>
      <c r="K124" s="17"/>
      <c r="L124" s="17"/>
      <c r="M124" s="17"/>
      <c r="N124" s="17"/>
      <c r="O124" s="29"/>
      <c r="P124" s="29"/>
    </row>
    <row r="125" spans="1:16" x14ac:dyDescent="0.2">
      <c r="A125" s="29" t="s">
        <v>355</v>
      </c>
      <c r="B125" s="159" t="s">
        <v>417</v>
      </c>
      <c r="C125" s="97"/>
      <c r="D125" s="160"/>
      <c r="F125" s="1"/>
      <c r="G125" s="3"/>
      <c r="H125" s="17"/>
      <c r="I125" s="1"/>
      <c r="J125" s="3"/>
      <c r="K125" s="17"/>
      <c r="L125" s="17"/>
      <c r="M125" s="17"/>
      <c r="N125" s="17"/>
      <c r="O125" s="29"/>
      <c r="P125" s="29"/>
    </row>
    <row r="126" spans="1:16" x14ac:dyDescent="0.2">
      <c r="A126" s="97" t="s">
        <v>450</v>
      </c>
      <c r="B126" s="160" t="s">
        <v>398</v>
      </c>
      <c r="C126" s="97"/>
      <c r="D126" s="160"/>
      <c r="F126" s="1"/>
      <c r="G126" s="3"/>
      <c r="H126" s="17"/>
      <c r="I126" s="1"/>
      <c r="J126" s="3"/>
      <c r="K126" s="17"/>
      <c r="L126" s="17"/>
      <c r="M126" s="17"/>
      <c r="N126" s="17"/>
      <c r="O126" s="29"/>
      <c r="P126" s="29"/>
    </row>
    <row r="127" spans="1:16" x14ac:dyDescent="0.2">
      <c r="A127" s="97" t="s">
        <v>451</v>
      </c>
      <c r="B127" s="160" t="s">
        <v>398</v>
      </c>
      <c r="C127" s="97"/>
      <c r="D127" s="160"/>
      <c r="F127" s="1"/>
      <c r="G127" s="3"/>
      <c r="H127" s="17"/>
      <c r="I127" s="1"/>
      <c r="J127" s="3"/>
      <c r="K127" s="17"/>
      <c r="L127" s="17"/>
      <c r="M127" s="17"/>
      <c r="N127" s="17"/>
      <c r="O127" s="29"/>
      <c r="P127" s="29"/>
    </row>
    <row r="128" spans="1:16" x14ac:dyDescent="0.2">
      <c r="A128" s="29" t="s">
        <v>356</v>
      </c>
      <c r="B128" s="159" t="s">
        <v>418</v>
      </c>
      <c r="C128" s="97"/>
      <c r="D128" s="160"/>
      <c r="F128" s="17"/>
      <c r="G128" s="3"/>
      <c r="H128" s="17"/>
      <c r="I128" s="1"/>
      <c r="J128" s="3"/>
      <c r="K128" s="17"/>
      <c r="L128" s="17"/>
      <c r="M128" s="17"/>
      <c r="N128" s="17"/>
      <c r="O128" s="29"/>
      <c r="P128" s="29"/>
    </row>
    <row r="129" spans="1:16" x14ac:dyDescent="0.2">
      <c r="A129" s="29" t="s">
        <v>357</v>
      </c>
      <c r="B129" s="159" t="s">
        <v>400</v>
      </c>
      <c r="C129" s="162"/>
      <c r="D129" s="160"/>
      <c r="F129" s="1"/>
      <c r="G129" s="3"/>
      <c r="H129" s="17"/>
      <c r="I129" s="1"/>
      <c r="J129" s="3"/>
      <c r="K129" s="17"/>
      <c r="L129" s="17"/>
      <c r="M129" s="17"/>
      <c r="N129" s="17"/>
      <c r="O129" s="29"/>
      <c r="P129" s="29"/>
    </row>
    <row r="130" spans="1:16" x14ac:dyDescent="0.2">
      <c r="A130" s="97" t="s">
        <v>452</v>
      </c>
      <c r="B130" s="160" t="s">
        <v>418</v>
      </c>
      <c r="C130" s="97"/>
      <c r="D130" s="160"/>
      <c r="F130" s="1"/>
      <c r="G130" s="3"/>
      <c r="H130" s="17"/>
      <c r="I130" s="1"/>
      <c r="J130" s="3"/>
      <c r="K130" s="17"/>
      <c r="L130" s="17"/>
      <c r="M130" s="17"/>
      <c r="N130" s="17"/>
      <c r="O130" s="29"/>
      <c r="P130" s="29"/>
    </row>
    <row r="131" spans="1:16" x14ac:dyDescent="0.2">
      <c r="A131" s="29" t="s">
        <v>295</v>
      </c>
      <c r="B131" s="159" t="s">
        <v>418</v>
      </c>
      <c r="C131" s="162"/>
      <c r="D131" s="160"/>
      <c r="F131" s="1"/>
      <c r="G131" s="3"/>
      <c r="H131" s="17"/>
      <c r="I131" s="1"/>
      <c r="J131" s="3"/>
      <c r="K131" s="17"/>
      <c r="M131" s="17"/>
      <c r="N131" s="17"/>
      <c r="O131" s="29"/>
      <c r="P131" s="29"/>
    </row>
    <row r="132" spans="1:16" x14ac:dyDescent="0.2">
      <c r="A132" s="29" t="s">
        <v>296</v>
      </c>
      <c r="B132" s="159" t="s">
        <v>463</v>
      </c>
      <c r="C132" s="97"/>
      <c r="D132" s="160"/>
      <c r="F132" s="1"/>
      <c r="G132" s="3"/>
      <c r="H132" s="17"/>
      <c r="I132" s="1"/>
      <c r="J132" s="3"/>
      <c r="K132" s="17"/>
      <c r="M132" s="17"/>
      <c r="N132" s="17"/>
      <c r="O132" s="29"/>
      <c r="P132" s="29"/>
    </row>
    <row r="133" spans="1:16" x14ac:dyDescent="0.2">
      <c r="A133" s="29" t="s">
        <v>297</v>
      </c>
      <c r="B133" s="159" t="s">
        <v>398</v>
      </c>
      <c r="C133" s="97"/>
      <c r="D133" s="160"/>
      <c r="F133" s="1"/>
      <c r="G133" s="3"/>
      <c r="H133" s="17"/>
      <c r="I133" s="1"/>
      <c r="J133" s="3"/>
      <c r="K133" s="17"/>
      <c r="M133" s="17"/>
      <c r="N133" s="17"/>
      <c r="O133" s="29"/>
      <c r="P133" s="29"/>
    </row>
    <row r="134" spans="1:16" x14ac:dyDescent="0.2">
      <c r="A134" s="97" t="s">
        <v>453</v>
      </c>
      <c r="B134" s="160" t="s">
        <v>399</v>
      </c>
      <c r="C134" s="97"/>
      <c r="D134" s="160"/>
      <c r="F134" s="1"/>
      <c r="G134" s="3"/>
      <c r="H134" s="17"/>
      <c r="I134" s="1"/>
      <c r="J134" s="3"/>
      <c r="K134" s="17"/>
      <c r="M134" s="17"/>
      <c r="N134" s="17"/>
      <c r="O134" s="29"/>
      <c r="P134" s="29"/>
    </row>
    <row r="135" spans="1:16" x14ac:dyDescent="0.2">
      <c r="A135" s="29" t="s">
        <v>298</v>
      </c>
      <c r="B135" s="159" t="s">
        <v>299</v>
      </c>
      <c r="C135" s="97"/>
      <c r="D135" s="160"/>
      <c r="F135" s="1"/>
      <c r="G135" s="3"/>
      <c r="H135" s="17"/>
      <c r="I135" s="1"/>
      <c r="J135" s="3"/>
      <c r="K135" s="17"/>
      <c r="M135" s="17"/>
      <c r="N135" s="17"/>
      <c r="O135" s="29"/>
      <c r="P135" s="29"/>
    </row>
    <row r="136" spans="1:16" x14ac:dyDescent="0.2">
      <c r="A136" s="29" t="s">
        <v>300</v>
      </c>
      <c r="B136" s="159" t="s">
        <v>299</v>
      </c>
      <c r="C136" s="97"/>
      <c r="D136" s="160"/>
      <c r="F136" s="1"/>
      <c r="G136" s="3"/>
      <c r="H136" s="17"/>
      <c r="I136" s="1"/>
      <c r="J136" s="3"/>
      <c r="K136" s="17"/>
      <c r="M136" s="17"/>
      <c r="N136" s="17"/>
      <c r="O136" s="29"/>
      <c r="P136" s="29"/>
    </row>
    <row r="137" spans="1:16" x14ac:dyDescent="0.2">
      <c r="A137" s="97" t="s">
        <v>454</v>
      </c>
      <c r="B137" s="160" t="s">
        <v>299</v>
      </c>
      <c r="C137" s="97"/>
      <c r="D137" s="160"/>
      <c r="F137" s="1"/>
      <c r="G137" s="3"/>
      <c r="H137" s="17"/>
      <c r="I137" s="1"/>
      <c r="J137" s="3"/>
      <c r="K137" s="17"/>
      <c r="M137" s="17"/>
      <c r="N137" s="17"/>
      <c r="O137" s="29"/>
      <c r="P137" s="29"/>
    </row>
    <row r="138" spans="1:16" x14ac:dyDescent="0.2">
      <c r="A138" s="29" t="s">
        <v>301</v>
      </c>
      <c r="B138" s="159" t="s">
        <v>418</v>
      </c>
      <c r="C138" s="97"/>
      <c r="D138" s="160"/>
      <c r="F138" s="1"/>
      <c r="G138" s="3"/>
      <c r="H138" s="17"/>
      <c r="I138" s="1"/>
      <c r="J138" s="3"/>
      <c r="K138" s="17"/>
      <c r="M138" s="17"/>
      <c r="N138" s="17"/>
      <c r="O138" s="29"/>
      <c r="P138" s="29"/>
    </row>
    <row r="139" spans="1:16" x14ac:dyDescent="0.2">
      <c r="A139" s="29" t="s">
        <v>403</v>
      </c>
      <c r="B139" s="159" t="s">
        <v>418</v>
      </c>
      <c r="C139" s="97"/>
      <c r="D139" s="160"/>
      <c r="F139" s="1"/>
      <c r="G139" s="3"/>
      <c r="H139" s="17"/>
      <c r="I139" s="1"/>
      <c r="J139" s="3"/>
      <c r="K139" s="17"/>
      <c r="M139" s="17"/>
      <c r="N139" s="17"/>
      <c r="O139" s="29"/>
      <c r="P139" s="29"/>
    </row>
    <row r="140" spans="1:16" x14ac:dyDescent="0.2">
      <c r="A140" s="97" t="s">
        <v>455</v>
      </c>
      <c r="B140" s="160" t="s">
        <v>462</v>
      </c>
      <c r="C140" s="97"/>
      <c r="D140" s="160"/>
      <c r="F140" s="1"/>
      <c r="G140" s="3"/>
      <c r="H140" s="17"/>
      <c r="I140" s="17"/>
      <c r="J140" s="3"/>
      <c r="K140" s="17"/>
      <c r="M140" s="17"/>
      <c r="N140" s="17"/>
      <c r="O140" s="29"/>
      <c r="P140" s="29"/>
    </row>
    <row r="141" spans="1:16" x14ac:dyDescent="0.2">
      <c r="A141" s="29" t="s">
        <v>303</v>
      </c>
      <c r="B141" s="159" t="s">
        <v>417</v>
      </c>
      <c r="C141" s="97"/>
      <c r="D141" s="160"/>
      <c r="F141" s="1"/>
      <c r="G141" s="3"/>
      <c r="H141" s="17"/>
      <c r="I141" s="1"/>
      <c r="J141" s="3"/>
      <c r="K141" s="17"/>
      <c r="M141" s="17"/>
      <c r="N141" s="17"/>
      <c r="O141" s="29"/>
      <c r="P141" s="29"/>
    </row>
    <row r="142" spans="1:16" x14ac:dyDescent="0.2">
      <c r="A142" s="29" t="s">
        <v>305</v>
      </c>
      <c r="B142" s="159" t="s">
        <v>401</v>
      </c>
      <c r="C142" s="97"/>
      <c r="D142" s="160"/>
      <c r="F142" s="1"/>
      <c r="G142" s="3"/>
      <c r="H142" s="17"/>
      <c r="I142" s="1"/>
      <c r="J142" s="3"/>
      <c r="K142" s="17"/>
      <c r="M142" s="17"/>
      <c r="N142" s="17"/>
      <c r="O142" s="29"/>
      <c r="P142" s="29"/>
    </row>
    <row r="143" spans="1:16" x14ac:dyDescent="0.2">
      <c r="A143" s="151" t="s">
        <v>306</v>
      </c>
      <c r="B143" s="159" t="s">
        <v>432</v>
      </c>
      <c r="C143" s="97"/>
      <c r="D143" s="160"/>
      <c r="F143" s="1"/>
      <c r="G143" s="3"/>
      <c r="H143" s="17"/>
      <c r="I143" s="1"/>
      <c r="J143" s="3"/>
      <c r="K143" s="17"/>
      <c r="M143" s="17"/>
      <c r="N143" s="17"/>
      <c r="O143" s="29"/>
      <c r="P143" s="29"/>
    </row>
    <row r="144" spans="1:16" x14ac:dyDescent="0.2">
      <c r="A144" s="29" t="s">
        <v>308</v>
      </c>
      <c r="B144" s="159" t="s">
        <v>400</v>
      </c>
      <c r="C144" s="97"/>
      <c r="D144" s="160"/>
      <c r="F144" s="1"/>
      <c r="G144" s="3"/>
      <c r="H144" s="17"/>
      <c r="I144" s="17"/>
      <c r="J144" s="3"/>
      <c r="K144" s="17"/>
      <c r="M144" s="17"/>
      <c r="N144" s="17"/>
      <c r="O144" s="29"/>
      <c r="P144" s="29"/>
    </row>
    <row r="145" spans="1:16" x14ac:dyDescent="0.2">
      <c r="A145">
        <f>COUNTA(A25:A144)</f>
        <v>120</v>
      </c>
      <c r="C145" s="97"/>
      <c r="D145" s="160"/>
      <c r="F145" s="17"/>
      <c r="G145" s="17"/>
      <c r="H145" s="17"/>
      <c r="I145" s="17"/>
      <c r="J145" s="3"/>
      <c r="K145" s="17"/>
      <c r="M145" s="17"/>
      <c r="N145" s="17"/>
      <c r="O145" s="29"/>
      <c r="P145" s="29"/>
    </row>
    <row r="146" spans="1:16" x14ac:dyDescent="0.2">
      <c r="C146" s="97"/>
      <c r="D146" s="160"/>
      <c r="F146" s="17"/>
      <c r="G146" s="17"/>
      <c r="H146" s="17"/>
      <c r="I146" s="17"/>
      <c r="J146" s="3"/>
      <c r="K146" s="17"/>
      <c r="M146" s="17"/>
      <c r="N146" s="17"/>
      <c r="O146" s="29"/>
      <c r="P146" s="29"/>
    </row>
    <row r="147" spans="1:16" x14ac:dyDescent="0.2">
      <c r="C147" s="98"/>
      <c r="D147" s="98"/>
      <c r="F147" s="17"/>
      <c r="G147" s="17"/>
      <c r="H147" s="17"/>
      <c r="I147" s="17"/>
      <c r="J147" s="17"/>
      <c r="K147" s="17"/>
      <c r="M147" s="17"/>
      <c r="N147" s="17"/>
      <c r="O147" s="29"/>
      <c r="P147" s="29"/>
    </row>
    <row r="148" spans="1:16" x14ac:dyDescent="0.2">
      <c r="C148" s="98"/>
      <c r="D148" s="98"/>
      <c r="F148" s="17"/>
      <c r="G148" s="17"/>
      <c r="H148" s="17"/>
      <c r="I148" s="17"/>
      <c r="J148" s="17"/>
      <c r="K148" s="17"/>
      <c r="M148" s="17"/>
      <c r="N148" s="17"/>
      <c r="O148" s="29"/>
      <c r="P148" s="29"/>
    </row>
    <row r="149" spans="1:16" x14ac:dyDescent="0.2">
      <c r="F149" s="17"/>
      <c r="G149" s="17"/>
      <c r="H149" s="17"/>
      <c r="I149" s="17"/>
      <c r="J149" s="17"/>
      <c r="K149" s="17"/>
      <c r="M149" s="17"/>
      <c r="N149" s="17"/>
      <c r="O149" s="29"/>
      <c r="P149" s="29"/>
    </row>
    <row r="150" spans="1:16" x14ac:dyDescent="0.2">
      <c r="F150" s="17"/>
      <c r="G150" s="17"/>
      <c r="H150" s="17"/>
      <c r="I150" s="17"/>
      <c r="J150" s="17"/>
      <c r="K150" s="17"/>
      <c r="M150" s="17"/>
      <c r="N150" s="17"/>
      <c r="O150" s="29"/>
      <c r="P150" s="29"/>
    </row>
    <row r="151" spans="1:16" x14ac:dyDescent="0.2">
      <c r="F151" s="17"/>
      <c r="G151" s="17"/>
      <c r="H151" s="17"/>
      <c r="I151" s="17"/>
      <c r="J151" s="17"/>
      <c r="K151" s="17"/>
      <c r="M151" s="17"/>
      <c r="N151" s="17"/>
      <c r="O151" s="29"/>
      <c r="P151" s="29"/>
    </row>
    <row r="152" spans="1:16" x14ac:dyDescent="0.2">
      <c r="F152" s="17"/>
      <c r="G152" s="17"/>
      <c r="H152" s="17"/>
      <c r="I152" s="17"/>
      <c r="J152" s="17"/>
      <c r="K152" s="17"/>
      <c r="M152" s="17"/>
      <c r="N152" s="17"/>
      <c r="O152" s="29"/>
      <c r="P152" s="29"/>
    </row>
    <row r="153" spans="1:16" x14ac:dyDescent="0.2">
      <c r="F153" s="17"/>
      <c r="G153" s="17"/>
      <c r="H153" s="17"/>
      <c r="I153" s="17"/>
      <c r="J153" s="17"/>
      <c r="K153" s="17"/>
      <c r="M153" s="17"/>
      <c r="N153" s="17"/>
      <c r="O153" s="17"/>
      <c r="P153" s="29"/>
    </row>
    <row r="154" spans="1:16" x14ac:dyDescent="0.2">
      <c r="F154" s="17"/>
      <c r="G154" s="17"/>
      <c r="H154" s="17"/>
      <c r="I154" s="17"/>
      <c r="J154" s="17"/>
      <c r="K154" s="17"/>
      <c r="M154" s="17"/>
      <c r="N154" s="17"/>
      <c r="O154" s="17"/>
      <c r="P154" s="29"/>
    </row>
    <row r="155" spans="1:16" x14ac:dyDescent="0.2">
      <c r="F155" s="17"/>
      <c r="G155" s="17"/>
      <c r="H155" s="17"/>
      <c r="I155" s="17"/>
      <c r="J155" s="17"/>
      <c r="K155" s="17"/>
      <c r="M155" s="17"/>
      <c r="N155" s="17"/>
      <c r="O155" s="17"/>
      <c r="P155" s="17"/>
    </row>
    <row r="156" spans="1:16" x14ac:dyDescent="0.2">
      <c r="F156" s="17"/>
      <c r="G156" s="17"/>
      <c r="H156" s="17"/>
      <c r="I156" s="17"/>
      <c r="J156" s="17"/>
      <c r="K156" s="17"/>
      <c r="M156" s="17"/>
      <c r="N156" s="17"/>
      <c r="O156" s="17"/>
      <c r="P156" s="17"/>
    </row>
    <row r="157" spans="1:16" x14ac:dyDescent="0.2">
      <c r="F157" s="17"/>
      <c r="G157" s="17"/>
      <c r="H157" s="17"/>
      <c r="I157" s="17"/>
      <c r="J157" s="17"/>
      <c r="K157" s="17"/>
      <c r="M157" s="17"/>
      <c r="N157" s="17"/>
      <c r="O157" s="17"/>
      <c r="P157" s="17"/>
    </row>
    <row r="158" spans="1:16" x14ac:dyDescent="0.2">
      <c r="F158" s="17"/>
      <c r="G158" s="17"/>
      <c r="H158" s="17"/>
      <c r="I158" s="17"/>
      <c r="J158" s="17"/>
      <c r="K158" s="17"/>
      <c r="M158" s="17"/>
      <c r="N158" s="17"/>
      <c r="O158" s="17"/>
      <c r="P158" s="17"/>
    </row>
    <row r="159" spans="1:16" x14ac:dyDescent="0.2">
      <c r="F159" s="17"/>
      <c r="G159" s="17"/>
      <c r="H159" s="17"/>
      <c r="I159" s="17"/>
      <c r="J159" s="17"/>
      <c r="K159" s="17"/>
      <c r="M159" s="17"/>
      <c r="N159" s="17"/>
      <c r="O159" s="17"/>
      <c r="P159" s="17"/>
    </row>
    <row r="160" spans="1:16" x14ac:dyDescent="0.2">
      <c r="F160" s="17"/>
      <c r="G160" s="17"/>
      <c r="H160" s="17"/>
      <c r="I160" s="17"/>
      <c r="J160" s="17"/>
      <c r="K160" s="17"/>
      <c r="M160" s="17"/>
      <c r="N160" s="17"/>
      <c r="O160" s="17"/>
      <c r="P160" s="17"/>
    </row>
    <row r="161" spans="6:16" x14ac:dyDescent="0.2">
      <c r="F161" s="17"/>
      <c r="G161" s="17"/>
      <c r="H161" s="17"/>
      <c r="I161" s="17"/>
      <c r="J161" s="17"/>
      <c r="K161" s="17"/>
      <c r="M161" s="17"/>
      <c r="N161" s="17"/>
      <c r="O161" s="17"/>
      <c r="P161" s="17"/>
    </row>
    <row r="162" spans="6:16" x14ac:dyDescent="0.2">
      <c r="F162" s="17"/>
      <c r="G162" s="17"/>
      <c r="H162" s="17"/>
      <c r="I162" s="17"/>
      <c r="J162" s="17"/>
      <c r="K162" s="17"/>
      <c r="M162" s="17"/>
      <c r="N162" s="17"/>
      <c r="O162" s="17"/>
      <c r="P162" s="17"/>
    </row>
    <row r="163" spans="6:16" x14ac:dyDescent="0.2">
      <c r="F163" s="17"/>
      <c r="G163" s="17"/>
      <c r="H163" s="17"/>
      <c r="I163" s="17"/>
      <c r="J163" s="17"/>
      <c r="K163" s="17"/>
      <c r="M163" s="17"/>
      <c r="N163" s="17"/>
      <c r="O163" s="17"/>
      <c r="P163" s="17"/>
    </row>
    <row r="164" spans="6:16" x14ac:dyDescent="0.2">
      <c r="F164" s="17"/>
      <c r="G164" s="17"/>
      <c r="H164" s="17"/>
      <c r="I164" s="17"/>
      <c r="J164" s="17"/>
      <c r="K164" s="17"/>
      <c r="M164" s="17"/>
      <c r="N164" s="17"/>
      <c r="O164" s="17"/>
      <c r="P164" s="17"/>
    </row>
    <row r="165" spans="6:16" x14ac:dyDescent="0.2">
      <c r="F165" s="17"/>
      <c r="G165" s="17"/>
      <c r="H165" s="17"/>
      <c r="I165" s="17"/>
      <c r="J165" s="17"/>
      <c r="K165" s="17"/>
      <c r="M165" s="17"/>
      <c r="N165" s="17"/>
      <c r="O165" s="17"/>
      <c r="P165" s="17"/>
    </row>
    <row r="166" spans="6:16" x14ac:dyDescent="0.2">
      <c r="F166" s="17"/>
      <c r="G166" s="17"/>
      <c r="H166" s="17"/>
      <c r="I166" s="17"/>
      <c r="J166" s="17"/>
      <c r="K166" s="17"/>
      <c r="M166" s="17"/>
      <c r="N166" s="17"/>
      <c r="O166" s="17"/>
      <c r="P166" s="17"/>
    </row>
    <row r="167" spans="6:16" x14ac:dyDescent="0.2">
      <c r="F167" s="17"/>
      <c r="G167" s="17"/>
      <c r="H167" s="17"/>
      <c r="I167" s="17"/>
      <c r="J167" s="17"/>
      <c r="K167" s="17"/>
      <c r="M167" s="17"/>
      <c r="N167" s="17"/>
      <c r="O167" s="17"/>
      <c r="P167" s="17"/>
    </row>
    <row r="168" spans="6:16" x14ac:dyDescent="0.2">
      <c r="F168" s="17"/>
      <c r="G168" s="17"/>
      <c r="H168" s="17"/>
      <c r="I168" s="17"/>
      <c r="J168" s="17"/>
      <c r="K168" s="17"/>
      <c r="M168" s="17"/>
      <c r="N168" s="17"/>
      <c r="O168" s="17"/>
      <c r="P168" s="17"/>
    </row>
    <row r="169" spans="6:16" x14ac:dyDescent="0.2">
      <c r="F169" s="17"/>
      <c r="G169" s="17"/>
      <c r="H169" s="17"/>
      <c r="I169" s="17"/>
      <c r="J169" s="17"/>
      <c r="K169" s="17"/>
      <c r="M169" s="17"/>
      <c r="N169" s="17"/>
      <c r="O169" s="17"/>
      <c r="P169" s="17"/>
    </row>
    <row r="170" spans="6:16" x14ac:dyDescent="0.2">
      <c r="F170" s="17"/>
      <c r="G170" s="17"/>
      <c r="H170" s="17"/>
      <c r="I170" s="17"/>
      <c r="J170" s="17"/>
      <c r="K170" s="17"/>
      <c r="M170" s="17"/>
      <c r="N170" s="17"/>
      <c r="O170" s="17"/>
      <c r="P170" s="17"/>
    </row>
    <row r="171" spans="6:16" x14ac:dyDescent="0.2">
      <c r="I171" s="17"/>
      <c r="J171" s="17"/>
      <c r="K171" s="17"/>
      <c r="M171" s="17"/>
      <c r="N171" s="17"/>
      <c r="O171" s="17"/>
      <c r="P171" s="17"/>
    </row>
    <row r="172" spans="6:16" x14ac:dyDescent="0.2">
      <c r="J172" s="17"/>
      <c r="K172" s="17"/>
      <c r="M172" s="17"/>
      <c r="N172" s="17"/>
      <c r="O172" s="17"/>
      <c r="P172" s="17"/>
    </row>
    <row r="173" spans="6:16" x14ac:dyDescent="0.2">
      <c r="K173" s="17"/>
      <c r="M173" s="17"/>
      <c r="N173" s="17"/>
      <c r="O173" s="17"/>
      <c r="P173" s="17"/>
    </row>
    <row r="174" spans="6:16" x14ac:dyDescent="0.2">
      <c r="K174" s="17"/>
      <c r="M174" s="17"/>
      <c r="N174" s="17"/>
      <c r="O174" s="17"/>
      <c r="P174" s="17"/>
    </row>
    <row r="175" spans="6:16" x14ac:dyDescent="0.2">
      <c r="N175" s="17"/>
      <c r="O175" s="17"/>
      <c r="P175" s="17"/>
    </row>
    <row r="176" spans="6:16" x14ac:dyDescent="0.2">
      <c r="N176" s="17"/>
      <c r="O176" s="17"/>
      <c r="P176" s="17"/>
    </row>
    <row r="177" spans="16:16" x14ac:dyDescent="0.2">
      <c r="P177" s="17"/>
    </row>
    <row r="178" spans="16:16" x14ac:dyDescent="0.2">
      <c r="P178" s="17"/>
    </row>
  </sheetData>
  <sortState ref="E25:J115">
    <sortCondition ref="E25:E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2017-10-03T17:07:31Z</dcterms:created>
  <dcterms:modified xsi:type="dcterms:W3CDTF">2018-03-02T22:02:49Z</dcterms:modified>
</cp:coreProperties>
</file>