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rodfort/Documents/Academic/Teaching/SM438(EconSportPolicy)/FirstSmallClassVersion/SM438SPECIALEDITION/2012Corrected/CorrectedVault12/"/>
    </mc:Choice>
  </mc:AlternateContent>
  <bookViews>
    <workbookView xWindow="2880" yWindow="460" windowWidth="48300" windowHeight="27100" tabRatio="500"/>
  </bookViews>
  <sheets>
    <sheet name="Corrected" sheetId="1" r:id="rId1"/>
    <sheet name="NOTES" sheetId="5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5" i="5" l="1"/>
  <c r="A149" i="5"/>
  <c r="H115" i="5"/>
  <c r="G115" i="5"/>
  <c r="I115" i="5"/>
  <c r="IY48" i="1"/>
  <c r="JQ48" i="1"/>
  <c r="JE48" i="1"/>
  <c r="IS48" i="1"/>
  <c r="HI48" i="1"/>
  <c r="HC48" i="1"/>
  <c r="GW48" i="1"/>
  <c r="GQ48" i="1"/>
  <c r="GK48" i="1"/>
  <c r="GE48" i="1"/>
  <c r="FS48" i="1"/>
  <c r="FD48" i="1"/>
  <c r="FE48" i="1"/>
  <c r="FF48" i="1"/>
  <c r="FG48" i="1"/>
  <c r="FA48" i="1"/>
  <c r="EU48" i="1"/>
  <c r="EO48" i="1"/>
  <c r="EI48" i="1"/>
  <c r="EC48" i="1"/>
  <c r="DK48" i="1"/>
  <c r="CY48" i="1"/>
  <c r="CM48" i="1"/>
  <c r="BU48" i="1"/>
  <c r="BO48" i="1"/>
  <c r="BC48" i="1"/>
  <c r="MK89" i="1"/>
  <c r="ML89" i="1"/>
  <c r="LC75" i="1"/>
  <c r="LA75" i="1"/>
  <c r="LB75" i="1"/>
  <c r="AP19" i="1"/>
  <c r="AN19" i="1"/>
  <c r="AL19" i="1"/>
  <c r="AJ19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35" i="1"/>
  <c r="AJ49" i="1"/>
  <c r="AJ57" i="1"/>
  <c r="AJ62" i="1"/>
  <c r="AJ95" i="1"/>
  <c r="AK95" i="1"/>
  <c r="AL35" i="1"/>
  <c r="AL49" i="1"/>
  <c r="AL57" i="1"/>
  <c r="AL62" i="1"/>
  <c r="AL95" i="1"/>
  <c r="AM95" i="1"/>
  <c r="AN35" i="1"/>
  <c r="AN49" i="1"/>
  <c r="AN57" i="1"/>
  <c r="AN62" i="1"/>
  <c r="AN95" i="1"/>
  <c r="AO95" i="1"/>
  <c r="AP35" i="1"/>
  <c r="AP49" i="1"/>
  <c r="AP57" i="1"/>
  <c r="AP62" i="1"/>
  <c r="AP95" i="1"/>
  <c r="AQ95" i="1"/>
  <c r="AR19" i="1"/>
  <c r="AR35" i="1"/>
  <c r="AR49" i="1"/>
  <c r="AR57" i="1"/>
  <c r="AR62" i="1"/>
  <c r="AR95" i="1"/>
  <c r="AS95" i="1"/>
  <c r="AT19" i="1"/>
  <c r="AT35" i="1"/>
  <c r="AT49" i="1"/>
  <c r="AT57" i="1"/>
  <c r="AT62" i="1"/>
  <c r="AT95" i="1"/>
  <c r="AU95" i="1"/>
  <c r="AV19" i="1"/>
  <c r="AV35" i="1"/>
  <c r="AV49" i="1"/>
  <c r="AV57" i="1"/>
  <c r="AV62" i="1"/>
  <c r="AV95" i="1"/>
  <c r="AW95" i="1"/>
  <c r="AX19" i="1"/>
  <c r="AX35" i="1"/>
  <c r="AX49" i="1"/>
  <c r="AX57" i="1"/>
  <c r="AX62" i="1"/>
  <c r="AX95" i="1"/>
  <c r="AY95" i="1"/>
  <c r="AZ95" i="1"/>
  <c r="BA95" i="1"/>
  <c r="BB95" i="1"/>
  <c r="BC12" i="1"/>
  <c r="BC17" i="1"/>
  <c r="BC45" i="1"/>
  <c r="BC59" i="1"/>
  <c r="BC76" i="1"/>
  <c r="BC81" i="1"/>
  <c r="BC90" i="1"/>
  <c r="BC95" i="1"/>
  <c r="BD95" i="1"/>
  <c r="BE7" i="1"/>
  <c r="BE10" i="1"/>
  <c r="BE22" i="1"/>
  <c r="BE23" i="1"/>
  <c r="BE26" i="1"/>
  <c r="BE40" i="1"/>
  <c r="BE52" i="1"/>
  <c r="BE67" i="1"/>
  <c r="BE71" i="1"/>
  <c r="BE80" i="1"/>
  <c r="BE95" i="1"/>
  <c r="BF95" i="1"/>
  <c r="BG95" i="1"/>
  <c r="BH95" i="1"/>
  <c r="BI17" i="1"/>
  <c r="BI59" i="1"/>
  <c r="BI81" i="1"/>
  <c r="BI95" i="1"/>
  <c r="BJ95" i="1"/>
  <c r="BK11" i="1"/>
  <c r="BK26" i="1"/>
  <c r="BK80" i="1"/>
  <c r="BK95" i="1"/>
  <c r="BL95" i="1"/>
  <c r="BM95" i="1"/>
  <c r="BN95" i="1"/>
  <c r="BO17" i="1"/>
  <c r="BO45" i="1"/>
  <c r="BO59" i="1"/>
  <c r="BO81" i="1"/>
  <c r="BO90" i="1"/>
  <c r="BO95" i="1"/>
  <c r="BP95" i="1"/>
  <c r="BQ7" i="1"/>
  <c r="BQ10" i="1"/>
  <c r="BQ22" i="1"/>
  <c r="BQ23" i="1"/>
  <c r="BQ26" i="1"/>
  <c r="BQ40" i="1"/>
  <c r="BQ62" i="1"/>
  <c r="BQ67" i="1"/>
  <c r="BQ71" i="1"/>
  <c r="BQ80" i="1"/>
  <c r="BQ95" i="1"/>
  <c r="BR95" i="1"/>
  <c r="BS95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95" i="1"/>
  <c r="BU10" i="1"/>
  <c r="BU17" i="1"/>
  <c r="BU45" i="1"/>
  <c r="BU59" i="1"/>
  <c r="BU62" i="1"/>
  <c r="BU76" i="1"/>
  <c r="BU81" i="1"/>
  <c r="BU90" i="1"/>
  <c r="BU95" i="1"/>
  <c r="BV95" i="1"/>
  <c r="BW7" i="1"/>
  <c r="BW11" i="1"/>
  <c r="BW26" i="1"/>
  <c r="BW40" i="1"/>
  <c r="BW52" i="1"/>
  <c r="BW67" i="1"/>
  <c r="BW69" i="1"/>
  <c r="BW71" i="1"/>
  <c r="BW80" i="1"/>
  <c r="BW95" i="1"/>
  <c r="BX95" i="1"/>
  <c r="BY95" i="1"/>
  <c r="BZ95" i="1"/>
  <c r="CA81" i="1"/>
  <c r="CA95" i="1"/>
  <c r="CB95" i="1"/>
  <c r="CC7" i="1"/>
  <c r="CC23" i="1"/>
  <c r="CC67" i="1"/>
  <c r="CC69" i="1"/>
  <c r="CC95" i="1"/>
  <c r="CD95" i="1"/>
  <c r="CE95" i="1"/>
  <c r="CF95" i="1"/>
  <c r="CG95" i="1"/>
  <c r="CH95" i="1"/>
  <c r="CI95" i="1"/>
  <c r="CJ95" i="1"/>
  <c r="CK95" i="1"/>
  <c r="CL95" i="1"/>
  <c r="CM17" i="1"/>
  <c r="CM62" i="1"/>
  <c r="CM90" i="1"/>
  <c r="CM95" i="1"/>
  <c r="CN95" i="1"/>
  <c r="CO22" i="1"/>
  <c r="CO95" i="1"/>
  <c r="CP95" i="1"/>
  <c r="CQ95" i="1"/>
  <c r="CR95" i="1"/>
  <c r="CS81" i="1"/>
  <c r="CS95" i="1"/>
  <c r="CT62" i="1"/>
  <c r="CT95" i="1"/>
  <c r="CU7" i="1"/>
  <c r="CU22" i="1"/>
  <c r="CU62" i="1"/>
  <c r="CU95" i="1"/>
  <c r="CV95" i="1"/>
  <c r="CW95" i="1"/>
  <c r="CX95" i="1"/>
  <c r="CY17" i="1"/>
  <c r="CY45" i="1"/>
  <c r="CY59" i="1"/>
  <c r="CY62" i="1"/>
  <c r="CY76" i="1"/>
  <c r="CY81" i="1"/>
  <c r="CY90" i="1"/>
  <c r="CY95" i="1"/>
  <c r="CZ95" i="1"/>
  <c r="DA7" i="1"/>
  <c r="DA10" i="1"/>
  <c r="DA22" i="1"/>
  <c r="DA23" i="1"/>
  <c r="DA26" i="1"/>
  <c r="DA52" i="1"/>
  <c r="DA67" i="1"/>
  <c r="DA71" i="1"/>
  <c r="DA80" i="1"/>
  <c r="DA95" i="1"/>
  <c r="DB95" i="1"/>
  <c r="DC95" i="1"/>
  <c r="DD95" i="1"/>
  <c r="DE17" i="1"/>
  <c r="DE59" i="1"/>
  <c r="DE95" i="1"/>
  <c r="DF95" i="1"/>
  <c r="DG10" i="1"/>
  <c r="DG80" i="1"/>
  <c r="DG95" i="1"/>
  <c r="DH95" i="1"/>
  <c r="DI95" i="1"/>
  <c r="DJ95" i="1"/>
  <c r="DK17" i="1"/>
  <c r="DK45" i="1"/>
  <c r="DK59" i="1"/>
  <c r="DK62" i="1"/>
  <c r="DK81" i="1"/>
  <c r="DK90" i="1"/>
  <c r="DK95" i="1"/>
  <c r="DL95" i="1"/>
  <c r="DM10" i="1"/>
  <c r="DM22" i="1"/>
  <c r="DM23" i="1"/>
  <c r="DM26" i="1"/>
  <c r="DM52" i="1"/>
  <c r="DM67" i="1"/>
  <c r="DM69" i="1"/>
  <c r="DM71" i="1"/>
  <c r="DM80" i="1"/>
  <c r="DM95" i="1"/>
  <c r="DN95" i="1"/>
  <c r="DO95" i="1"/>
  <c r="DP95" i="1"/>
  <c r="DQ17" i="1"/>
  <c r="DQ59" i="1"/>
  <c r="DQ76" i="1"/>
  <c r="DQ81" i="1"/>
  <c r="DQ90" i="1"/>
  <c r="DQ95" i="1"/>
  <c r="DR95" i="1"/>
  <c r="DS7" i="1"/>
  <c r="DS10" i="1"/>
  <c r="DS23" i="1"/>
  <c r="DS26" i="1"/>
  <c r="DS40" i="1"/>
  <c r="DS67" i="1"/>
  <c r="DS95" i="1"/>
  <c r="DT95" i="1"/>
  <c r="DU95" i="1"/>
  <c r="DV95" i="1"/>
  <c r="DW62" i="1"/>
  <c r="DW90" i="1"/>
  <c r="DW95" i="1"/>
  <c r="DX95" i="1"/>
  <c r="DY22" i="1"/>
  <c r="DY23" i="1"/>
  <c r="DY69" i="1"/>
  <c r="DY80" i="1"/>
  <c r="DY95" i="1"/>
  <c r="DZ95" i="1"/>
  <c r="EA95" i="1"/>
  <c r="EB95" i="1"/>
  <c r="EC62" i="1"/>
  <c r="EC81" i="1"/>
  <c r="EC90" i="1"/>
  <c r="EC95" i="1"/>
  <c r="ED95" i="1"/>
  <c r="EE7" i="1"/>
  <c r="EE10" i="1"/>
  <c r="EE52" i="1"/>
  <c r="EE67" i="1"/>
  <c r="EE69" i="1"/>
  <c r="EE71" i="1"/>
  <c r="EE80" i="1"/>
  <c r="EE95" i="1"/>
  <c r="EF95" i="1"/>
  <c r="EG95" i="1"/>
  <c r="EH95" i="1"/>
  <c r="EI17" i="1"/>
  <c r="EI45" i="1"/>
  <c r="EI59" i="1"/>
  <c r="EI62" i="1"/>
  <c r="EI76" i="1"/>
  <c r="EI81" i="1"/>
  <c r="EI90" i="1"/>
  <c r="EI95" i="1"/>
  <c r="EJ95" i="1"/>
  <c r="EK7" i="1"/>
  <c r="EK10" i="1"/>
  <c r="EK23" i="1"/>
  <c r="EK26" i="1"/>
  <c r="EK40" i="1"/>
  <c r="EK52" i="1"/>
  <c r="EK69" i="1"/>
  <c r="EK71" i="1"/>
  <c r="EK80" i="1"/>
  <c r="EK95" i="1"/>
  <c r="EL95" i="1"/>
  <c r="EM95" i="1"/>
  <c r="EN95" i="1"/>
  <c r="EO17" i="1"/>
  <c r="EO45" i="1"/>
  <c r="EO59" i="1"/>
  <c r="EO62" i="1"/>
  <c r="EO81" i="1"/>
  <c r="EO90" i="1"/>
  <c r="EO95" i="1"/>
  <c r="EP95" i="1"/>
  <c r="EQ7" i="1"/>
  <c r="EQ10" i="1"/>
  <c r="EQ22" i="1"/>
  <c r="EQ23" i="1"/>
  <c r="EQ26" i="1"/>
  <c r="EQ40" i="1"/>
  <c r="EQ52" i="1"/>
  <c r="EQ67" i="1"/>
  <c r="EQ69" i="1"/>
  <c r="EQ71" i="1"/>
  <c r="EQ80" i="1"/>
  <c r="EQ95" i="1"/>
  <c r="ER95" i="1"/>
  <c r="ES95" i="1"/>
  <c r="ET95" i="1"/>
  <c r="EU17" i="1"/>
  <c r="EU45" i="1"/>
  <c r="EU59" i="1"/>
  <c r="EU62" i="1"/>
  <c r="EU76" i="1"/>
  <c r="EU81" i="1"/>
  <c r="EU90" i="1"/>
  <c r="EU95" i="1"/>
  <c r="EV95" i="1"/>
  <c r="EW7" i="1"/>
  <c r="EW10" i="1"/>
  <c r="EW22" i="1"/>
  <c r="EW23" i="1"/>
  <c r="EW26" i="1"/>
  <c r="EW40" i="1"/>
  <c r="EW52" i="1"/>
  <c r="EW67" i="1"/>
  <c r="EW69" i="1"/>
  <c r="EW71" i="1"/>
  <c r="EW80" i="1"/>
  <c r="EW95" i="1"/>
  <c r="EX95" i="1"/>
  <c r="EY95" i="1"/>
  <c r="EZ95" i="1"/>
  <c r="FA17" i="1"/>
  <c r="FA45" i="1"/>
  <c r="FA59" i="1"/>
  <c r="FA62" i="1"/>
  <c r="FA81" i="1"/>
  <c r="FA90" i="1"/>
  <c r="FA95" i="1"/>
  <c r="FB95" i="1"/>
  <c r="FC7" i="1"/>
  <c r="FC10" i="1"/>
  <c r="FC22" i="1"/>
  <c r="FC23" i="1"/>
  <c r="FC26" i="1"/>
  <c r="FC40" i="1"/>
  <c r="FC67" i="1"/>
  <c r="FC69" i="1"/>
  <c r="FC71" i="1"/>
  <c r="FC80" i="1"/>
  <c r="FC95" i="1"/>
  <c r="FD17" i="1"/>
  <c r="FD45" i="1"/>
  <c r="FD59" i="1"/>
  <c r="FD62" i="1"/>
  <c r="FD81" i="1"/>
  <c r="FD90" i="1"/>
  <c r="FD95" i="1"/>
  <c r="FE17" i="1"/>
  <c r="FE45" i="1"/>
  <c r="FE59" i="1"/>
  <c r="FE62" i="1"/>
  <c r="FE81" i="1"/>
  <c r="FE90" i="1"/>
  <c r="FE95" i="1"/>
  <c r="FF17" i="1"/>
  <c r="FF45" i="1"/>
  <c r="FF59" i="1"/>
  <c r="FF62" i="1"/>
  <c r="FF81" i="1"/>
  <c r="FF90" i="1"/>
  <c r="FF95" i="1"/>
  <c r="FG17" i="1"/>
  <c r="FG45" i="1"/>
  <c r="FG59" i="1"/>
  <c r="FG62" i="1"/>
  <c r="FG81" i="1"/>
  <c r="FG90" i="1"/>
  <c r="FG95" i="1"/>
  <c r="FH17" i="1"/>
  <c r="FH90" i="1"/>
  <c r="FH95" i="1"/>
  <c r="FI7" i="1"/>
  <c r="FI10" i="1"/>
  <c r="FI22" i="1"/>
  <c r="FI23" i="1"/>
  <c r="FI26" i="1"/>
  <c r="FI40" i="1"/>
  <c r="FI52" i="1"/>
  <c r="FI69" i="1"/>
  <c r="FI71" i="1"/>
  <c r="FI80" i="1"/>
  <c r="FI95" i="1"/>
  <c r="FJ95" i="1"/>
  <c r="FK95" i="1"/>
  <c r="FL95" i="1"/>
  <c r="FM81" i="1"/>
  <c r="FM95" i="1"/>
  <c r="FN95" i="1"/>
  <c r="FO7" i="1"/>
  <c r="FO23" i="1"/>
  <c r="FO69" i="1"/>
  <c r="FO95" i="1"/>
  <c r="FP95" i="1"/>
  <c r="FQ95" i="1"/>
  <c r="FR95" i="1"/>
  <c r="FS17" i="1"/>
  <c r="FS18" i="1"/>
  <c r="FS45" i="1"/>
  <c r="FS59" i="1"/>
  <c r="FS62" i="1"/>
  <c r="FS81" i="1"/>
  <c r="FS90" i="1"/>
  <c r="FS95" i="1"/>
  <c r="FT95" i="1"/>
  <c r="FU7" i="1"/>
  <c r="FU10" i="1"/>
  <c r="FU22" i="1"/>
  <c r="FU23" i="1"/>
  <c r="FU26" i="1"/>
  <c r="FU40" i="1"/>
  <c r="FU52" i="1"/>
  <c r="FU69" i="1"/>
  <c r="FU71" i="1"/>
  <c r="FU80" i="1"/>
  <c r="FU95" i="1"/>
  <c r="FV95" i="1"/>
  <c r="FW95" i="1"/>
  <c r="FX95" i="1"/>
  <c r="FY95" i="1"/>
  <c r="FZ95" i="1"/>
  <c r="GA7" i="1"/>
  <c r="GA95" i="1"/>
  <c r="GB95" i="1"/>
  <c r="GC95" i="1"/>
  <c r="GD95" i="1"/>
  <c r="GE59" i="1"/>
  <c r="GE62" i="1"/>
  <c r="GE95" i="1"/>
  <c r="GF95" i="1"/>
  <c r="GG7" i="1"/>
  <c r="GG23" i="1"/>
  <c r="GG26" i="1"/>
  <c r="GG40" i="1"/>
  <c r="GG95" i="1"/>
  <c r="GH95" i="1"/>
  <c r="GI95" i="1"/>
  <c r="GJ95" i="1"/>
  <c r="GK17" i="1"/>
  <c r="GK59" i="1"/>
  <c r="GK62" i="1"/>
  <c r="GK81" i="1"/>
  <c r="GK90" i="1"/>
  <c r="GK95" i="1"/>
  <c r="GL95" i="1"/>
  <c r="GM7" i="1"/>
  <c r="GM10" i="1"/>
  <c r="GM22" i="1"/>
  <c r="GM23" i="1"/>
  <c r="GM26" i="1"/>
  <c r="GM40" i="1"/>
  <c r="GM52" i="1"/>
  <c r="GM69" i="1"/>
  <c r="GM71" i="1"/>
  <c r="GM80" i="1"/>
  <c r="GM95" i="1"/>
  <c r="GN95" i="1"/>
  <c r="GO95" i="1"/>
  <c r="GP95" i="1"/>
  <c r="GQ17" i="1"/>
  <c r="GQ59" i="1"/>
  <c r="GQ62" i="1"/>
  <c r="GQ81" i="1"/>
  <c r="GQ90" i="1"/>
  <c r="GQ95" i="1"/>
  <c r="GR95" i="1"/>
  <c r="GS7" i="1"/>
  <c r="GS10" i="1"/>
  <c r="GS23" i="1"/>
  <c r="GS26" i="1"/>
  <c r="GS40" i="1"/>
  <c r="GS52" i="1"/>
  <c r="GS71" i="1"/>
  <c r="GS80" i="1"/>
  <c r="GS95" i="1"/>
  <c r="GT95" i="1"/>
  <c r="GU95" i="1"/>
  <c r="GV95" i="1"/>
  <c r="GW17" i="1"/>
  <c r="GW59" i="1"/>
  <c r="GW62" i="1"/>
  <c r="GW81" i="1"/>
  <c r="GW90" i="1"/>
  <c r="GW95" i="1"/>
  <c r="GX95" i="1"/>
  <c r="GY7" i="1"/>
  <c r="GY10" i="1"/>
  <c r="GY22" i="1"/>
  <c r="GY23" i="1"/>
  <c r="GY26" i="1"/>
  <c r="GY40" i="1"/>
  <c r="GY71" i="1"/>
  <c r="GY80" i="1"/>
  <c r="GY95" i="1"/>
  <c r="GZ95" i="1"/>
  <c r="HA95" i="1"/>
  <c r="HB95" i="1"/>
  <c r="HC17" i="1"/>
  <c r="HC59" i="1"/>
  <c r="HC62" i="1"/>
  <c r="HC81" i="1"/>
  <c r="HC90" i="1"/>
  <c r="HC95" i="1"/>
  <c r="HD95" i="1"/>
  <c r="HE7" i="1"/>
  <c r="HE10" i="1"/>
  <c r="HE22" i="1"/>
  <c r="HE23" i="1"/>
  <c r="HE26" i="1"/>
  <c r="HE40" i="1"/>
  <c r="HE52" i="1"/>
  <c r="HE69" i="1"/>
  <c r="HE80" i="1"/>
  <c r="HE95" i="1"/>
  <c r="HF95" i="1"/>
  <c r="HG95" i="1"/>
  <c r="HH95" i="1"/>
  <c r="HI62" i="1"/>
  <c r="HI76" i="1"/>
  <c r="HI81" i="1"/>
  <c r="HI90" i="1"/>
  <c r="HI95" i="1"/>
  <c r="HJ95" i="1"/>
  <c r="HK7" i="1"/>
  <c r="HK10" i="1"/>
  <c r="HK22" i="1"/>
  <c r="HK23" i="1"/>
  <c r="HK26" i="1"/>
  <c r="HK40" i="1"/>
  <c r="HK69" i="1"/>
  <c r="HK71" i="1"/>
  <c r="HK80" i="1"/>
  <c r="HK95" i="1"/>
  <c r="HL95" i="1"/>
  <c r="HM95" i="1"/>
  <c r="HN95" i="1"/>
  <c r="HO62" i="1"/>
  <c r="HO76" i="1"/>
  <c r="HO90" i="1"/>
  <c r="HO95" i="1"/>
  <c r="HP95" i="1"/>
  <c r="HQ22" i="1"/>
  <c r="HQ23" i="1"/>
  <c r="HQ80" i="1"/>
  <c r="HQ95" i="1"/>
  <c r="HR95" i="1"/>
  <c r="HS95" i="1"/>
  <c r="HT95" i="1"/>
  <c r="HU17" i="1"/>
  <c r="HU59" i="1"/>
  <c r="HU62" i="1"/>
  <c r="HU81" i="1"/>
  <c r="HU90" i="1"/>
  <c r="HU95" i="1"/>
  <c r="HV95" i="1"/>
  <c r="HW7" i="1"/>
  <c r="HW10" i="1"/>
  <c r="HW23" i="1"/>
  <c r="HW26" i="1"/>
  <c r="HW40" i="1"/>
  <c r="HW52" i="1"/>
  <c r="HW69" i="1"/>
  <c r="HW71" i="1"/>
  <c r="HW80" i="1"/>
  <c r="HW95" i="1"/>
  <c r="HX95" i="1"/>
  <c r="HY95" i="1"/>
  <c r="HZ95" i="1"/>
  <c r="IA62" i="1"/>
  <c r="IA95" i="1"/>
  <c r="IB95" i="1"/>
  <c r="IC10" i="1"/>
  <c r="IC23" i="1"/>
  <c r="IC40" i="1"/>
  <c r="IC95" i="1"/>
  <c r="ID95" i="1"/>
  <c r="IE95" i="1"/>
  <c r="IF95" i="1"/>
  <c r="IG62" i="1"/>
  <c r="IG81" i="1"/>
  <c r="IG95" i="1"/>
  <c r="IH95" i="1"/>
  <c r="II7" i="1"/>
  <c r="II22" i="1"/>
  <c r="II95" i="1"/>
  <c r="IJ95" i="1"/>
  <c r="IK95" i="1"/>
  <c r="IL95" i="1"/>
  <c r="IM17" i="1"/>
  <c r="IM62" i="1"/>
  <c r="IM95" i="1"/>
  <c r="IN95" i="1"/>
  <c r="IO7" i="1"/>
  <c r="IO10" i="1"/>
  <c r="IO22" i="1"/>
  <c r="IO23" i="1"/>
  <c r="IO26" i="1"/>
  <c r="IO40" i="1"/>
  <c r="IO71" i="1"/>
  <c r="IO95" i="1"/>
  <c r="IP95" i="1"/>
  <c r="IQ95" i="1"/>
  <c r="IR95" i="1"/>
  <c r="IS17" i="1"/>
  <c r="IS59" i="1"/>
  <c r="IS62" i="1"/>
  <c r="IS81" i="1"/>
  <c r="IS90" i="1"/>
  <c r="IS95" i="1"/>
  <c r="IT95" i="1"/>
  <c r="IU7" i="1"/>
  <c r="IU10" i="1"/>
  <c r="IU23" i="1"/>
  <c r="IU26" i="1"/>
  <c r="IU40" i="1"/>
  <c r="IU52" i="1"/>
  <c r="IU69" i="1"/>
  <c r="IU71" i="1"/>
  <c r="IU80" i="1"/>
  <c r="IU95" i="1"/>
  <c r="IV95" i="1"/>
  <c r="IW95" i="1"/>
  <c r="IX95" i="1"/>
  <c r="IY17" i="1"/>
  <c r="IY59" i="1"/>
  <c r="IY62" i="1"/>
  <c r="IY81" i="1"/>
  <c r="IY90" i="1"/>
  <c r="IY95" i="1"/>
  <c r="IZ95" i="1"/>
  <c r="JA7" i="1"/>
  <c r="JA10" i="1"/>
  <c r="JA22" i="1"/>
  <c r="JA23" i="1"/>
  <c r="JA26" i="1"/>
  <c r="JA40" i="1"/>
  <c r="JA52" i="1"/>
  <c r="JA69" i="1"/>
  <c r="JA71" i="1"/>
  <c r="JA80" i="1"/>
  <c r="JA95" i="1"/>
  <c r="JB95" i="1"/>
  <c r="JC95" i="1"/>
  <c r="JD95" i="1"/>
  <c r="JE17" i="1"/>
  <c r="JE59" i="1"/>
  <c r="JE62" i="1"/>
  <c r="JE76" i="1"/>
  <c r="JE81" i="1"/>
  <c r="JE90" i="1"/>
  <c r="JE95" i="1"/>
  <c r="JF95" i="1"/>
  <c r="JG10" i="1"/>
  <c r="JG23" i="1"/>
  <c r="JG26" i="1"/>
  <c r="JG52" i="1"/>
  <c r="JG95" i="1"/>
  <c r="JH95" i="1"/>
  <c r="JI95" i="1"/>
  <c r="JJ95" i="1"/>
  <c r="JK95" i="1"/>
  <c r="JL95" i="1"/>
  <c r="JM10" i="1"/>
  <c r="JM95" i="1"/>
  <c r="JN17" i="1"/>
  <c r="JN95" i="1"/>
  <c r="JO17" i="1"/>
  <c r="JO95" i="1"/>
  <c r="JP17" i="1"/>
  <c r="JP95" i="1"/>
  <c r="JQ17" i="1"/>
  <c r="JQ59" i="1"/>
  <c r="JQ62" i="1"/>
  <c r="JQ81" i="1"/>
  <c r="JQ90" i="1"/>
  <c r="JQ95" i="1"/>
  <c r="JR17" i="1"/>
  <c r="JR95" i="1"/>
  <c r="JS23" i="1"/>
  <c r="JS26" i="1"/>
  <c r="JS40" i="1"/>
  <c r="JS95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DN96" i="1"/>
  <c r="DO96" i="1"/>
  <c r="DP96" i="1"/>
  <c r="DQ96" i="1"/>
  <c r="DR96" i="1"/>
  <c r="DS96" i="1"/>
  <c r="DT96" i="1"/>
  <c r="DU96" i="1"/>
  <c r="DV96" i="1"/>
  <c r="DW96" i="1"/>
  <c r="DX96" i="1"/>
  <c r="DY96" i="1"/>
  <c r="DZ96" i="1"/>
  <c r="EA96" i="1"/>
  <c r="EB96" i="1"/>
  <c r="EC96" i="1"/>
  <c r="ED96" i="1"/>
  <c r="EE96" i="1"/>
  <c r="EF96" i="1"/>
  <c r="EG96" i="1"/>
  <c r="EH96" i="1"/>
  <c r="EI96" i="1"/>
  <c r="EJ96" i="1"/>
  <c r="EK96" i="1"/>
  <c r="EL96" i="1"/>
  <c r="EM96" i="1"/>
  <c r="EN96" i="1"/>
  <c r="EO96" i="1"/>
  <c r="EP96" i="1"/>
  <c r="EQ96" i="1"/>
  <c r="ER96" i="1"/>
  <c r="ES96" i="1"/>
  <c r="ET96" i="1"/>
  <c r="EU96" i="1"/>
  <c r="EV96" i="1"/>
  <c r="EW96" i="1"/>
  <c r="EX96" i="1"/>
  <c r="EY96" i="1"/>
  <c r="EZ96" i="1"/>
  <c r="FA96" i="1"/>
  <c r="FB96" i="1"/>
  <c r="FC96" i="1"/>
  <c r="FD96" i="1"/>
  <c r="FE96" i="1"/>
  <c r="FF96" i="1"/>
  <c r="FG96" i="1"/>
  <c r="FH96" i="1"/>
  <c r="FI96" i="1"/>
  <c r="FJ96" i="1"/>
  <c r="FK96" i="1"/>
  <c r="FL96" i="1"/>
  <c r="FM96" i="1"/>
  <c r="FN96" i="1"/>
  <c r="FO96" i="1"/>
  <c r="FP96" i="1"/>
  <c r="FQ96" i="1"/>
  <c r="FR96" i="1"/>
  <c r="FS96" i="1"/>
  <c r="FT96" i="1"/>
  <c r="FU96" i="1"/>
  <c r="FV96" i="1"/>
  <c r="FW96" i="1"/>
  <c r="FX96" i="1"/>
  <c r="FY96" i="1"/>
  <c r="FZ96" i="1"/>
  <c r="GA96" i="1"/>
  <c r="GB96" i="1"/>
  <c r="GC96" i="1"/>
  <c r="GD96" i="1"/>
  <c r="GE96" i="1"/>
  <c r="GF96" i="1"/>
  <c r="GG96" i="1"/>
  <c r="GH96" i="1"/>
  <c r="GI96" i="1"/>
  <c r="GJ96" i="1"/>
  <c r="GK96" i="1"/>
  <c r="GL96" i="1"/>
  <c r="GM96" i="1"/>
  <c r="GN96" i="1"/>
  <c r="GO96" i="1"/>
  <c r="GP96" i="1"/>
  <c r="GQ96" i="1"/>
  <c r="GR96" i="1"/>
  <c r="GS96" i="1"/>
  <c r="GT96" i="1"/>
  <c r="GU96" i="1"/>
  <c r="GV96" i="1"/>
  <c r="GW96" i="1"/>
  <c r="GX96" i="1"/>
  <c r="GY96" i="1"/>
  <c r="GZ96" i="1"/>
  <c r="HA96" i="1"/>
  <c r="HB96" i="1"/>
  <c r="HC96" i="1"/>
  <c r="HD96" i="1"/>
  <c r="HE96" i="1"/>
  <c r="HF96" i="1"/>
  <c r="HG96" i="1"/>
  <c r="HH96" i="1"/>
  <c r="HI96" i="1"/>
  <c r="HJ96" i="1"/>
  <c r="HK96" i="1"/>
  <c r="HL96" i="1"/>
  <c r="HM96" i="1"/>
  <c r="HN96" i="1"/>
  <c r="HO96" i="1"/>
  <c r="HP96" i="1"/>
  <c r="HQ96" i="1"/>
  <c r="HR96" i="1"/>
  <c r="HS96" i="1"/>
  <c r="HT96" i="1"/>
  <c r="HU96" i="1"/>
  <c r="HV96" i="1"/>
  <c r="HW96" i="1"/>
  <c r="HX96" i="1"/>
  <c r="HY96" i="1"/>
  <c r="HZ96" i="1"/>
  <c r="IA96" i="1"/>
  <c r="IB96" i="1"/>
  <c r="IC96" i="1"/>
  <c r="ID96" i="1"/>
  <c r="IE96" i="1"/>
  <c r="IF96" i="1"/>
  <c r="IG96" i="1"/>
  <c r="IH96" i="1"/>
  <c r="II96" i="1"/>
  <c r="IJ96" i="1"/>
  <c r="IK96" i="1"/>
  <c r="IL96" i="1"/>
  <c r="IM96" i="1"/>
  <c r="IN96" i="1"/>
  <c r="IO96" i="1"/>
  <c r="IP96" i="1"/>
  <c r="IQ96" i="1"/>
  <c r="IR96" i="1"/>
  <c r="IS96" i="1"/>
  <c r="IT96" i="1"/>
  <c r="IU96" i="1"/>
  <c r="IV96" i="1"/>
  <c r="IW96" i="1"/>
  <c r="IX96" i="1"/>
  <c r="IY96" i="1"/>
  <c r="IZ96" i="1"/>
  <c r="JA96" i="1"/>
  <c r="JB96" i="1"/>
  <c r="JC96" i="1"/>
  <c r="JD96" i="1"/>
  <c r="JE96" i="1"/>
  <c r="JF96" i="1"/>
  <c r="JG96" i="1"/>
  <c r="JH96" i="1"/>
  <c r="JI96" i="1"/>
  <c r="JJ96" i="1"/>
  <c r="JK96" i="1"/>
  <c r="JL96" i="1"/>
  <c r="JM96" i="1"/>
  <c r="JN96" i="1"/>
  <c r="JO96" i="1"/>
  <c r="JP96" i="1"/>
  <c r="JQ96" i="1"/>
  <c r="JR96" i="1"/>
  <c r="JS96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DO97" i="1"/>
  <c r="DP97" i="1"/>
  <c r="DQ97" i="1"/>
  <c r="DR97" i="1"/>
  <c r="DS97" i="1"/>
  <c r="DT97" i="1"/>
  <c r="DU97" i="1"/>
  <c r="DV97" i="1"/>
  <c r="DW97" i="1"/>
  <c r="DX97" i="1"/>
  <c r="DY97" i="1"/>
  <c r="DZ97" i="1"/>
  <c r="EA97" i="1"/>
  <c r="EB97" i="1"/>
  <c r="EC97" i="1"/>
  <c r="ED97" i="1"/>
  <c r="EE97" i="1"/>
  <c r="EF97" i="1"/>
  <c r="EG97" i="1"/>
  <c r="EH97" i="1"/>
  <c r="EI97" i="1"/>
  <c r="EJ97" i="1"/>
  <c r="EK97" i="1"/>
  <c r="EL97" i="1"/>
  <c r="EM97" i="1"/>
  <c r="EN97" i="1"/>
  <c r="EO97" i="1"/>
  <c r="EP97" i="1"/>
  <c r="EQ97" i="1"/>
  <c r="ER97" i="1"/>
  <c r="ES97" i="1"/>
  <c r="ET97" i="1"/>
  <c r="EU97" i="1"/>
  <c r="EV97" i="1"/>
  <c r="EW97" i="1"/>
  <c r="EX97" i="1"/>
  <c r="EY97" i="1"/>
  <c r="EZ97" i="1"/>
  <c r="FA97" i="1"/>
  <c r="FB97" i="1"/>
  <c r="FC97" i="1"/>
  <c r="FD97" i="1"/>
  <c r="FE97" i="1"/>
  <c r="FF97" i="1"/>
  <c r="FG97" i="1"/>
  <c r="FH97" i="1"/>
  <c r="FI97" i="1"/>
  <c r="FJ97" i="1"/>
  <c r="FK97" i="1"/>
  <c r="FL97" i="1"/>
  <c r="FM97" i="1"/>
  <c r="FN97" i="1"/>
  <c r="FO97" i="1"/>
  <c r="FP97" i="1"/>
  <c r="FQ97" i="1"/>
  <c r="FR97" i="1"/>
  <c r="FS97" i="1"/>
  <c r="FT97" i="1"/>
  <c r="FU97" i="1"/>
  <c r="FV97" i="1"/>
  <c r="FW97" i="1"/>
  <c r="FX97" i="1"/>
  <c r="FY97" i="1"/>
  <c r="FZ97" i="1"/>
  <c r="GA97" i="1"/>
  <c r="GB97" i="1"/>
  <c r="GC97" i="1"/>
  <c r="GD97" i="1"/>
  <c r="GE97" i="1"/>
  <c r="GF97" i="1"/>
  <c r="GG97" i="1"/>
  <c r="GH97" i="1"/>
  <c r="GI97" i="1"/>
  <c r="GJ97" i="1"/>
  <c r="GK97" i="1"/>
  <c r="GL97" i="1"/>
  <c r="GM97" i="1"/>
  <c r="GN97" i="1"/>
  <c r="GO97" i="1"/>
  <c r="GP97" i="1"/>
  <c r="GQ97" i="1"/>
  <c r="GR97" i="1"/>
  <c r="GS97" i="1"/>
  <c r="GT97" i="1"/>
  <c r="GU97" i="1"/>
  <c r="GV97" i="1"/>
  <c r="GW97" i="1"/>
  <c r="GX97" i="1"/>
  <c r="GY97" i="1"/>
  <c r="GZ97" i="1"/>
  <c r="HA97" i="1"/>
  <c r="HB97" i="1"/>
  <c r="HC97" i="1"/>
  <c r="HD97" i="1"/>
  <c r="HE97" i="1"/>
  <c r="HF97" i="1"/>
  <c r="HG97" i="1"/>
  <c r="HH97" i="1"/>
  <c r="HI97" i="1"/>
  <c r="HJ97" i="1"/>
  <c r="HK97" i="1"/>
  <c r="HL97" i="1"/>
  <c r="HM97" i="1"/>
  <c r="HN97" i="1"/>
  <c r="HO97" i="1"/>
  <c r="HP97" i="1"/>
  <c r="HQ97" i="1"/>
  <c r="HR97" i="1"/>
  <c r="HS97" i="1"/>
  <c r="HT97" i="1"/>
  <c r="HU97" i="1"/>
  <c r="HV97" i="1"/>
  <c r="HW97" i="1"/>
  <c r="HX97" i="1"/>
  <c r="HY97" i="1"/>
  <c r="HZ97" i="1"/>
  <c r="IA97" i="1"/>
  <c r="IB97" i="1"/>
  <c r="IC97" i="1"/>
  <c r="ID97" i="1"/>
  <c r="IE97" i="1"/>
  <c r="IF97" i="1"/>
  <c r="IG97" i="1"/>
  <c r="IH97" i="1"/>
  <c r="II97" i="1"/>
  <c r="IJ97" i="1"/>
  <c r="IK97" i="1"/>
  <c r="IL97" i="1"/>
  <c r="IM97" i="1"/>
  <c r="IN97" i="1"/>
  <c r="IO97" i="1"/>
  <c r="IP97" i="1"/>
  <c r="IQ97" i="1"/>
  <c r="IR97" i="1"/>
  <c r="IS97" i="1"/>
  <c r="IT97" i="1"/>
  <c r="IU97" i="1"/>
  <c r="IV97" i="1"/>
  <c r="IW97" i="1"/>
  <c r="IX97" i="1"/>
  <c r="IY97" i="1"/>
  <c r="IZ97" i="1"/>
  <c r="JA97" i="1"/>
  <c r="JB97" i="1"/>
  <c r="JC97" i="1"/>
  <c r="JD97" i="1"/>
  <c r="JE97" i="1"/>
  <c r="JF97" i="1"/>
  <c r="JG97" i="1"/>
  <c r="JH97" i="1"/>
  <c r="JI97" i="1"/>
  <c r="JJ97" i="1"/>
  <c r="JK97" i="1"/>
  <c r="JL97" i="1"/>
  <c r="JM97" i="1"/>
  <c r="JN97" i="1"/>
  <c r="JO97" i="1"/>
  <c r="JP97" i="1"/>
  <c r="JQ97" i="1"/>
  <c r="JR97" i="1"/>
  <c r="JS97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DO98" i="1"/>
  <c r="DP98" i="1"/>
  <c r="DQ98" i="1"/>
  <c r="DR98" i="1"/>
  <c r="DS98" i="1"/>
  <c r="DT98" i="1"/>
  <c r="DU98" i="1"/>
  <c r="DV98" i="1"/>
  <c r="DW98" i="1"/>
  <c r="DX98" i="1"/>
  <c r="DY98" i="1"/>
  <c r="DZ98" i="1"/>
  <c r="EA98" i="1"/>
  <c r="EB98" i="1"/>
  <c r="EC98" i="1"/>
  <c r="ED98" i="1"/>
  <c r="EE98" i="1"/>
  <c r="EF98" i="1"/>
  <c r="EG98" i="1"/>
  <c r="EH98" i="1"/>
  <c r="EI98" i="1"/>
  <c r="EJ98" i="1"/>
  <c r="EK98" i="1"/>
  <c r="EL98" i="1"/>
  <c r="EM98" i="1"/>
  <c r="EN98" i="1"/>
  <c r="EO98" i="1"/>
  <c r="EP98" i="1"/>
  <c r="EQ98" i="1"/>
  <c r="ER98" i="1"/>
  <c r="ES98" i="1"/>
  <c r="ET98" i="1"/>
  <c r="EU98" i="1"/>
  <c r="EV98" i="1"/>
  <c r="EW98" i="1"/>
  <c r="EX98" i="1"/>
  <c r="EY98" i="1"/>
  <c r="EZ98" i="1"/>
  <c r="FA98" i="1"/>
  <c r="FB98" i="1"/>
  <c r="FC98" i="1"/>
  <c r="FD98" i="1"/>
  <c r="FE98" i="1"/>
  <c r="FF98" i="1"/>
  <c r="FG98" i="1"/>
  <c r="FH98" i="1"/>
  <c r="FI98" i="1"/>
  <c r="FJ98" i="1"/>
  <c r="FK98" i="1"/>
  <c r="FL98" i="1"/>
  <c r="FM98" i="1"/>
  <c r="FN98" i="1"/>
  <c r="FO98" i="1"/>
  <c r="FP98" i="1"/>
  <c r="FQ98" i="1"/>
  <c r="FR98" i="1"/>
  <c r="FS98" i="1"/>
  <c r="FT98" i="1"/>
  <c r="FU98" i="1"/>
  <c r="FV98" i="1"/>
  <c r="FW98" i="1"/>
  <c r="FX98" i="1"/>
  <c r="FY98" i="1"/>
  <c r="FZ98" i="1"/>
  <c r="GA98" i="1"/>
  <c r="GB98" i="1"/>
  <c r="GC98" i="1"/>
  <c r="GD98" i="1"/>
  <c r="GE98" i="1"/>
  <c r="GF98" i="1"/>
  <c r="GG98" i="1"/>
  <c r="GH98" i="1"/>
  <c r="GI98" i="1"/>
  <c r="GJ98" i="1"/>
  <c r="GK98" i="1"/>
  <c r="GL98" i="1"/>
  <c r="GM98" i="1"/>
  <c r="GN98" i="1"/>
  <c r="GO98" i="1"/>
  <c r="GP98" i="1"/>
  <c r="GQ98" i="1"/>
  <c r="GR98" i="1"/>
  <c r="GS98" i="1"/>
  <c r="GT98" i="1"/>
  <c r="GU98" i="1"/>
  <c r="GV98" i="1"/>
  <c r="GW98" i="1"/>
  <c r="GX98" i="1"/>
  <c r="GY98" i="1"/>
  <c r="GZ98" i="1"/>
  <c r="HA98" i="1"/>
  <c r="HB98" i="1"/>
  <c r="HC98" i="1"/>
  <c r="HD98" i="1"/>
  <c r="HE98" i="1"/>
  <c r="HF98" i="1"/>
  <c r="HG98" i="1"/>
  <c r="HH98" i="1"/>
  <c r="HI98" i="1"/>
  <c r="HJ98" i="1"/>
  <c r="HK98" i="1"/>
  <c r="HL98" i="1"/>
  <c r="HM98" i="1"/>
  <c r="HN98" i="1"/>
  <c r="HO98" i="1"/>
  <c r="HP98" i="1"/>
  <c r="HQ98" i="1"/>
  <c r="HR98" i="1"/>
  <c r="HS98" i="1"/>
  <c r="HT98" i="1"/>
  <c r="HU98" i="1"/>
  <c r="HV98" i="1"/>
  <c r="HW98" i="1"/>
  <c r="HX98" i="1"/>
  <c r="HY98" i="1"/>
  <c r="HZ98" i="1"/>
  <c r="IA98" i="1"/>
  <c r="IB98" i="1"/>
  <c r="IC98" i="1"/>
  <c r="ID98" i="1"/>
  <c r="IE98" i="1"/>
  <c r="IF98" i="1"/>
  <c r="IG98" i="1"/>
  <c r="IH98" i="1"/>
  <c r="II98" i="1"/>
  <c r="IJ98" i="1"/>
  <c r="IK98" i="1"/>
  <c r="IL98" i="1"/>
  <c r="IM98" i="1"/>
  <c r="IN98" i="1"/>
  <c r="IO98" i="1"/>
  <c r="IP98" i="1"/>
  <c r="IQ98" i="1"/>
  <c r="IR98" i="1"/>
  <c r="IS98" i="1"/>
  <c r="IT98" i="1"/>
  <c r="IU98" i="1"/>
  <c r="IV98" i="1"/>
  <c r="IW98" i="1"/>
  <c r="IX98" i="1"/>
  <c r="IY98" i="1"/>
  <c r="IZ98" i="1"/>
  <c r="JA98" i="1"/>
  <c r="JB98" i="1"/>
  <c r="JC98" i="1"/>
  <c r="JD98" i="1"/>
  <c r="JE98" i="1"/>
  <c r="JF98" i="1"/>
  <c r="JG98" i="1"/>
  <c r="JH98" i="1"/>
  <c r="JI98" i="1"/>
  <c r="JJ98" i="1"/>
  <c r="JK98" i="1"/>
  <c r="JL98" i="1"/>
  <c r="JM98" i="1"/>
  <c r="JN98" i="1"/>
  <c r="JO98" i="1"/>
  <c r="JP98" i="1"/>
  <c r="JQ98" i="1"/>
  <c r="JR98" i="1"/>
  <c r="JS98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DN99" i="1"/>
  <c r="DO99" i="1"/>
  <c r="DP99" i="1"/>
  <c r="DQ99" i="1"/>
  <c r="DR99" i="1"/>
  <c r="DS99" i="1"/>
  <c r="DT99" i="1"/>
  <c r="DU99" i="1"/>
  <c r="DV99" i="1"/>
  <c r="DW99" i="1"/>
  <c r="DX99" i="1"/>
  <c r="DY99" i="1"/>
  <c r="DZ99" i="1"/>
  <c r="EA99" i="1"/>
  <c r="EB99" i="1"/>
  <c r="EC99" i="1"/>
  <c r="ED99" i="1"/>
  <c r="EE99" i="1"/>
  <c r="EF99" i="1"/>
  <c r="EG99" i="1"/>
  <c r="EH99" i="1"/>
  <c r="EI99" i="1"/>
  <c r="EJ99" i="1"/>
  <c r="EK99" i="1"/>
  <c r="EL99" i="1"/>
  <c r="EM99" i="1"/>
  <c r="EN99" i="1"/>
  <c r="EO99" i="1"/>
  <c r="EP99" i="1"/>
  <c r="EQ99" i="1"/>
  <c r="ER99" i="1"/>
  <c r="ES99" i="1"/>
  <c r="ET99" i="1"/>
  <c r="EU99" i="1"/>
  <c r="EV99" i="1"/>
  <c r="EW99" i="1"/>
  <c r="EX99" i="1"/>
  <c r="EY99" i="1"/>
  <c r="EZ99" i="1"/>
  <c r="FA99" i="1"/>
  <c r="FB99" i="1"/>
  <c r="FC99" i="1"/>
  <c r="FD99" i="1"/>
  <c r="FE99" i="1"/>
  <c r="FF99" i="1"/>
  <c r="FG99" i="1"/>
  <c r="FH99" i="1"/>
  <c r="FI99" i="1"/>
  <c r="FJ99" i="1"/>
  <c r="FK99" i="1"/>
  <c r="FL99" i="1"/>
  <c r="FM99" i="1"/>
  <c r="FN99" i="1"/>
  <c r="FO99" i="1"/>
  <c r="FP99" i="1"/>
  <c r="FQ99" i="1"/>
  <c r="FR99" i="1"/>
  <c r="FS99" i="1"/>
  <c r="FT99" i="1"/>
  <c r="FU99" i="1"/>
  <c r="FV99" i="1"/>
  <c r="FW99" i="1"/>
  <c r="FX99" i="1"/>
  <c r="FY99" i="1"/>
  <c r="FZ99" i="1"/>
  <c r="GA99" i="1"/>
  <c r="GB99" i="1"/>
  <c r="GC99" i="1"/>
  <c r="GD99" i="1"/>
  <c r="GE99" i="1"/>
  <c r="GF99" i="1"/>
  <c r="GG99" i="1"/>
  <c r="GH99" i="1"/>
  <c r="GI99" i="1"/>
  <c r="GJ99" i="1"/>
  <c r="GK99" i="1"/>
  <c r="GL99" i="1"/>
  <c r="GM99" i="1"/>
  <c r="GN99" i="1"/>
  <c r="GO99" i="1"/>
  <c r="GP99" i="1"/>
  <c r="GQ99" i="1"/>
  <c r="GR99" i="1"/>
  <c r="GS99" i="1"/>
  <c r="GT99" i="1"/>
  <c r="GU99" i="1"/>
  <c r="GV99" i="1"/>
  <c r="GW99" i="1"/>
  <c r="GX99" i="1"/>
  <c r="GY99" i="1"/>
  <c r="GZ99" i="1"/>
  <c r="HA99" i="1"/>
  <c r="HB99" i="1"/>
  <c r="HC99" i="1"/>
  <c r="HD99" i="1"/>
  <c r="HE99" i="1"/>
  <c r="HF99" i="1"/>
  <c r="HG99" i="1"/>
  <c r="HH99" i="1"/>
  <c r="HI99" i="1"/>
  <c r="HJ99" i="1"/>
  <c r="HK99" i="1"/>
  <c r="HL99" i="1"/>
  <c r="HM99" i="1"/>
  <c r="HN99" i="1"/>
  <c r="HO99" i="1"/>
  <c r="HP99" i="1"/>
  <c r="HQ99" i="1"/>
  <c r="HR99" i="1"/>
  <c r="HS99" i="1"/>
  <c r="HT99" i="1"/>
  <c r="HU99" i="1"/>
  <c r="HV99" i="1"/>
  <c r="HW99" i="1"/>
  <c r="HX99" i="1"/>
  <c r="HY99" i="1"/>
  <c r="HZ99" i="1"/>
  <c r="IA99" i="1"/>
  <c r="IB99" i="1"/>
  <c r="IC99" i="1"/>
  <c r="ID99" i="1"/>
  <c r="IE99" i="1"/>
  <c r="IF99" i="1"/>
  <c r="IG99" i="1"/>
  <c r="IH99" i="1"/>
  <c r="II99" i="1"/>
  <c r="IJ99" i="1"/>
  <c r="IK99" i="1"/>
  <c r="IL99" i="1"/>
  <c r="IM99" i="1"/>
  <c r="IN99" i="1"/>
  <c r="IO99" i="1"/>
  <c r="IP99" i="1"/>
  <c r="IQ99" i="1"/>
  <c r="IR99" i="1"/>
  <c r="IS99" i="1"/>
  <c r="IT99" i="1"/>
  <c r="IU99" i="1"/>
  <c r="IV99" i="1"/>
  <c r="IW99" i="1"/>
  <c r="IX99" i="1"/>
  <c r="IY99" i="1"/>
  <c r="IZ99" i="1"/>
  <c r="JA99" i="1"/>
  <c r="JB99" i="1"/>
  <c r="JC99" i="1"/>
  <c r="JD99" i="1"/>
  <c r="JE99" i="1"/>
  <c r="JF99" i="1"/>
  <c r="JG99" i="1"/>
  <c r="JH99" i="1"/>
  <c r="JI99" i="1"/>
  <c r="JJ99" i="1"/>
  <c r="JK99" i="1"/>
  <c r="JL99" i="1"/>
  <c r="JM99" i="1"/>
  <c r="JN99" i="1"/>
  <c r="JO99" i="1"/>
  <c r="JP99" i="1"/>
  <c r="JQ99" i="1"/>
  <c r="JR99" i="1"/>
  <c r="JS99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DI100" i="1"/>
  <c r="DJ100" i="1"/>
  <c r="DK100" i="1"/>
  <c r="DL100" i="1"/>
  <c r="DM100" i="1"/>
  <c r="DN100" i="1"/>
  <c r="DO100" i="1"/>
  <c r="DP100" i="1"/>
  <c r="DQ100" i="1"/>
  <c r="DR100" i="1"/>
  <c r="DS100" i="1"/>
  <c r="DT100" i="1"/>
  <c r="DU100" i="1"/>
  <c r="DV100" i="1"/>
  <c r="DW100" i="1"/>
  <c r="DX100" i="1"/>
  <c r="DY100" i="1"/>
  <c r="DZ100" i="1"/>
  <c r="EA100" i="1"/>
  <c r="EB100" i="1"/>
  <c r="EC100" i="1"/>
  <c r="ED100" i="1"/>
  <c r="EE100" i="1"/>
  <c r="EF100" i="1"/>
  <c r="EG100" i="1"/>
  <c r="EH100" i="1"/>
  <c r="EI100" i="1"/>
  <c r="EJ100" i="1"/>
  <c r="EK100" i="1"/>
  <c r="EL100" i="1"/>
  <c r="EM100" i="1"/>
  <c r="EN100" i="1"/>
  <c r="EO100" i="1"/>
  <c r="EP100" i="1"/>
  <c r="EQ100" i="1"/>
  <c r="ER100" i="1"/>
  <c r="ES100" i="1"/>
  <c r="ET100" i="1"/>
  <c r="EU100" i="1"/>
  <c r="EV100" i="1"/>
  <c r="EW100" i="1"/>
  <c r="EX100" i="1"/>
  <c r="EY100" i="1"/>
  <c r="EZ100" i="1"/>
  <c r="FA100" i="1"/>
  <c r="FB100" i="1"/>
  <c r="FC100" i="1"/>
  <c r="FD100" i="1"/>
  <c r="FE100" i="1"/>
  <c r="FF100" i="1"/>
  <c r="FG100" i="1"/>
  <c r="FH100" i="1"/>
  <c r="FI100" i="1"/>
  <c r="FJ100" i="1"/>
  <c r="FK100" i="1"/>
  <c r="FL100" i="1"/>
  <c r="FM100" i="1"/>
  <c r="FN100" i="1"/>
  <c r="FO100" i="1"/>
  <c r="FP100" i="1"/>
  <c r="FQ100" i="1"/>
  <c r="FR100" i="1"/>
  <c r="FS100" i="1"/>
  <c r="FT100" i="1"/>
  <c r="FU100" i="1"/>
  <c r="FV100" i="1"/>
  <c r="FW100" i="1"/>
  <c r="FX100" i="1"/>
  <c r="FY100" i="1"/>
  <c r="FZ100" i="1"/>
  <c r="GA100" i="1"/>
  <c r="GB100" i="1"/>
  <c r="GC100" i="1"/>
  <c r="GD100" i="1"/>
  <c r="GE100" i="1"/>
  <c r="GF100" i="1"/>
  <c r="GG100" i="1"/>
  <c r="GH100" i="1"/>
  <c r="GI100" i="1"/>
  <c r="GJ100" i="1"/>
  <c r="GK100" i="1"/>
  <c r="GL100" i="1"/>
  <c r="GM100" i="1"/>
  <c r="GN100" i="1"/>
  <c r="GO100" i="1"/>
  <c r="GP100" i="1"/>
  <c r="GQ100" i="1"/>
  <c r="GR100" i="1"/>
  <c r="GS100" i="1"/>
  <c r="GT100" i="1"/>
  <c r="GU100" i="1"/>
  <c r="GV100" i="1"/>
  <c r="GW100" i="1"/>
  <c r="GX100" i="1"/>
  <c r="GY100" i="1"/>
  <c r="GZ100" i="1"/>
  <c r="HA100" i="1"/>
  <c r="HB100" i="1"/>
  <c r="HC100" i="1"/>
  <c r="HD100" i="1"/>
  <c r="HE100" i="1"/>
  <c r="HF100" i="1"/>
  <c r="HG100" i="1"/>
  <c r="HH100" i="1"/>
  <c r="HI100" i="1"/>
  <c r="HJ100" i="1"/>
  <c r="HK100" i="1"/>
  <c r="HL100" i="1"/>
  <c r="HM100" i="1"/>
  <c r="HN100" i="1"/>
  <c r="HO100" i="1"/>
  <c r="HP100" i="1"/>
  <c r="HQ100" i="1"/>
  <c r="HR100" i="1"/>
  <c r="HS100" i="1"/>
  <c r="HT100" i="1"/>
  <c r="HU100" i="1"/>
  <c r="HV100" i="1"/>
  <c r="HW100" i="1"/>
  <c r="HX100" i="1"/>
  <c r="HY100" i="1"/>
  <c r="HZ100" i="1"/>
  <c r="IA100" i="1"/>
  <c r="IB100" i="1"/>
  <c r="IC100" i="1"/>
  <c r="ID100" i="1"/>
  <c r="IE100" i="1"/>
  <c r="IF100" i="1"/>
  <c r="IG100" i="1"/>
  <c r="IH100" i="1"/>
  <c r="II100" i="1"/>
  <c r="IJ100" i="1"/>
  <c r="IK100" i="1"/>
  <c r="IL100" i="1"/>
  <c r="IM100" i="1"/>
  <c r="IN100" i="1"/>
  <c r="IO100" i="1"/>
  <c r="IP100" i="1"/>
  <c r="IQ100" i="1"/>
  <c r="IR100" i="1"/>
  <c r="IS100" i="1"/>
  <c r="IT100" i="1"/>
  <c r="IU100" i="1"/>
  <c r="IV100" i="1"/>
  <c r="IW100" i="1"/>
  <c r="IX100" i="1"/>
  <c r="IY100" i="1"/>
  <c r="IZ100" i="1"/>
  <c r="JA100" i="1"/>
  <c r="JB100" i="1"/>
  <c r="JC100" i="1"/>
  <c r="JD100" i="1"/>
  <c r="JE100" i="1"/>
  <c r="JF100" i="1"/>
  <c r="JG100" i="1"/>
  <c r="JH100" i="1"/>
  <c r="JI100" i="1"/>
  <c r="JJ100" i="1"/>
  <c r="JK100" i="1"/>
  <c r="JL100" i="1"/>
  <c r="JM100" i="1"/>
  <c r="JN100" i="1"/>
  <c r="JO100" i="1"/>
  <c r="JP100" i="1"/>
  <c r="JQ100" i="1"/>
  <c r="JR100" i="1"/>
  <c r="JS100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DI101" i="1"/>
  <c r="DJ101" i="1"/>
  <c r="DK101" i="1"/>
  <c r="DL101" i="1"/>
  <c r="DM101" i="1"/>
  <c r="DN101" i="1"/>
  <c r="DO101" i="1"/>
  <c r="DP101" i="1"/>
  <c r="DQ101" i="1"/>
  <c r="DR101" i="1"/>
  <c r="DS101" i="1"/>
  <c r="DT101" i="1"/>
  <c r="DU101" i="1"/>
  <c r="DV101" i="1"/>
  <c r="DW101" i="1"/>
  <c r="DX101" i="1"/>
  <c r="DY101" i="1"/>
  <c r="DZ101" i="1"/>
  <c r="EA101" i="1"/>
  <c r="EB101" i="1"/>
  <c r="EC101" i="1"/>
  <c r="ED101" i="1"/>
  <c r="EE101" i="1"/>
  <c r="EF101" i="1"/>
  <c r="EG101" i="1"/>
  <c r="EH101" i="1"/>
  <c r="EI101" i="1"/>
  <c r="EJ101" i="1"/>
  <c r="EK101" i="1"/>
  <c r="EL101" i="1"/>
  <c r="EM101" i="1"/>
  <c r="EN101" i="1"/>
  <c r="EO101" i="1"/>
  <c r="EP101" i="1"/>
  <c r="EQ101" i="1"/>
  <c r="ER101" i="1"/>
  <c r="ES101" i="1"/>
  <c r="ET101" i="1"/>
  <c r="EU101" i="1"/>
  <c r="EV101" i="1"/>
  <c r="EW101" i="1"/>
  <c r="EX101" i="1"/>
  <c r="EY101" i="1"/>
  <c r="EZ101" i="1"/>
  <c r="FA101" i="1"/>
  <c r="FB101" i="1"/>
  <c r="FC101" i="1"/>
  <c r="FD101" i="1"/>
  <c r="FE101" i="1"/>
  <c r="FF101" i="1"/>
  <c r="FG101" i="1"/>
  <c r="FH101" i="1"/>
  <c r="FI101" i="1"/>
  <c r="FJ101" i="1"/>
  <c r="FK101" i="1"/>
  <c r="FL101" i="1"/>
  <c r="FM101" i="1"/>
  <c r="FN101" i="1"/>
  <c r="FO101" i="1"/>
  <c r="FP101" i="1"/>
  <c r="FQ101" i="1"/>
  <c r="FR101" i="1"/>
  <c r="FS101" i="1"/>
  <c r="FT101" i="1"/>
  <c r="FU101" i="1"/>
  <c r="FV101" i="1"/>
  <c r="FW101" i="1"/>
  <c r="FX101" i="1"/>
  <c r="FY101" i="1"/>
  <c r="FZ101" i="1"/>
  <c r="GA101" i="1"/>
  <c r="GB101" i="1"/>
  <c r="GC101" i="1"/>
  <c r="GD101" i="1"/>
  <c r="GE101" i="1"/>
  <c r="GF101" i="1"/>
  <c r="GG101" i="1"/>
  <c r="GH101" i="1"/>
  <c r="GI101" i="1"/>
  <c r="GJ101" i="1"/>
  <c r="GK101" i="1"/>
  <c r="GL101" i="1"/>
  <c r="GM101" i="1"/>
  <c r="GN101" i="1"/>
  <c r="GO101" i="1"/>
  <c r="GP101" i="1"/>
  <c r="GQ101" i="1"/>
  <c r="GR101" i="1"/>
  <c r="GS101" i="1"/>
  <c r="GT101" i="1"/>
  <c r="GU101" i="1"/>
  <c r="GV101" i="1"/>
  <c r="GW101" i="1"/>
  <c r="GX101" i="1"/>
  <c r="GY101" i="1"/>
  <c r="GZ101" i="1"/>
  <c r="HA101" i="1"/>
  <c r="HB101" i="1"/>
  <c r="HC101" i="1"/>
  <c r="HD101" i="1"/>
  <c r="HE101" i="1"/>
  <c r="HF101" i="1"/>
  <c r="HG101" i="1"/>
  <c r="HH101" i="1"/>
  <c r="HI101" i="1"/>
  <c r="HJ101" i="1"/>
  <c r="HK101" i="1"/>
  <c r="HL101" i="1"/>
  <c r="HM101" i="1"/>
  <c r="HN101" i="1"/>
  <c r="HO101" i="1"/>
  <c r="HP101" i="1"/>
  <c r="HQ101" i="1"/>
  <c r="HR101" i="1"/>
  <c r="HS101" i="1"/>
  <c r="HT101" i="1"/>
  <c r="HU101" i="1"/>
  <c r="HV101" i="1"/>
  <c r="HW101" i="1"/>
  <c r="HX101" i="1"/>
  <c r="HY101" i="1"/>
  <c r="HZ101" i="1"/>
  <c r="IA101" i="1"/>
  <c r="IB101" i="1"/>
  <c r="IC101" i="1"/>
  <c r="ID101" i="1"/>
  <c r="IE101" i="1"/>
  <c r="IF101" i="1"/>
  <c r="IG101" i="1"/>
  <c r="IH101" i="1"/>
  <c r="II101" i="1"/>
  <c r="IJ101" i="1"/>
  <c r="IK101" i="1"/>
  <c r="IL101" i="1"/>
  <c r="IM101" i="1"/>
  <c r="IN101" i="1"/>
  <c r="IO101" i="1"/>
  <c r="IP101" i="1"/>
  <c r="IQ101" i="1"/>
  <c r="IR101" i="1"/>
  <c r="IS101" i="1"/>
  <c r="IT101" i="1"/>
  <c r="IU101" i="1"/>
  <c r="IV101" i="1"/>
  <c r="IW101" i="1"/>
  <c r="IX101" i="1"/>
  <c r="IY101" i="1"/>
  <c r="IZ101" i="1"/>
  <c r="JA101" i="1"/>
  <c r="JB101" i="1"/>
  <c r="JC101" i="1"/>
  <c r="JD101" i="1"/>
  <c r="JE101" i="1"/>
  <c r="JF101" i="1"/>
  <c r="JG101" i="1"/>
  <c r="JH101" i="1"/>
  <c r="JI101" i="1"/>
  <c r="JJ101" i="1"/>
  <c r="JK101" i="1"/>
  <c r="JL101" i="1"/>
  <c r="JM101" i="1"/>
  <c r="JN101" i="1"/>
  <c r="JO101" i="1"/>
  <c r="JP101" i="1"/>
  <c r="JQ101" i="1"/>
  <c r="JR101" i="1"/>
  <c r="JS101" i="1"/>
  <c r="G101" i="1"/>
  <c r="G98" i="1"/>
  <c r="G95" i="1"/>
  <c r="G100" i="1"/>
  <c r="G99" i="1"/>
  <c r="G97" i="1"/>
  <c r="G96" i="1"/>
  <c r="LE81" i="1"/>
  <c r="LE82" i="1"/>
  <c r="JU82" i="1"/>
  <c r="JV82" i="1"/>
  <c r="JW82" i="1"/>
  <c r="JX82" i="1"/>
  <c r="JY82" i="1"/>
  <c r="JZ82" i="1"/>
  <c r="KA82" i="1"/>
  <c r="KB82" i="1"/>
  <c r="KC82" i="1"/>
  <c r="KD82" i="1"/>
  <c r="KE82" i="1"/>
  <c r="KF82" i="1"/>
  <c r="KG82" i="1"/>
  <c r="KH82" i="1"/>
  <c r="KI82" i="1"/>
  <c r="KJ82" i="1"/>
  <c r="KK82" i="1"/>
  <c r="KL82" i="1"/>
  <c r="KM82" i="1"/>
  <c r="KN82" i="1"/>
  <c r="KO82" i="1"/>
  <c r="KP82" i="1"/>
  <c r="KQ82" i="1"/>
  <c r="KR82" i="1"/>
  <c r="KS82" i="1"/>
  <c r="KT82" i="1"/>
  <c r="KU82" i="1"/>
  <c r="KV82" i="1"/>
  <c r="KW82" i="1"/>
  <c r="KX82" i="1"/>
  <c r="KY82" i="1"/>
  <c r="KZ82" i="1"/>
  <c r="LA82" i="1"/>
  <c r="LB82" i="1"/>
  <c r="LC82" i="1"/>
  <c r="LD82" i="1"/>
  <c r="LF82" i="1"/>
  <c r="LG82" i="1"/>
  <c r="LH82" i="1"/>
  <c r="LI82" i="1"/>
  <c r="LJ82" i="1"/>
  <c r="LK82" i="1"/>
  <c r="LL82" i="1"/>
  <c r="LM82" i="1"/>
  <c r="LN82" i="1"/>
  <c r="LO82" i="1"/>
  <c r="LP82" i="1"/>
  <c r="LQ82" i="1"/>
  <c r="LR82" i="1"/>
  <c r="LS82" i="1"/>
  <c r="LT82" i="1"/>
  <c r="LU82" i="1"/>
  <c r="LV82" i="1"/>
  <c r="LW82" i="1"/>
  <c r="LX82" i="1"/>
  <c r="LY82" i="1"/>
  <c r="LZ82" i="1"/>
  <c r="MA82" i="1"/>
  <c r="MB82" i="1"/>
  <c r="MC82" i="1"/>
  <c r="MD82" i="1"/>
  <c r="ME82" i="1"/>
  <c r="MF82" i="1"/>
  <c r="MG82" i="1"/>
  <c r="MH82" i="1"/>
  <c r="MI82" i="1"/>
  <c r="MJ82" i="1"/>
  <c r="MK82" i="1"/>
  <c r="ML82" i="1"/>
  <c r="MM82" i="1"/>
  <c r="MN82" i="1"/>
  <c r="MO82" i="1"/>
  <c r="MP82" i="1"/>
  <c r="MQ82" i="1"/>
  <c r="MR82" i="1"/>
  <c r="JU25" i="1"/>
  <c r="JV25" i="1"/>
  <c r="JW25" i="1"/>
  <c r="JX25" i="1"/>
  <c r="JY25" i="1"/>
  <c r="JZ25" i="1"/>
  <c r="KC25" i="1"/>
  <c r="KD25" i="1"/>
  <c r="KE25" i="1"/>
  <c r="KF25" i="1"/>
  <c r="KG25" i="1"/>
  <c r="KH25" i="1"/>
  <c r="KI25" i="1"/>
  <c r="KJ25" i="1"/>
  <c r="KK25" i="1"/>
  <c r="KL25" i="1"/>
  <c r="KM25" i="1"/>
  <c r="KN25" i="1"/>
  <c r="KO25" i="1"/>
  <c r="KP25" i="1"/>
  <c r="KQ25" i="1"/>
  <c r="KR25" i="1"/>
  <c r="KS25" i="1"/>
  <c r="KT25" i="1"/>
  <c r="KU25" i="1"/>
  <c r="KV25" i="1"/>
  <c r="KW25" i="1"/>
  <c r="KX25" i="1"/>
  <c r="KY25" i="1"/>
  <c r="KZ25" i="1"/>
  <c r="LA25" i="1"/>
  <c r="LB25" i="1"/>
  <c r="LC25" i="1"/>
  <c r="LD25" i="1"/>
  <c r="LE25" i="1"/>
  <c r="LF25" i="1"/>
  <c r="LI25" i="1"/>
  <c r="LJ25" i="1"/>
  <c r="LK25" i="1"/>
  <c r="LL25" i="1"/>
  <c r="LM25" i="1"/>
  <c r="LN25" i="1"/>
  <c r="LO25" i="1"/>
  <c r="LP25" i="1"/>
  <c r="LQ25" i="1"/>
  <c r="LR25" i="1"/>
  <c r="LS25" i="1"/>
  <c r="LT25" i="1"/>
  <c r="LU25" i="1"/>
  <c r="LV25" i="1"/>
  <c r="LW25" i="1"/>
  <c r="LX25" i="1"/>
  <c r="LY25" i="1"/>
  <c r="LZ25" i="1"/>
  <c r="MA25" i="1"/>
  <c r="MB25" i="1"/>
  <c r="MC25" i="1"/>
  <c r="MD25" i="1"/>
  <c r="ME25" i="1"/>
  <c r="MF25" i="1"/>
  <c r="MG25" i="1"/>
  <c r="MH25" i="1"/>
  <c r="MI25" i="1"/>
  <c r="MJ25" i="1"/>
  <c r="MK25" i="1"/>
  <c r="ML25" i="1"/>
  <c r="MM25" i="1"/>
  <c r="MN25" i="1"/>
  <c r="MO25" i="1"/>
  <c r="MP25" i="1"/>
  <c r="MQ25" i="1"/>
  <c r="MR25" i="1"/>
  <c r="MT25" i="1"/>
  <c r="MQ3" i="1"/>
  <c r="MR3" i="1"/>
  <c r="JU3" i="1"/>
  <c r="JV3" i="1"/>
  <c r="JW3" i="1"/>
  <c r="JX3" i="1"/>
  <c r="JY3" i="1"/>
  <c r="JZ3" i="1"/>
  <c r="KA3" i="1"/>
  <c r="KB3" i="1"/>
  <c r="KC3" i="1"/>
  <c r="KD3" i="1"/>
  <c r="KE3" i="1"/>
  <c r="KF3" i="1"/>
  <c r="KG3" i="1"/>
  <c r="KH3" i="1"/>
  <c r="KI3" i="1"/>
  <c r="KJ3" i="1"/>
  <c r="KK3" i="1"/>
  <c r="KL3" i="1"/>
  <c r="KM3" i="1"/>
  <c r="KN3" i="1"/>
  <c r="KO3" i="1"/>
  <c r="KP3" i="1"/>
  <c r="KQ3" i="1"/>
  <c r="KR3" i="1"/>
  <c r="KS3" i="1"/>
  <c r="KT3" i="1"/>
  <c r="KU3" i="1"/>
  <c r="KV3" i="1"/>
  <c r="KW3" i="1"/>
  <c r="KX3" i="1"/>
  <c r="KY3" i="1"/>
  <c r="KZ3" i="1"/>
  <c r="LA3" i="1"/>
  <c r="LB3" i="1"/>
  <c r="LC3" i="1"/>
  <c r="LD3" i="1"/>
  <c r="LE3" i="1"/>
  <c r="LF3" i="1"/>
  <c r="LG3" i="1"/>
  <c r="LH3" i="1"/>
  <c r="LI3" i="1"/>
  <c r="LJ3" i="1"/>
  <c r="LK3" i="1"/>
  <c r="LL3" i="1"/>
  <c r="LM3" i="1"/>
  <c r="LN3" i="1"/>
  <c r="LO3" i="1"/>
  <c r="LP3" i="1"/>
  <c r="LQ3" i="1"/>
  <c r="LR3" i="1"/>
  <c r="LS3" i="1"/>
  <c r="LT3" i="1"/>
  <c r="LU3" i="1"/>
  <c r="LV3" i="1"/>
  <c r="LW3" i="1"/>
  <c r="LX3" i="1"/>
  <c r="LY3" i="1"/>
  <c r="LZ3" i="1"/>
  <c r="MA3" i="1"/>
  <c r="MB3" i="1"/>
  <c r="MC3" i="1"/>
  <c r="MD3" i="1"/>
  <c r="ME3" i="1"/>
  <c r="MF3" i="1"/>
  <c r="MG3" i="1"/>
  <c r="MH3" i="1"/>
  <c r="MI3" i="1"/>
  <c r="MJ3" i="1"/>
  <c r="MK3" i="1"/>
  <c r="ML3" i="1"/>
  <c r="MM3" i="1"/>
  <c r="MN3" i="1"/>
  <c r="MO3" i="1"/>
  <c r="MP3" i="1"/>
  <c r="JU4" i="1"/>
  <c r="JV4" i="1"/>
  <c r="JW4" i="1"/>
  <c r="JX4" i="1"/>
  <c r="JY4" i="1"/>
  <c r="JZ4" i="1"/>
  <c r="KA4" i="1"/>
  <c r="KB4" i="1"/>
  <c r="KC4" i="1"/>
  <c r="KD4" i="1"/>
  <c r="KE4" i="1"/>
  <c r="KF4" i="1"/>
  <c r="KG4" i="1"/>
  <c r="KH4" i="1"/>
  <c r="KI4" i="1"/>
  <c r="KJ4" i="1"/>
  <c r="KK4" i="1"/>
  <c r="KL4" i="1"/>
  <c r="KM4" i="1"/>
  <c r="KN4" i="1"/>
  <c r="KO4" i="1"/>
  <c r="KP4" i="1"/>
  <c r="KQ4" i="1"/>
  <c r="KR4" i="1"/>
  <c r="KS4" i="1"/>
  <c r="KT4" i="1"/>
  <c r="KU4" i="1"/>
  <c r="KV4" i="1"/>
  <c r="KW4" i="1"/>
  <c r="KX4" i="1"/>
  <c r="KY4" i="1"/>
  <c r="KZ4" i="1"/>
  <c r="LA4" i="1"/>
  <c r="LB4" i="1"/>
  <c r="LC4" i="1"/>
  <c r="LD4" i="1"/>
  <c r="LE4" i="1"/>
  <c r="LF4" i="1"/>
  <c r="LG4" i="1"/>
  <c r="LH4" i="1"/>
  <c r="LI4" i="1"/>
  <c r="LJ4" i="1"/>
  <c r="LK4" i="1"/>
  <c r="LL4" i="1"/>
  <c r="LM4" i="1"/>
  <c r="LN4" i="1"/>
  <c r="LO4" i="1"/>
  <c r="LP4" i="1"/>
  <c r="LQ4" i="1"/>
  <c r="LR4" i="1"/>
  <c r="LS4" i="1"/>
  <c r="LT4" i="1"/>
  <c r="LU4" i="1"/>
  <c r="LV4" i="1"/>
  <c r="LW4" i="1"/>
  <c r="LX4" i="1"/>
  <c r="LY4" i="1"/>
  <c r="LZ4" i="1"/>
  <c r="MA4" i="1"/>
  <c r="MB4" i="1"/>
  <c r="MC4" i="1"/>
  <c r="MD4" i="1"/>
  <c r="ME4" i="1"/>
  <c r="MF4" i="1"/>
  <c r="MG4" i="1"/>
  <c r="MH4" i="1"/>
  <c r="MI4" i="1"/>
  <c r="MJ4" i="1"/>
  <c r="MK4" i="1"/>
  <c r="ML4" i="1"/>
  <c r="MM4" i="1"/>
  <c r="MN4" i="1"/>
  <c r="MO4" i="1"/>
  <c r="MP4" i="1"/>
  <c r="MQ4" i="1"/>
  <c r="MR4" i="1"/>
  <c r="JU5" i="1"/>
  <c r="JV5" i="1"/>
  <c r="JW5" i="1"/>
  <c r="JX5" i="1"/>
  <c r="JY5" i="1"/>
  <c r="JZ5" i="1"/>
  <c r="KA5" i="1"/>
  <c r="KB5" i="1"/>
  <c r="KC5" i="1"/>
  <c r="KD5" i="1"/>
  <c r="KE5" i="1"/>
  <c r="KF5" i="1"/>
  <c r="KG5" i="1"/>
  <c r="KH5" i="1"/>
  <c r="KI5" i="1"/>
  <c r="KJ5" i="1"/>
  <c r="KK5" i="1"/>
  <c r="KL5" i="1"/>
  <c r="KM5" i="1"/>
  <c r="KN5" i="1"/>
  <c r="KO5" i="1"/>
  <c r="KP5" i="1"/>
  <c r="KQ5" i="1"/>
  <c r="KR5" i="1"/>
  <c r="KS5" i="1"/>
  <c r="KT5" i="1"/>
  <c r="KU5" i="1"/>
  <c r="KV5" i="1"/>
  <c r="KW5" i="1"/>
  <c r="KX5" i="1"/>
  <c r="KY5" i="1"/>
  <c r="KZ5" i="1"/>
  <c r="LA5" i="1"/>
  <c r="LB5" i="1"/>
  <c r="LC5" i="1"/>
  <c r="LD5" i="1"/>
  <c r="LE5" i="1"/>
  <c r="LF5" i="1"/>
  <c r="LG5" i="1"/>
  <c r="LH5" i="1"/>
  <c r="LI5" i="1"/>
  <c r="LJ5" i="1"/>
  <c r="LK5" i="1"/>
  <c r="LL5" i="1"/>
  <c r="LM5" i="1"/>
  <c r="LN5" i="1"/>
  <c r="LO5" i="1"/>
  <c r="LP5" i="1"/>
  <c r="LQ5" i="1"/>
  <c r="LR5" i="1"/>
  <c r="LS5" i="1"/>
  <c r="LT5" i="1"/>
  <c r="LU5" i="1"/>
  <c r="LV5" i="1"/>
  <c r="LW5" i="1"/>
  <c r="LX5" i="1"/>
  <c r="LY5" i="1"/>
  <c r="LZ5" i="1"/>
  <c r="MA5" i="1"/>
  <c r="MB5" i="1"/>
  <c r="MC5" i="1"/>
  <c r="MD5" i="1"/>
  <c r="ME5" i="1"/>
  <c r="MF5" i="1"/>
  <c r="MG5" i="1"/>
  <c r="MH5" i="1"/>
  <c r="MI5" i="1"/>
  <c r="MJ5" i="1"/>
  <c r="MK5" i="1"/>
  <c r="ML5" i="1"/>
  <c r="MM5" i="1"/>
  <c r="MN5" i="1"/>
  <c r="MO5" i="1"/>
  <c r="MP5" i="1"/>
  <c r="MQ5" i="1"/>
  <c r="MR5" i="1"/>
  <c r="JU6" i="1"/>
  <c r="JV6" i="1"/>
  <c r="JW6" i="1"/>
  <c r="JX6" i="1"/>
  <c r="JY6" i="1"/>
  <c r="JZ6" i="1"/>
  <c r="KA6" i="1"/>
  <c r="KB6" i="1"/>
  <c r="KC6" i="1"/>
  <c r="KD6" i="1"/>
  <c r="KE6" i="1"/>
  <c r="KF6" i="1"/>
  <c r="KG6" i="1"/>
  <c r="KH6" i="1"/>
  <c r="KI6" i="1"/>
  <c r="KJ6" i="1"/>
  <c r="KK6" i="1"/>
  <c r="KL6" i="1"/>
  <c r="KM6" i="1"/>
  <c r="KN6" i="1"/>
  <c r="KO6" i="1"/>
  <c r="KP6" i="1"/>
  <c r="KQ6" i="1"/>
  <c r="KR6" i="1"/>
  <c r="KS6" i="1"/>
  <c r="KT6" i="1"/>
  <c r="KU6" i="1"/>
  <c r="KV6" i="1"/>
  <c r="KW6" i="1"/>
  <c r="KX6" i="1"/>
  <c r="KY6" i="1"/>
  <c r="KZ6" i="1"/>
  <c r="LA6" i="1"/>
  <c r="LB6" i="1"/>
  <c r="LC6" i="1"/>
  <c r="LD6" i="1"/>
  <c r="LE6" i="1"/>
  <c r="LF6" i="1"/>
  <c r="LG6" i="1"/>
  <c r="LH6" i="1"/>
  <c r="LI6" i="1"/>
  <c r="LJ6" i="1"/>
  <c r="LK6" i="1"/>
  <c r="LL6" i="1"/>
  <c r="LM6" i="1"/>
  <c r="LN6" i="1"/>
  <c r="LO6" i="1"/>
  <c r="LP6" i="1"/>
  <c r="LQ6" i="1"/>
  <c r="LR6" i="1"/>
  <c r="LS6" i="1"/>
  <c r="LT6" i="1"/>
  <c r="LU6" i="1"/>
  <c r="LV6" i="1"/>
  <c r="LW6" i="1"/>
  <c r="LX6" i="1"/>
  <c r="LY6" i="1"/>
  <c r="LZ6" i="1"/>
  <c r="MA6" i="1"/>
  <c r="MB6" i="1"/>
  <c r="MC6" i="1"/>
  <c r="MD6" i="1"/>
  <c r="ME6" i="1"/>
  <c r="MF6" i="1"/>
  <c r="MG6" i="1"/>
  <c r="MH6" i="1"/>
  <c r="MI6" i="1"/>
  <c r="MJ6" i="1"/>
  <c r="MK6" i="1"/>
  <c r="ML6" i="1"/>
  <c r="MM6" i="1"/>
  <c r="MN6" i="1"/>
  <c r="MO6" i="1"/>
  <c r="MP6" i="1"/>
  <c r="MQ6" i="1"/>
  <c r="MR6" i="1"/>
  <c r="JU7" i="1"/>
  <c r="JV7" i="1"/>
  <c r="JW7" i="1"/>
  <c r="JX7" i="1"/>
  <c r="JY7" i="1"/>
  <c r="JZ7" i="1"/>
  <c r="KA7" i="1"/>
  <c r="KB7" i="1"/>
  <c r="KC7" i="1"/>
  <c r="KD7" i="1"/>
  <c r="KE7" i="1"/>
  <c r="KF7" i="1"/>
  <c r="KG7" i="1"/>
  <c r="KH7" i="1"/>
  <c r="KI7" i="1"/>
  <c r="KJ7" i="1"/>
  <c r="KK7" i="1"/>
  <c r="KL7" i="1"/>
  <c r="KM7" i="1"/>
  <c r="KN7" i="1"/>
  <c r="KO7" i="1"/>
  <c r="KP7" i="1"/>
  <c r="KQ7" i="1"/>
  <c r="KR7" i="1"/>
  <c r="KS7" i="1"/>
  <c r="KT7" i="1"/>
  <c r="KU7" i="1"/>
  <c r="KV7" i="1"/>
  <c r="KW7" i="1"/>
  <c r="KX7" i="1"/>
  <c r="KY7" i="1"/>
  <c r="KZ7" i="1"/>
  <c r="LA7" i="1"/>
  <c r="LB7" i="1"/>
  <c r="LC7" i="1"/>
  <c r="LD7" i="1"/>
  <c r="LE7" i="1"/>
  <c r="LF7" i="1"/>
  <c r="LG7" i="1"/>
  <c r="LH7" i="1"/>
  <c r="LI7" i="1"/>
  <c r="LJ7" i="1"/>
  <c r="LK7" i="1"/>
  <c r="LL7" i="1"/>
  <c r="LM7" i="1"/>
  <c r="LN7" i="1"/>
  <c r="LO7" i="1"/>
  <c r="LP7" i="1"/>
  <c r="LQ7" i="1"/>
  <c r="LR7" i="1"/>
  <c r="LS7" i="1"/>
  <c r="LT7" i="1"/>
  <c r="LU7" i="1"/>
  <c r="LV7" i="1"/>
  <c r="LW7" i="1"/>
  <c r="LX7" i="1"/>
  <c r="LY7" i="1"/>
  <c r="LZ7" i="1"/>
  <c r="MA7" i="1"/>
  <c r="MB7" i="1"/>
  <c r="MC7" i="1"/>
  <c r="MD7" i="1"/>
  <c r="ME7" i="1"/>
  <c r="MF7" i="1"/>
  <c r="MG7" i="1"/>
  <c r="MH7" i="1"/>
  <c r="MI7" i="1"/>
  <c r="MJ7" i="1"/>
  <c r="MK7" i="1"/>
  <c r="ML7" i="1"/>
  <c r="MM7" i="1"/>
  <c r="MN7" i="1"/>
  <c r="MO7" i="1"/>
  <c r="MP7" i="1"/>
  <c r="MQ7" i="1"/>
  <c r="MR7" i="1"/>
  <c r="JU8" i="1"/>
  <c r="JV8" i="1"/>
  <c r="JW8" i="1"/>
  <c r="JX8" i="1"/>
  <c r="JY8" i="1"/>
  <c r="JZ8" i="1"/>
  <c r="KA8" i="1"/>
  <c r="KB8" i="1"/>
  <c r="KC8" i="1"/>
  <c r="KD8" i="1"/>
  <c r="KE8" i="1"/>
  <c r="KF8" i="1"/>
  <c r="KG8" i="1"/>
  <c r="KH8" i="1"/>
  <c r="KI8" i="1"/>
  <c r="KJ8" i="1"/>
  <c r="KK8" i="1"/>
  <c r="KL8" i="1"/>
  <c r="KM8" i="1"/>
  <c r="KN8" i="1"/>
  <c r="KO8" i="1"/>
  <c r="KP8" i="1"/>
  <c r="KQ8" i="1"/>
  <c r="KR8" i="1"/>
  <c r="KS8" i="1"/>
  <c r="KT8" i="1"/>
  <c r="KU8" i="1"/>
  <c r="KV8" i="1"/>
  <c r="KW8" i="1"/>
  <c r="KX8" i="1"/>
  <c r="KY8" i="1"/>
  <c r="KZ8" i="1"/>
  <c r="LA8" i="1"/>
  <c r="LB8" i="1"/>
  <c r="LC8" i="1"/>
  <c r="LD8" i="1"/>
  <c r="LE8" i="1"/>
  <c r="LF8" i="1"/>
  <c r="LG8" i="1"/>
  <c r="LH8" i="1"/>
  <c r="LI8" i="1"/>
  <c r="LJ8" i="1"/>
  <c r="LK8" i="1"/>
  <c r="LL8" i="1"/>
  <c r="LM8" i="1"/>
  <c r="LN8" i="1"/>
  <c r="LO8" i="1"/>
  <c r="LP8" i="1"/>
  <c r="LQ8" i="1"/>
  <c r="LR8" i="1"/>
  <c r="LS8" i="1"/>
  <c r="LT8" i="1"/>
  <c r="LU8" i="1"/>
  <c r="LV8" i="1"/>
  <c r="LW8" i="1"/>
  <c r="LX8" i="1"/>
  <c r="LY8" i="1"/>
  <c r="LZ8" i="1"/>
  <c r="MA8" i="1"/>
  <c r="MB8" i="1"/>
  <c r="MC8" i="1"/>
  <c r="MD8" i="1"/>
  <c r="ME8" i="1"/>
  <c r="MF8" i="1"/>
  <c r="MG8" i="1"/>
  <c r="MH8" i="1"/>
  <c r="MI8" i="1"/>
  <c r="MJ8" i="1"/>
  <c r="MK8" i="1"/>
  <c r="ML8" i="1"/>
  <c r="MM8" i="1"/>
  <c r="MN8" i="1"/>
  <c r="MO8" i="1"/>
  <c r="MP8" i="1"/>
  <c r="MQ8" i="1"/>
  <c r="MR8" i="1"/>
  <c r="JU9" i="1"/>
  <c r="JV9" i="1"/>
  <c r="JW9" i="1"/>
  <c r="JX9" i="1"/>
  <c r="JY9" i="1"/>
  <c r="JZ9" i="1"/>
  <c r="KA9" i="1"/>
  <c r="KB9" i="1"/>
  <c r="KC9" i="1"/>
  <c r="KD9" i="1"/>
  <c r="KE9" i="1"/>
  <c r="KF9" i="1"/>
  <c r="KG9" i="1"/>
  <c r="KH9" i="1"/>
  <c r="KI9" i="1"/>
  <c r="KJ9" i="1"/>
  <c r="KK9" i="1"/>
  <c r="KL9" i="1"/>
  <c r="KM9" i="1"/>
  <c r="KN9" i="1"/>
  <c r="KO9" i="1"/>
  <c r="KP9" i="1"/>
  <c r="KQ9" i="1"/>
  <c r="KR9" i="1"/>
  <c r="KS9" i="1"/>
  <c r="KT9" i="1"/>
  <c r="KU9" i="1"/>
  <c r="KV9" i="1"/>
  <c r="KW9" i="1"/>
  <c r="KX9" i="1"/>
  <c r="KY9" i="1"/>
  <c r="KZ9" i="1"/>
  <c r="LA9" i="1"/>
  <c r="LB9" i="1"/>
  <c r="LC9" i="1"/>
  <c r="LD9" i="1"/>
  <c r="LE9" i="1"/>
  <c r="LF9" i="1"/>
  <c r="LG9" i="1"/>
  <c r="LH9" i="1"/>
  <c r="LI9" i="1"/>
  <c r="LJ9" i="1"/>
  <c r="LK9" i="1"/>
  <c r="LL9" i="1"/>
  <c r="LM9" i="1"/>
  <c r="LN9" i="1"/>
  <c r="LO9" i="1"/>
  <c r="LP9" i="1"/>
  <c r="LQ9" i="1"/>
  <c r="LR9" i="1"/>
  <c r="LS9" i="1"/>
  <c r="LT9" i="1"/>
  <c r="LU9" i="1"/>
  <c r="LV9" i="1"/>
  <c r="LW9" i="1"/>
  <c r="LX9" i="1"/>
  <c r="LY9" i="1"/>
  <c r="LZ9" i="1"/>
  <c r="MA9" i="1"/>
  <c r="MB9" i="1"/>
  <c r="MC9" i="1"/>
  <c r="MD9" i="1"/>
  <c r="ME9" i="1"/>
  <c r="MF9" i="1"/>
  <c r="MG9" i="1"/>
  <c r="MH9" i="1"/>
  <c r="MI9" i="1"/>
  <c r="MJ9" i="1"/>
  <c r="MK9" i="1"/>
  <c r="ML9" i="1"/>
  <c r="MM9" i="1"/>
  <c r="MN9" i="1"/>
  <c r="MO9" i="1"/>
  <c r="MP9" i="1"/>
  <c r="MQ9" i="1"/>
  <c r="MR9" i="1"/>
  <c r="JU10" i="1"/>
  <c r="JV10" i="1"/>
  <c r="JW10" i="1"/>
  <c r="JX10" i="1"/>
  <c r="JY10" i="1"/>
  <c r="JZ10" i="1"/>
  <c r="KA10" i="1"/>
  <c r="KB10" i="1"/>
  <c r="KC10" i="1"/>
  <c r="KD10" i="1"/>
  <c r="KE10" i="1"/>
  <c r="KF10" i="1"/>
  <c r="KG10" i="1"/>
  <c r="KH10" i="1"/>
  <c r="KI10" i="1"/>
  <c r="KJ10" i="1"/>
  <c r="KK10" i="1"/>
  <c r="KL10" i="1"/>
  <c r="KM10" i="1"/>
  <c r="KN10" i="1"/>
  <c r="KO10" i="1"/>
  <c r="KP10" i="1"/>
  <c r="KQ10" i="1"/>
  <c r="KR10" i="1"/>
  <c r="KS10" i="1"/>
  <c r="KT10" i="1"/>
  <c r="KU10" i="1"/>
  <c r="KV10" i="1"/>
  <c r="KW10" i="1"/>
  <c r="KX10" i="1"/>
  <c r="KY10" i="1"/>
  <c r="KZ10" i="1"/>
  <c r="LA10" i="1"/>
  <c r="LB10" i="1"/>
  <c r="LC10" i="1"/>
  <c r="LD10" i="1"/>
  <c r="LE10" i="1"/>
  <c r="LF10" i="1"/>
  <c r="LG10" i="1"/>
  <c r="LH10" i="1"/>
  <c r="LI10" i="1"/>
  <c r="LJ10" i="1"/>
  <c r="LK10" i="1"/>
  <c r="LL10" i="1"/>
  <c r="LM10" i="1"/>
  <c r="LN10" i="1"/>
  <c r="LO10" i="1"/>
  <c r="LP10" i="1"/>
  <c r="LQ10" i="1"/>
  <c r="LR10" i="1"/>
  <c r="LS10" i="1"/>
  <c r="LT10" i="1"/>
  <c r="LU10" i="1"/>
  <c r="LV10" i="1"/>
  <c r="LW10" i="1"/>
  <c r="LX10" i="1"/>
  <c r="LY10" i="1"/>
  <c r="LZ10" i="1"/>
  <c r="MA10" i="1"/>
  <c r="MB10" i="1"/>
  <c r="MC10" i="1"/>
  <c r="MD10" i="1"/>
  <c r="ME10" i="1"/>
  <c r="MF10" i="1"/>
  <c r="MG10" i="1"/>
  <c r="MH10" i="1"/>
  <c r="MI10" i="1"/>
  <c r="MJ10" i="1"/>
  <c r="MK10" i="1"/>
  <c r="ML10" i="1"/>
  <c r="MM10" i="1"/>
  <c r="MN10" i="1"/>
  <c r="MO10" i="1"/>
  <c r="MP10" i="1"/>
  <c r="MQ10" i="1"/>
  <c r="MR10" i="1"/>
  <c r="JU11" i="1"/>
  <c r="JV11" i="1"/>
  <c r="JW11" i="1"/>
  <c r="JX11" i="1"/>
  <c r="JY11" i="1"/>
  <c r="JZ11" i="1"/>
  <c r="KA11" i="1"/>
  <c r="KB11" i="1"/>
  <c r="KC11" i="1"/>
  <c r="KD11" i="1"/>
  <c r="KE11" i="1"/>
  <c r="KF11" i="1"/>
  <c r="KG11" i="1"/>
  <c r="KH11" i="1"/>
  <c r="KI11" i="1"/>
  <c r="KJ11" i="1"/>
  <c r="KK11" i="1"/>
  <c r="KL11" i="1"/>
  <c r="KM11" i="1"/>
  <c r="KN11" i="1"/>
  <c r="KO11" i="1"/>
  <c r="KP11" i="1"/>
  <c r="KQ11" i="1"/>
  <c r="KR11" i="1"/>
  <c r="KS11" i="1"/>
  <c r="KT11" i="1"/>
  <c r="KU11" i="1"/>
  <c r="KV11" i="1"/>
  <c r="KW11" i="1"/>
  <c r="KX11" i="1"/>
  <c r="KY11" i="1"/>
  <c r="KZ11" i="1"/>
  <c r="LA11" i="1"/>
  <c r="LB11" i="1"/>
  <c r="LC11" i="1"/>
  <c r="LD11" i="1"/>
  <c r="LE11" i="1"/>
  <c r="LF11" i="1"/>
  <c r="LG11" i="1"/>
  <c r="LH11" i="1"/>
  <c r="LI11" i="1"/>
  <c r="LJ11" i="1"/>
  <c r="LK11" i="1"/>
  <c r="LL11" i="1"/>
  <c r="LM11" i="1"/>
  <c r="LN11" i="1"/>
  <c r="LO11" i="1"/>
  <c r="LP11" i="1"/>
  <c r="LQ11" i="1"/>
  <c r="LR11" i="1"/>
  <c r="LS11" i="1"/>
  <c r="LT11" i="1"/>
  <c r="LU11" i="1"/>
  <c r="LV11" i="1"/>
  <c r="LW11" i="1"/>
  <c r="LX11" i="1"/>
  <c r="LY11" i="1"/>
  <c r="LZ11" i="1"/>
  <c r="MA11" i="1"/>
  <c r="MB11" i="1"/>
  <c r="MC11" i="1"/>
  <c r="MD11" i="1"/>
  <c r="ME11" i="1"/>
  <c r="MF11" i="1"/>
  <c r="MG11" i="1"/>
  <c r="MH11" i="1"/>
  <c r="MI11" i="1"/>
  <c r="MJ11" i="1"/>
  <c r="MK11" i="1"/>
  <c r="ML11" i="1"/>
  <c r="MM11" i="1"/>
  <c r="MN11" i="1"/>
  <c r="MO11" i="1"/>
  <c r="MP11" i="1"/>
  <c r="MQ11" i="1"/>
  <c r="MR11" i="1"/>
  <c r="JU12" i="1"/>
  <c r="JV12" i="1"/>
  <c r="JW12" i="1"/>
  <c r="JX12" i="1"/>
  <c r="JY12" i="1"/>
  <c r="JZ12" i="1"/>
  <c r="KA12" i="1"/>
  <c r="KB12" i="1"/>
  <c r="KC12" i="1"/>
  <c r="KD12" i="1"/>
  <c r="KE12" i="1"/>
  <c r="KF12" i="1"/>
  <c r="KG12" i="1"/>
  <c r="KH12" i="1"/>
  <c r="KI12" i="1"/>
  <c r="KJ12" i="1"/>
  <c r="KK12" i="1"/>
  <c r="KL12" i="1"/>
  <c r="KM12" i="1"/>
  <c r="KN12" i="1"/>
  <c r="KO12" i="1"/>
  <c r="KP12" i="1"/>
  <c r="KQ12" i="1"/>
  <c r="KR12" i="1"/>
  <c r="KS12" i="1"/>
  <c r="KT12" i="1"/>
  <c r="KU12" i="1"/>
  <c r="KV12" i="1"/>
  <c r="KW12" i="1"/>
  <c r="KX12" i="1"/>
  <c r="KY12" i="1"/>
  <c r="KZ12" i="1"/>
  <c r="LA12" i="1"/>
  <c r="LB12" i="1"/>
  <c r="LC12" i="1"/>
  <c r="LD12" i="1"/>
  <c r="LE12" i="1"/>
  <c r="LF12" i="1"/>
  <c r="LG12" i="1"/>
  <c r="LH12" i="1"/>
  <c r="LI12" i="1"/>
  <c r="LJ12" i="1"/>
  <c r="LK12" i="1"/>
  <c r="LL12" i="1"/>
  <c r="LM12" i="1"/>
  <c r="LN12" i="1"/>
  <c r="LO12" i="1"/>
  <c r="LP12" i="1"/>
  <c r="LQ12" i="1"/>
  <c r="LR12" i="1"/>
  <c r="LS12" i="1"/>
  <c r="LT12" i="1"/>
  <c r="LU12" i="1"/>
  <c r="LV12" i="1"/>
  <c r="LW12" i="1"/>
  <c r="LX12" i="1"/>
  <c r="LY12" i="1"/>
  <c r="LZ12" i="1"/>
  <c r="MA12" i="1"/>
  <c r="MB12" i="1"/>
  <c r="MC12" i="1"/>
  <c r="MD12" i="1"/>
  <c r="ME12" i="1"/>
  <c r="MF12" i="1"/>
  <c r="MG12" i="1"/>
  <c r="MH12" i="1"/>
  <c r="MI12" i="1"/>
  <c r="MJ12" i="1"/>
  <c r="MK12" i="1"/>
  <c r="ML12" i="1"/>
  <c r="MM12" i="1"/>
  <c r="MN12" i="1"/>
  <c r="MO12" i="1"/>
  <c r="MP12" i="1"/>
  <c r="MQ12" i="1"/>
  <c r="MR12" i="1"/>
  <c r="JU14" i="1"/>
  <c r="JV14" i="1"/>
  <c r="JW14" i="1"/>
  <c r="JX14" i="1"/>
  <c r="JY14" i="1"/>
  <c r="JZ14" i="1"/>
  <c r="KA14" i="1"/>
  <c r="KB14" i="1"/>
  <c r="KC14" i="1"/>
  <c r="KD14" i="1"/>
  <c r="KE14" i="1"/>
  <c r="KF14" i="1"/>
  <c r="KG14" i="1"/>
  <c r="KH14" i="1"/>
  <c r="KI14" i="1"/>
  <c r="KJ14" i="1"/>
  <c r="KK14" i="1"/>
  <c r="KL14" i="1"/>
  <c r="KM14" i="1"/>
  <c r="KN14" i="1"/>
  <c r="KO14" i="1"/>
  <c r="KP14" i="1"/>
  <c r="KQ14" i="1"/>
  <c r="KR14" i="1"/>
  <c r="KS14" i="1"/>
  <c r="KT14" i="1"/>
  <c r="KU14" i="1"/>
  <c r="KV14" i="1"/>
  <c r="KW14" i="1"/>
  <c r="KX14" i="1"/>
  <c r="KY14" i="1"/>
  <c r="KZ14" i="1"/>
  <c r="LA14" i="1"/>
  <c r="LB14" i="1"/>
  <c r="LC14" i="1"/>
  <c r="LD14" i="1"/>
  <c r="LE14" i="1"/>
  <c r="LF14" i="1"/>
  <c r="LG14" i="1"/>
  <c r="LH14" i="1"/>
  <c r="LI14" i="1"/>
  <c r="LJ14" i="1"/>
  <c r="LK14" i="1"/>
  <c r="LL14" i="1"/>
  <c r="LM14" i="1"/>
  <c r="LN14" i="1"/>
  <c r="LO14" i="1"/>
  <c r="LP14" i="1"/>
  <c r="LQ14" i="1"/>
  <c r="LR14" i="1"/>
  <c r="LS14" i="1"/>
  <c r="LT14" i="1"/>
  <c r="LU14" i="1"/>
  <c r="LV14" i="1"/>
  <c r="LW14" i="1"/>
  <c r="LX14" i="1"/>
  <c r="LY14" i="1"/>
  <c r="LZ14" i="1"/>
  <c r="MA14" i="1"/>
  <c r="MB14" i="1"/>
  <c r="MC14" i="1"/>
  <c r="MD14" i="1"/>
  <c r="ME14" i="1"/>
  <c r="MF14" i="1"/>
  <c r="MG14" i="1"/>
  <c r="MH14" i="1"/>
  <c r="MI14" i="1"/>
  <c r="MJ14" i="1"/>
  <c r="MK14" i="1"/>
  <c r="ML14" i="1"/>
  <c r="MM14" i="1"/>
  <c r="MN14" i="1"/>
  <c r="MO14" i="1"/>
  <c r="MP14" i="1"/>
  <c r="MQ14" i="1"/>
  <c r="MR14" i="1"/>
  <c r="JU15" i="1"/>
  <c r="JV15" i="1"/>
  <c r="JW15" i="1"/>
  <c r="JX15" i="1"/>
  <c r="JY15" i="1"/>
  <c r="JZ15" i="1"/>
  <c r="KA15" i="1"/>
  <c r="KB15" i="1"/>
  <c r="KC15" i="1"/>
  <c r="KD15" i="1"/>
  <c r="KE15" i="1"/>
  <c r="KF15" i="1"/>
  <c r="KG15" i="1"/>
  <c r="KH15" i="1"/>
  <c r="KI15" i="1"/>
  <c r="KJ15" i="1"/>
  <c r="KK15" i="1"/>
  <c r="KL15" i="1"/>
  <c r="KM15" i="1"/>
  <c r="KN15" i="1"/>
  <c r="KO15" i="1"/>
  <c r="KP15" i="1"/>
  <c r="KQ15" i="1"/>
  <c r="KR15" i="1"/>
  <c r="KS15" i="1"/>
  <c r="KT15" i="1"/>
  <c r="KU15" i="1"/>
  <c r="KV15" i="1"/>
  <c r="KW15" i="1"/>
  <c r="KX15" i="1"/>
  <c r="KY15" i="1"/>
  <c r="KZ15" i="1"/>
  <c r="LA15" i="1"/>
  <c r="LB15" i="1"/>
  <c r="LC15" i="1"/>
  <c r="LD15" i="1"/>
  <c r="LE15" i="1"/>
  <c r="LF15" i="1"/>
  <c r="LG15" i="1"/>
  <c r="LH15" i="1"/>
  <c r="LI15" i="1"/>
  <c r="LJ15" i="1"/>
  <c r="LK15" i="1"/>
  <c r="LL15" i="1"/>
  <c r="LM15" i="1"/>
  <c r="LN15" i="1"/>
  <c r="LO15" i="1"/>
  <c r="LP15" i="1"/>
  <c r="LQ15" i="1"/>
  <c r="LR15" i="1"/>
  <c r="LS15" i="1"/>
  <c r="LT15" i="1"/>
  <c r="LU15" i="1"/>
  <c r="LV15" i="1"/>
  <c r="LW15" i="1"/>
  <c r="LX15" i="1"/>
  <c r="LY15" i="1"/>
  <c r="LZ15" i="1"/>
  <c r="MA15" i="1"/>
  <c r="MB15" i="1"/>
  <c r="MC15" i="1"/>
  <c r="MD15" i="1"/>
  <c r="ME15" i="1"/>
  <c r="MF15" i="1"/>
  <c r="MG15" i="1"/>
  <c r="MH15" i="1"/>
  <c r="MI15" i="1"/>
  <c r="MJ15" i="1"/>
  <c r="MK15" i="1"/>
  <c r="ML15" i="1"/>
  <c r="MM15" i="1"/>
  <c r="MN15" i="1"/>
  <c r="MO15" i="1"/>
  <c r="MP15" i="1"/>
  <c r="MQ15" i="1"/>
  <c r="MR15" i="1"/>
  <c r="JU16" i="1"/>
  <c r="JV16" i="1"/>
  <c r="JW16" i="1"/>
  <c r="JX16" i="1"/>
  <c r="JY16" i="1"/>
  <c r="JZ16" i="1"/>
  <c r="KA16" i="1"/>
  <c r="KB16" i="1"/>
  <c r="KC16" i="1"/>
  <c r="KD16" i="1"/>
  <c r="KE16" i="1"/>
  <c r="KF16" i="1"/>
  <c r="KG16" i="1"/>
  <c r="KH16" i="1"/>
  <c r="KI16" i="1"/>
  <c r="KJ16" i="1"/>
  <c r="KK16" i="1"/>
  <c r="KL16" i="1"/>
  <c r="KM16" i="1"/>
  <c r="KN16" i="1"/>
  <c r="KO16" i="1"/>
  <c r="KP16" i="1"/>
  <c r="KQ16" i="1"/>
  <c r="KR16" i="1"/>
  <c r="KS16" i="1"/>
  <c r="KT16" i="1"/>
  <c r="KU16" i="1"/>
  <c r="KV16" i="1"/>
  <c r="KW16" i="1"/>
  <c r="KX16" i="1"/>
  <c r="KY16" i="1"/>
  <c r="KZ16" i="1"/>
  <c r="LA16" i="1"/>
  <c r="LB16" i="1"/>
  <c r="LC16" i="1"/>
  <c r="LD16" i="1"/>
  <c r="LE16" i="1"/>
  <c r="LF16" i="1"/>
  <c r="LG16" i="1"/>
  <c r="LH16" i="1"/>
  <c r="LI16" i="1"/>
  <c r="LJ16" i="1"/>
  <c r="LK16" i="1"/>
  <c r="LL16" i="1"/>
  <c r="LM16" i="1"/>
  <c r="LN16" i="1"/>
  <c r="LO16" i="1"/>
  <c r="LP16" i="1"/>
  <c r="LQ16" i="1"/>
  <c r="LR16" i="1"/>
  <c r="LS16" i="1"/>
  <c r="LT16" i="1"/>
  <c r="LU16" i="1"/>
  <c r="LV16" i="1"/>
  <c r="LW16" i="1"/>
  <c r="LX16" i="1"/>
  <c r="LY16" i="1"/>
  <c r="LZ16" i="1"/>
  <c r="MA16" i="1"/>
  <c r="MB16" i="1"/>
  <c r="MC16" i="1"/>
  <c r="MD16" i="1"/>
  <c r="ME16" i="1"/>
  <c r="MF16" i="1"/>
  <c r="MG16" i="1"/>
  <c r="MH16" i="1"/>
  <c r="MI16" i="1"/>
  <c r="MJ16" i="1"/>
  <c r="MK16" i="1"/>
  <c r="ML16" i="1"/>
  <c r="MM16" i="1"/>
  <c r="MN16" i="1"/>
  <c r="MO16" i="1"/>
  <c r="MP16" i="1"/>
  <c r="MQ16" i="1"/>
  <c r="MR16" i="1"/>
  <c r="JU17" i="1"/>
  <c r="JV17" i="1"/>
  <c r="JW17" i="1"/>
  <c r="JX17" i="1"/>
  <c r="JY17" i="1"/>
  <c r="JZ17" i="1"/>
  <c r="KA17" i="1"/>
  <c r="KB17" i="1"/>
  <c r="KC17" i="1"/>
  <c r="KD17" i="1"/>
  <c r="KE17" i="1"/>
  <c r="KF17" i="1"/>
  <c r="KG17" i="1"/>
  <c r="KH17" i="1"/>
  <c r="KI17" i="1"/>
  <c r="KJ17" i="1"/>
  <c r="KK17" i="1"/>
  <c r="KL17" i="1"/>
  <c r="KM17" i="1"/>
  <c r="KN17" i="1"/>
  <c r="KO17" i="1"/>
  <c r="KP17" i="1"/>
  <c r="KQ17" i="1"/>
  <c r="KR17" i="1"/>
  <c r="KS17" i="1"/>
  <c r="KT17" i="1"/>
  <c r="KU17" i="1"/>
  <c r="KV17" i="1"/>
  <c r="KW17" i="1"/>
  <c r="KX17" i="1"/>
  <c r="KY17" i="1"/>
  <c r="KZ17" i="1"/>
  <c r="LA17" i="1"/>
  <c r="LB17" i="1"/>
  <c r="LC17" i="1"/>
  <c r="LD17" i="1"/>
  <c r="LE17" i="1"/>
  <c r="LF17" i="1"/>
  <c r="LG17" i="1"/>
  <c r="LH17" i="1"/>
  <c r="LI17" i="1"/>
  <c r="LJ17" i="1"/>
  <c r="LK17" i="1"/>
  <c r="LL17" i="1"/>
  <c r="LM17" i="1"/>
  <c r="LN17" i="1"/>
  <c r="LO17" i="1"/>
  <c r="LP17" i="1"/>
  <c r="LQ17" i="1"/>
  <c r="LR17" i="1"/>
  <c r="LS17" i="1"/>
  <c r="LT17" i="1"/>
  <c r="LU17" i="1"/>
  <c r="LV17" i="1"/>
  <c r="LW17" i="1"/>
  <c r="LX17" i="1"/>
  <c r="LY17" i="1"/>
  <c r="LZ17" i="1"/>
  <c r="MA17" i="1"/>
  <c r="MB17" i="1"/>
  <c r="MC17" i="1"/>
  <c r="MD17" i="1"/>
  <c r="ME17" i="1"/>
  <c r="MF17" i="1"/>
  <c r="MG17" i="1"/>
  <c r="MH17" i="1"/>
  <c r="MI17" i="1"/>
  <c r="MJ17" i="1"/>
  <c r="MK17" i="1"/>
  <c r="ML17" i="1"/>
  <c r="MM17" i="1"/>
  <c r="MN17" i="1"/>
  <c r="MO17" i="1"/>
  <c r="MP17" i="1"/>
  <c r="MQ17" i="1"/>
  <c r="MR17" i="1"/>
  <c r="JU18" i="1"/>
  <c r="JV18" i="1"/>
  <c r="JW18" i="1"/>
  <c r="JX18" i="1"/>
  <c r="JY18" i="1"/>
  <c r="JZ18" i="1"/>
  <c r="KA18" i="1"/>
  <c r="KB18" i="1"/>
  <c r="KC18" i="1"/>
  <c r="KD18" i="1"/>
  <c r="KE18" i="1"/>
  <c r="KF18" i="1"/>
  <c r="KG18" i="1"/>
  <c r="KH18" i="1"/>
  <c r="KI18" i="1"/>
  <c r="KJ18" i="1"/>
  <c r="KK18" i="1"/>
  <c r="KL18" i="1"/>
  <c r="KM18" i="1"/>
  <c r="KN18" i="1"/>
  <c r="KO18" i="1"/>
  <c r="KP18" i="1"/>
  <c r="KQ18" i="1"/>
  <c r="KR18" i="1"/>
  <c r="KS18" i="1"/>
  <c r="KT18" i="1"/>
  <c r="KU18" i="1"/>
  <c r="KV18" i="1"/>
  <c r="KW18" i="1"/>
  <c r="KX18" i="1"/>
  <c r="KY18" i="1"/>
  <c r="KZ18" i="1"/>
  <c r="LA18" i="1"/>
  <c r="LB18" i="1"/>
  <c r="LC18" i="1"/>
  <c r="LD18" i="1"/>
  <c r="LE18" i="1"/>
  <c r="LF18" i="1"/>
  <c r="LG18" i="1"/>
  <c r="LH18" i="1"/>
  <c r="LI18" i="1"/>
  <c r="LJ18" i="1"/>
  <c r="LK18" i="1"/>
  <c r="LL18" i="1"/>
  <c r="LM18" i="1"/>
  <c r="LN18" i="1"/>
  <c r="LO18" i="1"/>
  <c r="LP18" i="1"/>
  <c r="LQ18" i="1"/>
  <c r="LR18" i="1"/>
  <c r="LS18" i="1"/>
  <c r="LT18" i="1"/>
  <c r="LU18" i="1"/>
  <c r="LV18" i="1"/>
  <c r="LW18" i="1"/>
  <c r="LX18" i="1"/>
  <c r="LY18" i="1"/>
  <c r="LZ18" i="1"/>
  <c r="MA18" i="1"/>
  <c r="MB18" i="1"/>
  <c r="MC18" i="1"/>
  <c r="MD18" i="1"/>
  <c r="ME18" i="1"/>
  <c r="MF18" i="1"/>
  <c r="MG18" i="1"/>
  <c r="MH18" i="1"/>
  <c r="MI18" i="1"/>
  <c r="MJ18" i="1"/>
  <c r="MK18" i="1"/>
  <c r="ML18" i="1"/>
  <c r="MM18" i="1"/>
  <c r="MN18" i="1"/>
  <c r="MO18" i="1"/>
  <c r="MP18" i="1"/>
  <c r="MQ18" i="1"/>
  <c r="MR18" i="1"/>
  <c r="JU19" i="1"/>
  <c r="JV19" i="1"/>
  <c r="JW19" i="1"/>
  <c r="JX19" i="1"/>
  <c r="JY19" i="1"/>
  <c r="JZ19" i="1"/>
  <c r="KA19" i="1"/>
  <c r="KB19" i="1"/>
  <c r="KC19" i="1"/>
  <c r="KD19" i="1"/>
  <c r="KE19" i="1"/>
  <c r="KF19" i="1"/>
  <c r="KG19" i="1"/>
  <c r="KH19" i="1"/>
  <c r="KI19" i="1"/>
  <c r="KJ19" i="1"/>
  <c r="KK19" i="1"/>
  <c r="KL19" i="1"/>
  <c r="KM19" i="1"/>
  <c r="KN19" i="1"/>
  <c r="KO19" i="1"/>
  <c r="KP19" i="1"/>
  <c r="KQ19" i="1"/>
  <c r="KR19" i="1"/>
  <c r="KS19" i="1"/>
  <c r="KT19" i="1"/>
  <c r="KU19" i="1"/>
  <c r="KV19" i="1"/>
  <c r="KW19" i="1"/>
  <c r="KX19" i="1"/>
  <c r="KY19" i="1"/>
  <c r="KZ19" i="1"/>
  <c r="LA19" i="1"/>
  <c r="LB19" i="1"/>
  <c r="LC19" i="1"/>
  <c r="LD19" i="1"/>
  <c r="LE19" i="1"/>
  <c r="LF19" i="1"/>
  <c r="LG19" i="1"/>
  <c r="LH19" i="1"/>
  <c r="LI19" i="1"/>
  <c r="LJ19" i="1"/>
  <c r="LK19" i="1"/>
  <c r="LL19" i="1"/>
  <c r="LM19" i="1"/>
  <c r="LN19" i="1"/>
  <c r="LO19" i="1"/>
  <c r="LP19" i="1"/>
  <c r="LQ19" i="1"/>
  <c r="LR19" i="1"/>
  <c r="LS19" i="1"/>
  <c r="LT19" i="1"/>
  <c r="LU19" i="1"/>
  <c r="LV19" i="1"/>
  <c r="LW19" i="1"/>
  <c r="LX19" i="1"/>
  <c r="LY19" i="1"/>
  <c r="LZ19" i="1"/>
  <c r="MA19" i="1"/>
  <c r="MB19" i="1"/>
  <c r="MC19" i="1"/>
  <c r="MD19" i="1"/>
  <c r="ME19" i="1"/>
  <c r="MF19" i="1"/>
  <c r="MG19" i="1"/>
  <c r="MH19" i="1"/>
  <c r="MI19" i="1"/>
  <c r="MJ19" i="1"/>
  <c r="MK19" i="1"/>
  <c r="ML19" i="1"/>
  <c r="MM19" i="1"/>
  <c r="MN19" i="1"/>
  <c r="MO19" i="1"/>
  <c r="MP19" i="1"/>
  <c r="MQ19" i="1"/>
  <c r="MR19" i="1"/>
  <c r="JU20" i="1"/>
  <c r="JV20" i="1"/>
  <c r="JW20" i="1"/>
  <c r="JX20" i="1"/>
  <c r="JY20" i="1"/>
  <c r="JZ20" i="1"/>
  <c r="KA20" i="1"/>
  <c r="KB20" i="1"/>
  <c r="KC20" i="1"/>
  <c r="KD20" i="1"/>
  <c r="KE20" i="1"/>
  <c r="KF20" i="1"/>
  <c r="KG20" i="1"/>
  <c r="KH20" i="1"/>
  <c r="KI20" i="1"/>
  <c r="KJ20" i="1"/>
  <c r="KK20" i="1"/>
  <c r="KL20" i="1"/>
  <c r="KM20" i="1"/>
  <c r="KN20" i="1"/>
  <c r="KO20" i="1"/>
  <c r="KP20" i="1"/>
  <c r="KQ20" i="1"/>
  <c r="KR20" i="1"/>
  <c r="KS20" i="1"/>
  <c r="KT20" i="1"/>
  <c r="KU20" i="1"/>
  <c r="KV20" i="1"/>
  <c r="KW20" i="1"/>
  <c r="KX20" i="1"/>
  <c r="KY20" i="1"/>
  <c r="KZ20" i="1"/>
  <c r="LA20" i="1"/>
  <c r="LB20" i="1"/>
  <c r="LC20" i="1"/>
  <c r="LD20" i="1"/>
  <c r="LE20" i="1"/>
  <c r="LF20" i="1"/>
  <c r="LG20" i="1"/>
  <c r="LH20" i="1"/>
  <c r="LI20" i="1"/>
  <c r="LJ20" i="1"/>
  <c r="LK20" i="1"/>
  <c r="LL20" i="1"/>
  <c r="LM20" i="1"/>
  <c r="LN20" i="1"/>
  <c r="LO20" i="1"/>
  <c r="LP20" i="1"/>
  <c r="LQ20" i="1"/>
  <c r="LR20" i="1"/>
  <c r="LS20" i="1"/>
  <c r="LT20" i="1"/>
  <c r="LU20" i="1"/>
  <c r="LV20" i="1"/>
  <c r="LW20" i="1"/>
  <c r="LX20" i="1"/>
  <c r="LY20" i="1"/>
  <c r="LZ20" i="1"/>
  <c r="MA20" i="1"/>
  <c r="MB20" i="1"/>
  <c r="MC20" i="1"/>
  <c r="MD20" i="1"/>
  <c r="ME20" i="1"/>
  <c r="MF20" i="1"/>
  <c r="MG20" i="1"/>
  <c r="MH20" i="1"/>
  <c r="MI20" i="1"/>
  <c r="MJ20" i="1"/>
  <c r="MK20" i="1"/>
  <c r="ML20" i="1"/>
  <c r="MM20" i="1"/>
  <c r="MN20" i="1"/>
  <c r="MO20" i="1"/>
  <c r="MP20" i="1"/>
  <c r="MQ20" i="1"/>
  <c r="MR20" i="1"/>
  <c r="JU21" i="1"/>
  <c r="JV21" i="1"/>
  <c r="JW21" i="1"/>
  <c r="JX21" i="1"/>
  <c r="JY21" i="1"/>
  <c r="JZ21" i="1"/>
  <c r="KA21" i="1"/>
  <c r="KB21" i="1"/>
  <c r="KC21" i="1"/>
  <c r="KD21" i="1"/>
  <c r="KE21" i="1"/>
  <c r="KF21" i="1"/>
  <c r="KG21" i="1"/>
  <c r="KH21" i="1"/>
  <c r="KI21" i="1"/>
  <c r="KJ21" i="1"/>
  <c r="KK21" i="1"/>
  <c r="KL21" i="1"/>
  <c r="KM21" i="1"/>
  <c r="KN21" i="1"/>
  <c r="KO21" i="1"/>
  <c r="KP21" i="1"/>
  <c r="KQ21" i="1"/>
  <c r="KR21" i="1"/>
  <c r="KS21" i="1"/>
  <c r="KT21" i="1"/>
  <c r="KU21" i="1"/>
  <c r="KV21" i="1"/>
  <c r="KW21" i="1"/>
  <c r="KX21" i="1"/>
  <c r="KY21" i="1"/>
  <c r="KZ21" i="1"/>
  <c r="LA21" i="1"/>
  <c r="LB21" i="1"/>
  <c r="LC21" i="1"/>
  <c r="LD21" i="1"/>
  <c r="LE21" i="1"/>
  <c r="LF21" i="1"/>
  <c r="LG21" i="1"/>
  <c r="LH21" i="1"/>
  <c r="LI21" i="1"/>
  <c r="LJ21" i="1"/>
  <c r="LK21" i="1"/>
  <c r="LL21" i="1"/>
  <c r="LM21" i="1"/>
  <c r="LN21" i="1"/>
  <c r="LO21" i="1"/>
  <c r="LP21" i="1"/>
  <c r="LQ21" i="1"/>
  <c r="LR21" i="1"/>
  <c r="LS21" i="1"/>
  <c r="LT21" i="1"/>
  <c r="LU21" i="1"/>
  <c r="LV21" i="1"/>
  <c r="LW21" i="1"/>
  <c r="LX21" i="1"/>
  <c r="LY21" i="1"/>
  <c r="LZ21" i="1"/>
  <c r="MA21" i="1"/>
  <c r="MB21" i="1"/>
  <c r="MC21" i="1"/>
  <c r="MD21" i="1"/>
  <c r="ME21" i="1"/>
  <c r="MF21" i="1"/>
  <c r="MG21" i="1"/>
  <c r="MH21" i="1"/>
  <c r="MI21" i="1"/>
  <c r="MJ21" i="1"/>
  <c r="MK21" i="1"/>
  <c r="ML21" i="1"/>
  <c r="MM21" i="1"/>
  <c r="MN21" i="1"/>
  <c r="MO21" i="1"/>
  <c r="MP21" i="1"/>
  <c r="MQ21" i="1"/>
  <c r="MR21" i="1"/>
  <c r="JU22" i="1"/>
  <c r="JV22" i="1"/>
  <c r="JW22" i="1"/>
  <c r="JX22" i="1"/>
  <c r="JY22" i="1"/>
  <c r="JZ22" i="1"/>
  <c r="KA22" i="1"/>
  <c r="KB22" i="1"/>
  <c r="KC22" i="1"/>
  <c r="KD22" i="1"/>
  <c r="KE22" i="1"/>
  <c r="KF22" i="1"/>
  <c r="KG22" i="1"/>
  <c r="KH22" i="1"/>
  <c r="KI22" i="1"/>
  <c r="KJ22" i="1"/>
  <c r="KK22" i="1"/>
  <c r="KL22" i="1"/>
  <c r="KM22" i="1"/>
  <c r="KN22" i="1"/>
  <c r="KO22" i="1"/>
  <c r="KP22" i="1"/>
  <c r="KQ22" i="1"/>
  <c r="KR22" i="1"/>
  <c r="KS22" i="1"/>
  <c r="KT22" i="1"/>
  <c r="KU22" i="1"/>
  <c r="KV22" i="1"/>
  <c r="KW22" i="1"/>
  <c r="KX22" i="1"/>
  <c r="KY22" i="1"/>
  <c r="KZ22" i="1"/>
  <c r="LA22" i="1"/>
  <c r="LB22" i="1"/>
  <c r="LC22" i="1"/>
  <c r="LD22" i="1"/>
  <c r="LE22" i="1"/>
  <c r="LF22" i="1"/>
  <c r="LG22" i="1"/>
  <c r="LH22" i="1"/>
  <c r="LI22" i="1"/>
  <c r="LJ22" i="1"/>
  <c r="LK22" i="1"/>
  <c r="LL22" i="1"/>
  <c r="LM22" i="1"/>
  <c r="LN22" i="1"/>
  <c r="LO22" i="1"/>
  <c r="LP22" i="1"/>
  <c r="LQ22" i="1"/>
  <c r="LR22" i="1"/>
  <c r="LS22" i="1"/>
  <c r="LT22" i="1"/>
  <c r="LU22" i="1"/>
  <c r="LV22" i="1"/>
  <c r="LW22" i="1"/>
  <c r="LX22" i="1"/>
  <c r="LY22" i="1"/>
  <c r="LZ22" i="1"/>
  <c r="MA22" i="1"/>
  <c r="MB22" i="1"/>
  <c r="MC22" i="1"/>
  <c r="MD22" i="1"/>
  <c r="ME22" i="1"/>
  <c r="MF22" i="1"/>
  <c r="MG22" i="1"/>
  <c r="MH22" i="1"/>
  <c r="MI22" i="1"/>
  <c r="MJ22" i="1"/>
  <c r="MK22" i="1"/>
  <c r="ML22" i="1"/>
  <c r="MM22" i="1"/>
  <c r="MN22" i="1"/>
  <c r="MO22" i="1"/>
  <c r="MP22" i="1"/>
  <c r="MQ22" i="1"/>
  <c r="MR22" i="1"/>
  <c r="JU23" i="1"/>
  <c r="JV23" i="1"/>
  <c r="JW23" i="1"/>
  <c r="JX23" i="1"/>
  <c r="JY23" i="1"/>
  <c r="JZ23" i="1"/>
  <c r="KA23" i="1"/>
  <c r="KB23" i="1"/>
  <c r="KC23" i="1"/>
  <c r="KD23" i="1"/>
  <c r="KE23" i="1"/>
  <c r="KF23" i="1"/>
  <c r="KG23" i="1"/>
  <c r="KH23" i="1"/>
  <c r="KI23" i="1"/>
  <c r="KJ23" i="1"/>
  <c r="KK23" i="1"/>
  <c r="KL23" i="1"/>
  <c r="KM23" i="1"/>
  <c r="KN23" i="1"/>
  <c r="KO23" i="1"/>
  <c r="KP23" i="1"/>
  <c r="KQ23" i="1"/>
  <c r="KR23" i="1"/>
  <c r="KS23" i="1"/>
  <c r="KT23" i="1"/>
  <c r="KU23" i="1"/>
  <c r="KV23" i="1"/>
  <c r="KW23" i="1"/>
  <c r="KX23" i="1"/>
  <c r="KY23" i="1"/>
  <c r="KZ23" i="1"/>
  <c r="LA23" i="1"/>
  <c r="LB23" i="1"/>
  <c r="LC23" i="1"/>
  <c r="LD23" i="1"/>
  <c r="LE23" i="1"/>
  <c r="LF23" i="1"/>
  <c r="LG23" i="1"/>
  <c r="LH23" i="1"/>
  <c r="LI23" i="1"/>
  <c r="LJ23" i="1"/>
  <c r="LK23" i="1"/>
  <c r="LL23" i="1"/>
  <c r="LM23" i="1"/>
  <c r="LN23" i="1"/>
  <c r="LO23" i="1"/>
  <c r="LP23" i="1"/>
  <c r="LQ23" i="1"/>
  <c r="LR23" i="1"/>
  <c r="LS23" i="1"/>
  <c r="LT23" i="1"/>
  <c r="LU23" i="1"/>
  <c r="LV23" i="1"/>
  <c r="LW23" i="1"/>
  <c r="LX23" i="1"/>
  <c r="LY23" i="1"/>
  <c r="LZ23" i="1"/>
  <c r="MA23" i="1"/>
  <c r="MB23" i="1"/>
  <c r="MC23" i="1"/>
  <c r="MD23" i="1"/>
  <c r="ME23" i="1"/>
  <c r="MF23" i="1"/>
  <c r="MG23" i="1"/>
  <c r="MH23" i="1"/>
  <c r="MI23" i="1"/>
  <c r="MJ23" i="1"/>
  <c r="MK23" i="1"/>
  <c r="ML23" i="1"/>
  <c r="MM23" i="1"/>
  <c r="MN23" i="1"/>
  <c r="MO23" i="1"/>
  <c r="MP23" i="1"/>
  <c r="MQ23" i="1"/>
  <c r="MR23" i="1"/>
  <c r="JU24" i="1"/>
  <c r="JV24" i="1"/>
  <c r="JW24" i="1"/>
  <c r="JX24" i="1"/>
  <c r="JY24" i="1"/>
  <c r="JZ24" i="1"/>
  <c r="KA24" i="1"/>
  <c r="KB24" i="1"/>
  <c r="KC24" i="1"/>
  <c r="KD24" i="1"/>
  <c r="KE24" i="1"/>
  <c r="KF24" i="1"/>
  <c r="KG24" i="1"/>
  <c r="KH24" i="1"/>
  <c r="KI24" i="1"/>
  <c r="KJ24" i="1"/>
  <c r="KK24" i="1"/>
  <c r="KL24" i="1"/>
  <c r="KM24" i="1"/>
  <c r="KN24" i="1"/>
  <c r="KO24" i="1"/>
  <c r="KP24" i="1"/>
  <c r="KQ24" i="1"/>
  <c r="KR24" i="1"/>
  <c r="KS24" i="1"/>
  <c r="KT24" i="1"/>
  <c r="KU24" i="1"/>
  <c r="KV24" i="1"/>
  <c r="KW24" i="1"/>
  <c r="KX24" i="1"/>
  <c r="KY24" i="1"/>
  <c r="KZ24" i="1"/>
  <c r="LA24" i="1"/>
  <c r="LB24" i="1"/>
  <c r="LC24" i="1"/>
  <c r="LD24" i="1"/>
  <c r="LE24" i="1"/>
  <c r="LF24" i="1"/>
  <c r="LG24" i="1"/>
  <c r="LH24" i="1"/>
  <c r="LI24" i="1"/>
  <c r="LJ24" i="1"/>
  <c r="LK24" i="1"/>
  <c r="LL24" i="1"/>
  <c r="LM24" i="1"/>
  <c r="LN24" i="1"/>
  <c r="LO24" i="1"/>
  <c r="LP24" i="1"/>
  <c r="LQ24" i="1"/>
  <c r="LR24" i="1"/>
  <c r="LS24" i="1"/>
  <c r="LT24" i="1"/>
  <c r="LU24" i="1"/>
  <c r="LV24" i="1"/>
  <c r="LW24" i="1"/>
  <c r="LX24" i="1"/>
  <c r="LY24" i="1"/>
  <c r="LZ24" i="1"/>
  <c r="MA24" i="1"/>
  <c r="MB24" i="1"/>
  <c r="MC24" i="1"/>
  <c r="MD24" i="1"/>
  <c r="ME24" i="1"/>
  <c r="MF24" i="1"/>
  <c r="MG24" i="1"/>
  <c r="MH24" i="1"/>
  <c r="MI24" i="1"/>
  <c r="MJ24" i="1"/>
  <c r="MK24" i="1"/>
  <c r="ML24" i="1"/>
  <c r="MM24" i="1"/>
  <c r="MN24" i="1"/>
  <c r="MO24" i="1"/>
  <c r="MP24" i="1"/>
  <c r="MQ24" i="1"/>
  <c r="MR24" i="1"/>
  <c r="KA25" i="1"/>
  <c r="KB25" i="1"/>
  <c r="LG25" i="1"/>
  <c r="LH25" i="1"/>
  <c r="JU26" i="1"/>
  <c r="JV26" i="1"/>
  <c r="JW26" i="1"/>
  <c r="JX26" i="1"/>
  <c r="JY26" i="1"/>
  <c r="JZ26" i="1"/>
  <c r="KA26" i="1"/>
  <c r="KB26" i="1"/>
  <c r="KC26" i="1"/>
  <c r="KD26" i="1"/>
  <c r="KE26" i="1"/>
  <c r="KF26" i="1"/>
  <c r="KG26" i="1"/>
  <c r="KH26" i="1"/>
  <c r="KI26" i="1"/>
  <c r="KJ26" i="1"/>
  <c r="KK26" i="1"/>
  <c r="KL26" i="1"/>
  <c r="KM26" i="1"/>
  <c r="KN26" i="1"/>
  <c r="KO26" i="1"/>
  <c r="KP26" i="1"/>
  <c r="KQ26" i="1"/>
  <c r="KR26" i="1"/>
  <c r="KS26" i="1"/>
  <c r="KT26" i="1"/>
  <c r="KU26" i="1"/>
  <c r="KV26" i="1"/>
  <c r="KW26" i="1"/>
  <c r="KX26" i="1"/>
  <c r="KY26" i="1"/>
  <c r="KZ26" i="1"/>
  <c r="LA26" i="1"/>
  <c r="LB26" i="1"/>
  <c r="LC26" i="1"/>
  <c r="LD26" i="1"/>
  <c r="LE26" i="1"/>
  <c r="LF26" i="1"/>
  <c r="LG26" i="1"/>
  <c r="LH26" i="1"/>
  <c r="LI26" i="1"/>
  <c r="LJ26" i="1"/>
  <c r="LK26" i="1"/>
  <c r="LL26" i="1"/>
  <c r="LM26" i="1"/>
  <c r="LN26" i="1"/>
  <c r="LO26" i="1"/>
  <c r="LP26" i="1"/>
  <c r="LQ26" i="1"/>
  <c r="LR26" i="1"/>
  <c r="LS26" i="1"/>
  <c r="LT26" i="1"/>
  <c r="LU26" i="1"/>
  <c r="LV26" i="1"/>
  <c r="LW26" i="1"/>
  <c r="LX26" i="1"/>
  <c r="LY26" i="1"/>
  <c r="LZ26" i="1"/>
  <c r="MA26" i="1"/>
  <c r="MB26" i="1"/>
  <c r="MC26" i="1"/>
  <c r="MD26" i="1"/>
  <c r="ME26" i="1"/>
  <c r="MF26" i="1"/>
  <c r="MG26" i="1"/>
  <c r="MH26" i="1"/>
  <c r="MI26" i="1"/>
  <c r="MJ26" i="1"/>
  <c r="MK26" i="1"/>
  <c r="ML26" i="1"/>
  <c r="MM26" i="1"/>
  <c r="MN26" i="1"/>
  <c r="MO26" i="1"/>
  <c r="MP26" i="1"/>
  <c r="MQ26" i="1"/>
  <c r="MR26" i="1"/>
  <c r="JU27" i="1"/>
  <c r="JV27" i="1"/>
  <c r="JW27" i="1"/>
  <c r="JX27" i="1"/>
  <c r="JY27" i="1"/>
  <c r="JZ27" i="1"/>
  <c r="KA27" i="1"/>
  <c r="KB27" i="1"/>
  <c r="KC27" i="1"/>
  <c r="KD27" i="1"/>
  <c r="KE27" i="1"/>
  <c r="KF27" i="1"/>
  <c r="KG27" i="1"/>
  <c r="KH27" i="1"/>
  <c r="KI27" i="1"/>
  <c r="KJ27" i="1"/>
  <c r="KK27" i="1"/>
  <c r="KL27" i="1"/>
  <c r="KM27" i="1"/>
  <c r="KN27" i="1"/>
  <c r="KO27" i="1"/>
  <c r="KP27" i="1"/>
  <c r="KQ27" i="1"/>
  <c r="KR27" i="1"/>
  <c r="KS27" i="1"/>
  <c r="KT27" i="1"/>
  <c r="KU27" i="1"/>
  <c r="KV27" i="1"/>
  <c r="KW27" i="1"/>
  <c r="KX27" i="1"/>
  <c r="KY27" i="1"/>
  <c r="KZ27" i="1"/>
  <c r="LA27" i="1"/>
  <c r="LB27" i="1"/>
  <c r="LC27" i="1"/>
  <c r="LD27" i="1"/>
  <c r="LE27" i="1"/>
  <c r="LF27" i="1"/>
  <c r="LG27" i="1"/>
  <c r="LH27" i="1"/>
  <c r="LI27" i="1"/>
  <c r="LJ27" i="1"/>
  <c r="LK27" i="1"/>
  <c r="LL27" i="1"/>
  <c r="LM27" i="1"/>
  <c r="LN27" i="1"/>
  <c r="LO27" i="1"/>
  <c r="LP27" i="1"/>
  <c r="LQ27" i="1"/>
  <c r="LR27" i="1"/>
  <c r="LS27" i="1"/>
  <c r="LT27" i="1"/>
  <c r="LU27" i="1"/>
  <c r="LV27" i="1"/>
  <c r="LW27" i="1"/>
  <c r="LX27" i="1"/>
  <c r="LY27" i="1"/>
  <c r="LZ27" i="1"/>
  <c r="MA27" i="1"/>
  <c r="MB27" i="1"/>
  <c r="MC27" i="1"/>
  <c r="MD27" i="1"/>
  <c r="ME27" i="1"/>
  <c r="MF27" i="1"/>
  <c r="MG27" i="1"/>
  <c r="MH27" i="1"/>
  <c r="MI27" i="1"/>
  <c r="MJ27" i="1"/>
  <c r="MK27" i="1"/>
  <c r="ML27" i="1"/>
  <c r="MM27" i="1"/>
  <c r="MN27" i="1"/>
  <c r="MO27" i="1"/>
  <c r="MP27" i="1"/>
  <c r="MQ27" i="1"/>
  <c r="MR27" i="1"/>
  <c r="JU28" i="1"/>
  <c r="JV28" i="1"/>
  <c r="JW28" i="1"/>
  <c r="JX28" i="1"/>
  <c r="JY28" i="1"/>
  <c r="JZ28" i="1"/>
  <c r="KA28" i="1"/>
  <c r="KB28" i="1"/>
  <c r="KC28" i="1"/>
  <c r="KD28" i="1"/>
  <c r="KE28" i="1"/>
  <c r="KF28" i="1"/>
  <c r="KG28" i="1"/>
  <c r="KH28" i="1"/>
  <c r="KI28" i="1"/>
  <c r="KJ28" i="1"/>
  <c r="KK28" i="1"/>
  <c r="KL28" i="1"/>
  <c r="KM28" i="1"/>
  <c r="KN28" i="1"/>
  <c r="KO28" i="1"/>
  <c r="KP28" i="1"/>
  <c r="KQ28" i="1"/>
  <c r="KR28" i="1"/>
  <c r="KS28" i="1"/>
  <c r="KT28" i="1"/>
  <c r="KU28" i="1"/>
  <c r="KV28" i="1"/>
  <c r="KW28" i="1"/>
  <c r="KX28" i="1"/>
  <c r="KY28" i="1"/>
  <c r="KZ28" i="1"/>
  <c r="LA28" i="1"/>
  <c r="LB28" i="1"/>
  <c r="LC28" i="1"/>
  <c r="LD28" i="1"/>
  <c r="LE28" i="1"/>
  <c r="LF28" i="1"/>
  <c r="LG28" i="1"/>
  <c r="LH28" i="1"/>
  <c r="LI28" i="1"/>
  <c r="LJ28" i="1"/>
  <c r="LK28" i="1"/>
  <c r="LL28" i="1"/>
  <c r="LM28" i="1"/>
  <c r="LN28" i="1"/>
  <c r="LO28" i="1"/>
  <c r="LP28" i="1"/>
  <c r="LQ28" i="1"/>
  <c r="LR28" i="1"/>
  <c r="LS28" i="1"/>
  <c r="LT28" i="1"/>
  <c r="LU28" i="1"/>
  <c r="LV28" i="1"/>
  <c r="LW28" i="1"/>
  <c r="LX28" i="1"/>
  <c r="LY28" i="1"/>
  <c r="LZ28" i="1"/>
  <c r="MA28" i="1"/>
  <c r="MB28" i="1"/>
  <c r="MC28" i="1"/>
  <c r="MD28" i="1"/>
  <c r="ME28" i="1"/>
  <c r="MF28" i="1"/>
  <c r="MG28" i="1"/>
  <c r="MH28" i="1"/>
  <c r="MI28" i="1"/>
  <c r="MJ28" i="1"/>
  <c r="MK28" i="1"/>
  <c r="ML28" i="1"/>
  <c r="MM28" i="1"/>
  <c r="MN28" i="1"/>
  <c r="MO28" i="1"/>
  <c r="MP28" i="1"/>
  <c r="MQ28" i="1"/>
  <c r="MR28" i="1"/>
  <c r="JU29" i="1"/>
  <c r="JV29" i="1"/>
  <c r="JW29" i="1"/>
  <c r="JX29" i="1"/>
  <c r="JY29" i="1"/>
  <c r="JZ29" i="1"/>
  <c r="KA29" i="1"/>
  <c r="KB29" i="1"/>
  <c r="KC29" i="1"/>
  <c r="KD29" i="1"/>
  <c r="KE29" i="1"/>
  <c r="KF29" i="1"/>
  <c r="KG29" i="1"/>
  <c r="KH29" i="1"/>
  <c r="KI29" i="1"/>
  <c r="KJ29" i="1"/>
  <c r="KK29" i="1"/>
  <c r="KL29" i="1"/>
  <c r="KM29" i="1"/>
  <c r="KN29" i="1"/>
  <c r="KO29" i="1"/>
  <c r="KP29" i="1"/>
  <c r="KQ29" i="1"/>
  <c r="KR29" i="1"/>
  <c r="KS29" i="1"/>
  <c r="KT29" i="1"/>
  <c r="KU29" i="1"/>
  <c r="KV29" i="1"/>
  <c r="KW29" i="1"/>
  <c r="KX29" i="1"/>
  <c r="KY29" i="1"/>
  <c r="KZ29" i="1"/>
  <c r="LA29" i="1"/>
  <c r="LB29" i="1"/>
  <c r="LC29" i="1"/>
  <c r="LD29" i="1"/>
  <c r="LE29" i="1"/>
  <c r="LF29" i="1"/>
  <c r="LG29" i="1"/>
  <c r="LH29" i="1"/>
  <c r="LI29" i="1"/>
  <c r="LJ29" i="1"/>
  <c r="LK29" i="1"/>
  <c r="LL29" i="1"/>
  <c r="LM29" i="1"/>
  <c r="LN29" i="1"/>
  <c r="LO29" i="1"/>
  <c r="LP29" i="1"/>
  <c r="LQ29" i="1"/>
  <c r="LR29" i="1"/>
  <c r="LS29" i="1"/>
  <c r="LT29" i="1"/>
  <c r="LU29" i="1"/>
  <c r="LV29" i="1"/>
  <c r="LW29" i="1"/>
  <c r="LX29" i="1"/>
  <c r="LY29" i="1"/>
  <c r="LZ29" i="1"/>
  <c r="MA29" i="1"/>
  <c r="MB29" i="1"/>
  <c r="MC29" i="1"/>
  <c r="MD29" i="1"/>
  <c r="ME29" i="1"/>
  <c r="MF29" i="1"/>
  <c r="MG29" i="1"/>
  <c r="MH29" i="1"/>
  <c r="MI29" i="1"/>
  <c r="MJ29" i="1"/>
  <c r="MK29" i="1"/>
  <c r="ML29" i="1"/>
  <c r="MM29" i="1"/>
  <c r="MN29" i="1"/>
  <c r="MO29" i="1"/>
  <c r="MP29" i="1"/>
  <c r="MQ29" i="1"/>
  <c r="MR29" i="1"/>
  <c r="JU30" i="1"/>
  <c r="JV30" i="1"/>
  <c r="JW30" i="1"/>
  <c r="JX30" i="1"/>
  <c r="JY30" i="1"/>
  <c r="JZ30" i="1"/>
  <c r="KA30" i="1"/>
  <c r="KB30" i="1"/>
  <c r="KC30" i="1"/>
  <c r="KD30" i="1"/>
  <c r="KE30" i="1"/>
  <c r="KF30" i="1"/>
  <c r="KG30" i="1"/>
  <c r="KH30" i="1"/>
  <c r="KI30" i="1"/>
  <c r="KJ30" i="1"/>
  <c r="KK30" i="1"/>
  <c r="KL30" i="1"/>
  <c r="KM30" i="1"/>
  <c r="KN30" i="1"/>
  <c r="KO30" i="1"/>
  <c r="KP30" i="1"/>
  <c r="KQ30" i="1"/>
  <c r="KR30" i="1"/>
  <c r="KS30" i="1"/>
  <c r="KT30" i="1"/>
  <c r="KU30" i="1"/>
  <c r="KV30" i="1"/>
  <c r="KW30" i="1"/>
  <c r="KX30" i="1"/>
  <c r="KY30" i="1"/>
  <c r="KZ30" i="1"/>
  <c r="LA30" i="1"/>
  <c r="LB30" i="1"/>
  <c r="LC30" i="1"/>
  <c r="LD30" i="1"/>
  <c r="LE30" i="1"/>
  <c r="LF30" i="1"/>
  <c r="LG30" i="1"/>
  <c r="LH30" i="1"/>
  <c r="LI30" i="1"/>
  <c r="LJ30" i="1"/>
  <c r="LK30" i="1"/>
  <c r="LL30" i="1"/>
  <c r="LM30" i="1"/>
  <c r="LN30" i="1"/>
  <c r="LO30" i="1"/>
  <c r="LP30" i="1"/>
  <c r="LQ30" i="1"/>
  <c r="LR30" i="1"/>
  <c r="LS30" i="1"/>
  <c r="LT30" i="1"/>
  <c r="LU30" i="1"/>
  <c r="LV30" i="1"/>
  <c r="LW30" i="1"/>
  <c r="LX30" i="1"/>
  <c r="LY30" i="1"/>
  <c r="LZ30" i="1"/>
  <c r="MA30" i="1"/>
  <c r="MB30" i="1"/>
  <c r="MC30" i="1"/>
  <c r="MD30" i="1"/>
  <c r="ME30" i="1"/>
  <c r="MF30" i="1"/>
  <c r="MG30" i="1"/>
  <c r="MH30" i="1"/>
  <c r="MI30" i="1"/>
  <c r="MJ30" i="1"/>
  <c r="MK30" i="1"/>
  <c r="ML30" i="1"/>
  <c r="MM30" i="1"/>
  <c r="MN30" i="1"/>
  <c r="MO30" i="1"/>
  <c r="MP30" i="1"/>
  <c r="MQ30" i="1"/>
  <c r="MR30" i="1"/>
  <c r="JU31" i="1"/>
  <c r="JV31" i="1"/>
  <c r="JW31" i="1"/>
  <c r="JX31" i="1"/>
  <c r="JY31" i="1"/>
  <c r="JZ31" i="1"/>
  <c r="KA31" i="1"/>
  <c r="KB31" i="1"/>
  <c r="KC31" i="1"/>
  <c r="KD31" i="1"/>
  <c r="KE31" i="1"/>
  <c r="KF31" i="1"/>
  <c r="KG31" i="1"/>
  <c r="KH31" i="1"/>
  <c r="KI31" i="1"/>
  <c r="KJ31" i="1"/>
  <c r="KK31" i="1"/>
  <c r="KL31" i="1"/>
  <c r="KM31" i="1"/>
  <c r="KN31" i="1"/>
  <c r="KO31" i="1"/>
  <c r="KP31" i="1"/>
  <c r="KQ31" i="1"/>
  <c r="KR31" i="1"/>
  <c r="KS31" i="1"/>
  <c r="KT31" i="1"/>
  <c r="KU31" i="1"/>
  <c r="KV31" i="1"/>
  <c r="KW31" i="1"/>
  <c r="KX31" i="1"/>
  <c r="KY31" i="1"/>
  <c r="KZ31" i="1"/>
  <c r="LA31" i="1"/>
  <c r="LB31" i="1"/>
  <c r="LC31" i="1"/>
  <c r="LD31" i="1"/>
  <c r="LE31" i="1"/>
  <c r="LF31" i="1"/>
  <c r="LG31" i="1"/>
  <c r="LH31" i="1"/>
  <c r="LI31" i="1"/>
  <c r="LJ31" i="1"/>
  <c r="LK31" i="1"/>
  <c r="LL31" i="1"/>
  <c r="LM31" i="1"/>
  <c r="LN31" i="1"/>
  <c r="LO31" i="1"/>
  <c r="LP31" i="1"/>
  <c r="LQ31" i="1"/>
  <c r="LR31" i="1"/>
  <c r="LS31" i="1"/>
  <c r="LT31" i="1"/>
  <c r="LU31" i="1"/>
  <c r="LV31" i="1"/>
  <c r="LW31" i="1"/>
  <c r="LX31" i="1"/>
  <c r="LY31" i="1"/>
  <c r="LZ31" i="1"/>
  <c r="MA31" i="1"/>
  <c r="MB31" i="1"/>
  <c r="MC31" i="1"/>
  <c r="MD31" i="1"/>
  <c r="ME31" i="1"/>
  <c r="MF31" i="1"/>
  <c r="MG31" i="1"/>
  <c r="MH31" i="1"/>
  <c r="MI31" i="1"/>
  <c r="MJ31" i="1"/>
  <c r="MK31" i="1"/>
  <c r="ML31" i="1"/>
  <c r="MM31" i="1"/>
  <c r="MN31" i="1"/>
  <c r="MO31" i="1"/>
  <c r="MP31" i="1"/>
  <c r="MQ31" i="1"/>
  <c r="MR31" i="1"/>
  <c r="JU32" i="1"/>
  <c r="JV32" i="1"/>
  <c r="JW32" i="1"/>
  <c r="JX32" i="1"/>
  <c r="JY32" i="1"/>
  <c r="JZ32" i="1"/>
  <c r="KA32" i="1"/>
  <c r="KB32" i="1"/>
  <c r="KC32" i="1"/>
  <c r="KD32" i="1"/>
  <c r="KE32" i="1"/>
  <c r="KF32" i="1"/>
  <c r="KG32" i="1"/>
  <c r="KH32" i="1"/>
  <c r="KI32" i="1"/>
  <c r="KJ32" i="1"/>
  <c r="KK32" i="1"/>
  <c r="KL32" i="1"/>
  <c r="KM32" i="1"/>
  <c r="KN32" i="1"/>
  <c r="KO32" i="1"/>
  <c r="KP32" i="1"/>
  <c r="KQ32" i="1"/>
  <c r="KR32" i="1"/>
  <c r="KS32" i="1"/>
  <c r="KT32" i="1"/>
  <c r="KU32" i="1"/>
  <c r="KV32" i="1"/>
  <c r="KW32" i="1"/>
  <c r="KX32" i="1"/>
  <c r="KY32" i="1"/>
  <c r="KZ32" i="1"/>
  <c r="LA32" i="1"/>
  <c r="LB32" i="1"/>
  <c r="LC32" i="1"/>
  <c r="LD32" i="1"/>
  <c r="LE32" i="1"/>
  <c r="LF32" i="1"/>
  <c r="LG32" i="1"/>
  <c r="LH32" i="1"/>
  <c r="LI32" i="1"/>
  <c r="LJ32" i="1"/>
  <c r="LK32" i="1"/>
  <c r="LL32" i="1"/>
  <c r="LM32" i="1"/>
  <c r="LN32" i="1"/>
  <c r="LO32" i="1"/>
  <c r="LP32" i="1"/>
  <c r="LQ32" i="1"/>
  <c r="LR32" i="1"/>
  <c r="LS32" i="1"/>
  <c r="LT32" i="1"/>
  <c r="LU32" i="1"/>
  <c r="LV32" i="1"/>
  <c r="LW32" i="1"/>
  <c r="LX32" i="1"/>
  <c r="LY32" i="1"/>
  <c r="LZ32" i="1"/>
  <c r="MA32" i="1"/>
  <c r="MB32" i="1"/>
  <c r="MC32" i="1"/>
  <c r="MD32" i="1"/>
  <c r="ME32" i="1"/>
  <c r="MF32" i="1"/>
  <c r="MG32" i="1"/>
  <c r="MH32" i="1"/>
  <c r="MI32" i="1"/>
  <c r="MJ32" i="1"/>
  <c r="MK32" i="1"/>
  <c r="ML32" i="1"/>
  <c r="MM32" i="1"/>
  <c r="MN32" i="1"/>
  <c r="MO32" i="1"/>
  <c r="MP32" i="1"/>
  <c r="MQ32" i="1"/>
  <c r="MR32" i="1"/>
  <c r="JU33" i="1"/>
  <c r="JV33" i="1"/>
  <c r="JW33" i="1"/>
  <c r="JX33" i="1"/>
  <c r="JY33" i="1"/>
  <c r="JZ33" i="1"/>
  <c r="KA33" i="1"/>
  <c r="KB33" i="1"/>
  <c r="KC33" i="1"/>
  <c r="KD33" i="1"/>
  <c r="KE33" i="1"/>
  <c r="KF33" i="1"/>
  <c r="KG33" i="1"/>
  <c r="KH33" i="1"/>
  <c r="KI33" i="1"/>
  <c r="KJ33" i="1"/>
  <c r="KK33" i="1"/>
  <c r="KL33" i="1"/>
  <c r="KM33" i="1"/>
  <c r="KN33" i="1"/>
  <c r="KO33" i="1"/>
  <c r="KP33" i="1"/>
  <c r="KQ33" i="1"/>
  <c r="KR33" i="1"/>
  <c r="KS33" i="1"/>
  <c r="KT33" i="1"/>
  <c r="KU33" i="1"/>
  <c r="KV33" i="1"/>
  <c r="KW33" i="1"/>
  <c r="KX33" i="1"/>
  <c r="KY33" i="1"/>
  <c r="KZ33" i="1"/>
  <c r="LA33" i="1"/>
  <c r="LB33" i="1"/>
  <c r="LC33" i="1"/>
  <c r="LD33" i="1"/>
  <c r="LE33" i="1"/>
  <c r="LF33" i="1"/>
  <c r="LG33" i="1"/>
  <c r="LH33" i="1"/>
  <c r="LI33" i="1"/>
  <c r="LJ33" i="1"/>
  <c r="LK33" i="1"/>
  <c r="LL33" i="1"/>
  <c r="LM33" i="1"/>
  <c r="LN33" i="1"/>
  <c r="LO33" i="1"/>
  <c r="LP33" i="1"/>
  <c r="LQ33" i="1"/>
  <c r="LR33" i="1"/>
  <c r="LS33" i="1"/>
  <c r="LT33" i="1"/>
  <c r="LU33" i="1"/>
  <c r="LV33" i="1"/>
  <c r="LW33" i="1"/>
  <c r="LX33" i="1"/>
  <c r="LY33" i="1"/>
  <c r="LZ33" i="1"/>
  <c r="MA33" i="1"/>
  <c r="MB33" i="1"/>
  <c r="MC33" i="1"/>
  <c r="MD33" i="1"/>
  <c r="ME33" i="1"/>
  <c r="MF33" i="1"/>
  <c r="MG33" i="1"/>
  <c r="MH33" i="1"/>
  <c r="MI33" i="1"/>
  <c r="MJ33" i="1"/>
  <c r="MK33" i="1"/>
  <c r="ML33" i="1"/>
  <c r="MM33" i="1"/>
  <c r="MN33" i="1"/>
  <c r="MO33" i="1"/>
  <c r="MP33" i="1"/>
  <c r="MQ33" i="1"/>
  <c r="MR33" i="1"/>
  <c r="JU34" i="1"/>
  <c r="JV34" i="1"/>
  <c r="JW34" i="1"/>
  <c r="JX34" i="1"/>
  <c r="JY34" i="1"/>
  <c r="JZ34" i="1"/>
  <c r="KA34" i="1"/>
  <c r="KB34" i="1"/>
  <c r="KC34" i="1"/>
  <c r="KD34" i="1"/>
  <c r="KE34" i="1"/>
  <c r="KF34" i="1"/>
  <c r="KG34" i="1"/>
  <c r="KH34" i="1"/>
  <c r="KI34" i="1"/>
  <c r="KJ34" i="1"/>
  <c r="KK34" i="1"/>
  <c r="KL34" i="1"/>
  <c r="KM34" i="1"/>
  <c r="KN34" i="1"/>
  <c r="KO34" i="1"/>
  <c r="KP34" i="1"/>
  <c r="KQ34" i="1"/>
  <c r="KR34" i="1"/>
  <c r="KS34" i="1"/>
  <c r="KT34" i="1"/>
  <c r="KU34" i="1"/>
  <c r="KV34" i="1"/>
  <c r="KW34" i="1"/>
  <c r="KX34" i="1"/>
  <c r="KY34" i="1"/>
  <c r="KZ34" i="1"/>
  <c r="LA34" i="1"/>
  <c r="LB34" i="1"/>
  <c r="LC34" i="1"/>
  <c r="LD34" i="1"/>
  <c r="LE34" i="1"/>
  <c r="LF34" i="1"/>
  <c r="LG34" i="1"/>
  <c r="LH34" i="1"/>
  <c r="LI34" i="1"/>
  <c r="LJ34" i="1"/>
  <c r="LK34" i="1"/>
  <c r="LL34" i="1"/>
  <c r="LM34" i="1"/>
  <c r="LN34" i="1"/>
  <c r="LO34" i="1"/>
  <c r="LP34" i="1"/>
  <c r="LQ34" i="1"/>
  <c r="LR34" i="1"/>
  <c r="LS34" i="1"/>
  <c r="LT34" i="1"/>
  <c r="LU34" i="1"/>
  <c r="LV34" i="1"/>
  <c r="LW34" i="1"/>
  <c r="LX34" i="1"/>
  <c r="LY34" i="1"/>
  <c r="LZ34" i="1"/>
  <c r="MA34" i="1"/>
  <c r="MB34" i="1"/>
  <c r="MC34" i="1"/>
  <c r="MD34" i="1"/>
  <c r="ME34" i="1"/>
  <c r="MF34" i="1"/>
  <c r="MG34" i="1"/>
  <c r="MH34" i="1"/>
  <c r="MI34" i="1"/>
  <c r="MJ34" i="1"/>
  <c r="MK34" i="1"/>
  <c r="ML34" i="1"/>
  <c r="MM34" i="1"/>
  <c r="MN34" i="1"/>
  <c r="MO34" i="1"/>
  <c r="MP34" i="1"/>
  <c r="MQ34" i="1"/>
  <c r="MR34" i="1"/>
  <c r="JU35" i="1"/>
  <c r="JV35" i="1"/>
  <c r="JW35" i="1"/>
  <c r="JX35" i="1"/>
  <c r="JY35" i="1"/>
  <c r="JZ35" i="1"/>
  <c r="KA35" i="1"/>
  <c r="KB35" i="1"/>
  <c r="KC35" i="1"/>
  <c r="KD35" i="1"/>
  <c r="KE35" i="1"/>
  <c r="KF35" i="1"/>
  <c r="KG35" i="1"/>
  <c r="KH35" i="1"/>
  <c r="KI35" i="1"/>
  <c r="KJ35" i="1"/>
  <c r="KK35" i="1"/>
  <c r="KL35" i="1"/>
  <c r="KM35" i="1"/>
  <c r="KN35" i="1"/>
  <c r="KO35" i="1"/>
  <c r="KP35" i="1"/>
  <c r="KQ35" i="1"/>
  <c r="KR35" i="1"/>
  <c r="KS35" i="1"/>
  <c r="KT35" i="1"/>
  <c r="KU35" i="1"/>
  <c r="KV35" i="1"/>
  <c r="KW35" i="1"/>
  <c r="KX35" i="1"/>
  <c r="KY35" i="1"/>
  <c r="KZ35" i="1"/>
  <c r="LA35" i="1"/>
  <c r="LB35" i="1"/>
  <c r="LC35" i="1"/>
  <c r="LD35" i="1"/>
  <c r="LE35" i="1"/>
  <c r="LF35" i="1"/>
  <c r="LG35" i="1"/>
  <c r="LH35" i="1"/>
  <c r="LI35" i="1"/>
  <c r="LJ35" i="1"/>
  <c r="LK35" i="1"/>
  <c r="LL35" i="1"/>
  <c r="LM35" i="1"/>
  <c r="LN35" i="1"/>
  <c r="LO35" i="1"/>
  <c r="LP35" i="1"/>
  <c r="LQ35" i="1"/>
  <c r="LR35" i="1"/>
  <c r="LS35" i="1"/>
  <c r="LT35" i="1"/>
  <c r="LU35" i="1"/>
  <c r="LV35" i="1"/>
  <c r="LW35" i="1"/>
  <c r="LX35" i="1"/>
  <c r="LY35" i="1"/>
  <c r="LZ35" i="1"/>
  <c r="MA35" i="1"/>
  <c r="MB35" i="1"/>
  <c r="MC35" i="1"/>
  <c r="MD35" i="1"/>
  <c r="ME35" i="1"/>
  <c r="MF35" i="1"/>
  <c r="MG35" i="1"/>
  <c r="MH35" i="1"/>
  <c r="MI35" i="1"/>
  <c r="MJ35" i="1"/>
  <c r="MK35" i="1"/>
  <c r="ML35" i="1"/>
  <c r="MM35" i="1"/>
  <c r="MN35" i="1"/>
  <c r="MO35" i="1"/>
  <c r="MP35" i="1"/>
  <c r="MQ35" i="1"/>
  <c r="MR35" i="1"/>
  <c r="JU36" i="1"/>
  <c r="JV36" i="1"/>
  <c r="JW36" i="1"/>
  <c r="JX36" i="1"/>
  <c r="JY36" i="1"/>
  <c r="JZ36" i="1"/>
  <c r="KA36" i="1"/>
  <c r="KB36" i="1"/>
  <c r="KC36" i="1"/>
  <c r="KD36" i="1"/>
  <c r="KE36" i="1"/>
  <c r="KF36" i="1"/>
  <c r="KG36" i="1"/>
  <c r="KH36" i="1"/>
  <c r="KI36" i="1"/>
  <c r="KJ36" i="1"/>
  <c r="KK36" i="1"/>
  <c r="KL36" i="1"/>
  <c r="KM36" i="1"/>
  <c r="KN36" i="1"/>
  <c r="KO36" i="1"/>
  <c r="KP36" i="1"/>
  <c r="KQ36" i="1"/>
  <c r="KR36" i="1"/>
  <c r="KS36" i="1"/>
  <c r="KT36" i="1"/>
  <c r="KU36" i="1"/>
  <c r="KV36" i="1"/>
  <c r="KW36" i="1"/>
  <c r="KX36" i="1"/>
  <c r="KY36" i="1"/>
  <c r="KZ36" i="1"/>
  <c r="LA36" i="1"/>
  <c r="LB36" i="1"/>
  <c r="LC36" i="1"/>
  <c r="LD36" i="1"/>
  <c r="LE36" i="1"/>
  <c r="LF36" i="1"/>
  <c r="LG36" i="1"/>
  <c r="LH36" i="1"/>
  <c r="LI36" i="1"/>
  <c r="LJ36" i="1"/>
  <c r="LK36" i="1"/>
  <c r="LL36" i="1"/>
  <c r="LM36" i="1"/>
  <c r="LN36" i="1"/>
  <c r="LO36" i="1"/>
  <c r="LP36" i="1"/>
  <c r="LQ36" i="1"/>
  <c r="LR36" i="1"/>
  <c r="LS36" i="1"/>
  <c r="LT36" i="1"/>
  <c r="LU36" i="1"/>
  <c r="LV36" i="1"/>
  <c r="LW36" i="1"/>
  <c r="LX36" i="1"/>
  <c r="LY36" i="1"/>
  <c r="LZ36" i="1"/>
  <c r="MA36" i="1"/>
  <c r="MB36" i="1"/>
  <c r="MC36" i="1"/>
  <c r="MD36" i="1"/>
  <c r="ME36" i="1"/>
  <c r="MF36" i="1"/>
  <c r="MG36" i="1"/>
  <c r="MH36" i="1"/>
  <c r="MI36" i="1"/>
  <c r="MJ36" i="1"/>
  <c r="MK36" i="1"/>
  <c r="ML36" i="1"/>
  <c r="MM36" i="1"/>
  <c r="MN36" i="1"/>
  <c r="MO36" i="1"/>
  <c r="MP36" i="1"/>
  <c r="MQ36" i="1"/>
  <c r="MR36" i="1"/>
  <c r="JU37" i="1"/>
  <c r="JV37" i="1"/>
  <c r="JW37" i="1"/>
  <c r="JX37" i="1"/>
  <c r="JY37" i="1"/>
  <c r="JZ37" i="1"/>
  <c r="KA37" i="1"/>
  <c r="KB37" i="1"/>
  <c r="KC37" i="1"/>
  <c r="KD37" i="1"/>
  <c r="KE37" i="1"/>
  <c r="KF37" i="1"/>
  <c r="KG37" i="1"/>
  <c r="KH37" i="1"/>
  <c r="KI37" i="1"/>
  <c r="KJ37" i="1"/>
  <c r="KK37" i="1"/>
  <c r="KL37" i="1"/>
  <c r="KM37" i="1"/>
  <c r="KN37" i="1"/>
  <c r="KO37" i="1"/>
  <c r="KP37" i="1"/>
  <c r="KQ37" i="1"/>
  <c r="KR37" i="1"/>
  <c r="KS37" i="1"/>
  <c r="KT37" i="1"/>
  <c r="KU37" i="1"/>
  <c r="KV37" i="1"/>
  <c r="KW37" i="1"/>
  <c r="KX37" i="1"/>
  <c r="KY37" i="1"/>
  <c r="KZ37" i="1"/>
  <c r="LA37" i="1"/>
  <c r="LB37" i="1"/>
  <c r="LC37" i="1"/>
  <c r="LD37" i="1"/>
  <c r="LE37" i="1"/>
  <c r="LF37" i="1"/>
  <c r="LG37" i="1"/>
  <c r="LH37" i="1"/>
  <c r="LI37" i="1"/>
  <c r="LJ37" i="1"/>
  <c r="LK37" i="1"/>
  <c r="LL37" i="1"/>
  <c r="LM37" i="1"/>
  <c r="LN37" i="1"/>
  <c r="LO37" i="1"/>
  <c r="LP37" i="1"/>
  <c r="LQ37" i="1"/>
  <c r="LR37" i="1"/>
  <c r="LS37" i="1"/>
  <c r="LT37" i="1"/>
  <c r="LU37" i="1"/>
  <c r="LV37" i="1"/>
  <c r="LW37" i="1"/>
  <c r="LX37" i="1"/>
  <c r="LY37" i="1"/>
  <c r="LZ37" i="1"/>
  <c r="MA37" i="1"/>
  <c r="MB37" i="1"/>
  <c r="MC37" i="1"/>
  <c r="MD37" i="1"/>
  <c r="ME37" i="1"/>
  <c r="MF37" i="1"/>
  <c r="MG37" i="1"/>
  <c r="MH37" i="1"/>
  <c r="MI37" i="1"/>
  <c r="MJ37" i="1"/>
  <c r="MK37" i="1"/>
  <c r="ML37" i="1"/>
  <c r="MM37" i="1"/>
  <c r="MN37" i="1"/>
  <c r="MO37" i="1"/>
  <c r="MP37" i="1"/>
  <c r="MQ37" i="1"/>
  <c r="MR37" i="1"/>
  <c r="JU38" i="1"/>
  <c r="JV38" i="1"/>
  <c r="JW38" i="1"/>
  <c r="JX38" i="1"/>
  <c r="JY38" i="1"/>
  <c r="JZ38" i="1"/>
  <c r="KA38" i="1"/>
  <c r="KB38" i="1"/>
  <c r="KC38" i="1"/>
  <c r="KD38" i="1"/>
  <c r="KE38" i="1"/>
  <c r="KF38" i="1"/>
  <c r="KG38" i="1"/>
  <c r="KH38" i="1"/>
  <c r="KI38" i="1"/>
  <c r="KJ38" i="1"/>
  <c r="KK38" i="1"/>
  <c r="KL38" i="1"/>
  <c r="KM38" i="1"/>
  <c r="KN38" i="1"/>
  <c r="KO38" i="1"/>
  <c r="KP38" i="1"/>
  <c r="KQ38" i="1"/>
  <c r="KR38" i="1"/>
  <c r="KS38" i="1"/>
  <c r="KT38" i="1"/>
  <c r="KU38" i="1"/>
  <c r="KV38" i="1"/>
  <c r="KW38" i="1"/>
  <c r="KX38" i="1"/>
  <c r="KY38" i="1"/>
  <c r="KZ38" i="1"/>
  <c r="LA38" i="1"/>
  <c r="LB38" i="1"/>
  <c r="LC38" i="1"/>
  <c r="LD38" i="1"/>
  <c r="LE38" i="1"/>
  <c r="LF38" i="1"/>
  <c r="LG38" i="1"/>
  <c r="LH38" i="1"/>
  <c r="LI38" i="1"/>
  <c r="LJ38" i="1"/>
  <c r="LK38" i="1"/>
  <c r="LL38" i="1"/>
  <c r="LM38" i="1"/>
  <c r="LN38" i="1"/>
  <c r="LO38" i="1"/>
  <c r="LP38" i="1"/>
  <c r="LQ38" i="1"/>
  <c r="LR38" i="1"/>
  <c r="LS38" i="1"/>
  <c r="LT38" i="1"/>
  <c r="LU38" i="1"/>
  <c r="LV38" i="1"/>
  <c r="LW38" i="1"/>
  <c r="LX38" i="1"/>
  <c r="LY38" i="1"/>
  <c r="LZ38" i="1"/>
  <c r="MA38" i="1"/>
  <c r="MB38" i="1"/>
  <c r="MC38" i="1"/>
  <c r="MD38" i="1"/>
  <c r="ME38" i="1"/>
  <c r="MF38" i="1"/>
  <c r="MG38" i="1"/>
  <c r="MH38" i="1"/>
  <c r="MI38" i="1"/>
  <c r="MJ38" i="1"/>
  <c r="MK38" i="1"/>
  <c r="ML38" i="1"/>
  <c r="MM38" i="1"/>
  <c r="MN38" i="1"/>
  <c r="MO38" i="1"/>
  <c r="MP38" i="1"/>
  <c r="MQ38" i="1"/>
  <c r="MR38" i="1"/>
  <c r="JU39" i="1"/>
  <c r="JV39" i="1"/>
  <c r="JW39" i="1"/>
  <c r="JX39" i="1"/>
  <c r="JY39" i="1"/>
  <c r="JZ39" i="1"/>
  <c r="KA39" i="1"/>
  <c r="KB39" i="1"/>
  <c r="KC39" i="1"/>
  <c r="KD39" i="1"/>
  <c r="KE39" i="1"/>
  <c r="KF39" i="1"/>
  <c r="KG39" i="1"/>
  <c r="KH39" i="1"/>
  <c r="KI39" i="1"/>
  <c r="KJ39" i="1"/>
  <c r="KK39" i="1"/>
  <c r="KL39" i="1"/>
  <c r="KM39" i="1"/>
  <c r="KN39" i="1"/>
  <c r="KO39" i="1"/>
  <c r="KP39" i="1"/>
  <c r="KQ39" i="1"/>
  <c r="KR39" i="1"/>
  <c r="KS39" i="1"/>
  <c r="KT39" i="1"/>
  <c r="KU39" i="1"/>
  <c r="KV39" i="1"/>
  <c r="KW39" i="1"/>
  <c r="KX39" i="1"/>
  <c r="KY39" i="1"/>
  <c r="KZ39" i="1"/>
  <c r="LA39" i="1"/>
  <c r="LB39" i="1"/>
  <c r="LC39" i="1"/>
  <c r="LD39" i="1"/>
  <c r="LE39" i="1"/>
  <c r="LF39" i="1"/>
  <c r="LG39" i="1"/>
  <c r="LH39" i="1"/>
  <c r="LI39" i="1"/>
  <c r="LJ39" i="1"/>
  <c r="LK39" i="1"/>
  <c r="LL39" i="1"/>
  <c r="LM39" i="1"/>
  <c r="LN39" i="1"/>
  <c r="LO39" i="1"/>
  <c r="LP39" i="1"/>
  <c r="LQ39" i="1"/>
  <c r="LR39" i="1"/>
  <c r="LS39" i="1"/>
  <c r="LT39" i="1"/>
  <c r="LU39" i="1"/>
  <c r="LV39" i="1"/>
  <c r="LW39" i="1"/>
  <c r="LX39" i="1"/>
  <c r="LY39" i="1"/>
  <c r="LZ39" i="1"/>
  <c r="MA39" i="1"/>
  <c r="MB39" i="1"/>
  <c r="MC39" i="1"/>
  <c r="MD39" i="1"/>
  <c r="ME39" i="1"/>
  <c r="MF39" i="1"/>
  <c r="MG39" i="1"/>
  <c r="MH39" i="1"/>
  <c r="MI39" i="1"/>
  <c r="MJ39" i="1"/>
  <c r="MK39" i="1"/>
  <c r="ML39" i="1"/>
  <c r="MM39" i="1"/>
  <c r="MN39" i="1"/>
  <c r="MO39" i="1"/>
  <c r="MP39" i="1"/>
  <c r="MQ39" i="1"/>
  <c r="MR39" i="1"/>
  <c r="JU40" i="1"/>
  <c r="JV40" i="1"/>
  <c r="JW40" i="1"/>
  <c r="JX40" i="1"/>
  <c r="JY40" i="1"/>
  <c r="JZ40" i="1"/>
  <c r="KA40" i="1"/>
  <c r="KB40" i="1"/>
  <c r="KC40" i="1"/>
  <c r="KD40" i="1"/>
  <c r="KE40" i="1"/>
  <c r="KF40" i="1"/>
  <c r="KG40" i="1"/>
  <c r="KH40" i="1"/>
  <c r="KI40" i="1"/>
  <c r="KJ40" i="1"/>
  <c r="KK40" i="1"/>
  <c r="KL40" i="1"/>
  <c r="KM40" i="1"/>
  <c r="KN40" i="1"/>
  <c r="KO40" i="1"/>
  <c r="KP40" i="1"/>
  <c r="KQ40" i="1"/>
  <c r="KR40" i="1"/>
  <c r="KS40" i="1"/>
  <c r="KT40" i="1"/>
  <c r="KU40" i="1"/>
  <c r="KV40" i="1"/>
  <c r="KW40" i="1"/>
  <c r="KX40" i="1"/>
  <c r="KY40" i="1"/>
  <c r="KZ40" i="1"/>
  <c r="LA40" i="1"/>
  <c r="LB40" i="1"/>
  <c r="LC40" i="1"/>
  <c r="LD40" i="1"/>
  <c r="LE40" i="1"/>
  <c r="LF40" i="1"/>
  <c r="LG40" i="1"/>
  <c r="LH40" i="1"/>
  <c r="LI40" i="1"/>
  <c r="LJ40" i="1"/>
  <c r="LK40" i="1"/>
  <c r="LL40" i="1"/>
  <c r="LM40" i="1"/>
  <c r="LN40" i="1"/>
  <c r="LO40" i="1"/>
  <c r="LP40" i="1"/>
  <c r="LQ40" i="1"/>
  <c r="LR40" i="1"/>
  <c r="LS40" i="1"/>
  <c r="LT40" i="1"/>
  <c r="LU40" i="1"/>
  <c r="LV40" i="1"/>
  <c r="LW40" i="1"/>
  <c r="LX40" i="1"/>
  <c r="LY40" i="1"/>
  <c r="LZ40" i="1"/>
  <c r="MA40" i="1"/>
  <c r="MB40" i="1"/>
  <c r="MC40" i="1"/>
  <c r="MD40" i="1"/>
  <c r="ME40" i="1"/>
  <c r="MF40" i="1"/>
  <c r="MG40" i="1"/>
  <c r="MH40" i="1"/>
  <c r="MI40" i="1"/>
  <c r="MJ40" i="1"/>
  <c r="MK40" i="1"/>
  <c r="ML40" i="1"/>
  <c r="MM40" i="1"/>
  <c r="MN40" i="1"/>
  <c r="MO40" i="1"/>
  <c r="MP40" i="1"/>
  <c r="MQ40" i="1"/>
  <c r="MR40" i="1"/>
  <c r="JU41" i="1"/>
  <c r="JV41" i="1"/>
  <c r="JW41" i="1"/>
  <c r="JX41" i="1"/>
  <c r="JY41" i="1"/>
  <c r="JZ41" i="1"/>
  <c r="KA41" i="1"/>
  <c r="KB41" i="1"/>
  <c r="KC41" i="1"/>
  <c r="KD41" i="1"/>
  <c r="KE41" i="1"/>
  <c r="KF41" i="1"/>
  <c r="KG41" i="1"/>
  <c r="KH41" i="1"/>
  <c r="KI41" i="1"/>
  <c r="KJ41" i="1"/>
  <c r="KK41" i="1"/>
  <c r="KL41" i="1"/>
  <c r="KM41" i="1"/>
  <c r="KN41" i="1"/>
  <c r="KO41" i="1"/>
  <c r="KP41" i="1"/>
  <c r="KQ41" i="1"/>
  <c r="KR41" i="1"/>
  <c r="KS41" i="1"/>
  <c r="KT41" i="1"/>
  <c r="KU41" i="1"/>
  <c r="KV41" i="1"/>
  <c r="KW41" i="1"/>
  <c r="KX41" i="1"/>
  <c r="KY41" i="1"/>
  <c r="KZ41" i="1"/>
  <c r="LA41" i="1"/>
  <c r="LB41" i="1"/>
  <c r="LC41" i="1"/>
  <c r="LD41" i="1"/>
  <c r="LE41" i="1"/>
  <c r="LF41" i="1"/>
  <c r="LG41" i="1"/>
  <c r="LH41" i="1"/>
  <c r="LI41" i="1"/>
  <c r="LJ41" i="1"/>
  <c r="LK41" i="1"/>
  <c r="LL41" i="1"/>
  <c r="LM41" i="1"/>
  <c r="LN41" i="1"/>
  <c r="LO41" i="1"/>
  <c r="LP41" i="1"/>
  <c r="LQ41" i="1"/>
  <c r="LR41" i="1"/>
  <c r="LS41" i="1"/>
  <c r="LT41" i="1"/>
  <c r="LU41" i="1"/>
  <c r="LV41" i="1"/>
  <c r="LW41" i="1"/>
  <c r="LX41" i="1"/>
  <c r="LY41" i="1"/>
  <c r="LZ41" i="1"/>
  <c r="MA41" i="1"/>
  <c r="MB41" i="1"/>
  <c r="MC41" i="1"/>
  <c r="MD41" i="1"/>
  <c r="ME41" i="1"/>
  <c r="MF41" i="1"/>
  <c r="MG41" i="1"/>
  <c r="MH41" i="1"/>
  <c r="MI41" i="1"/>
  <c r="MJ41" i="1"/>
  <c r="MK41" i="1"/>
  <c r="ML41" i="1"/>
  <c r="MM41" i="1"/>
  <c r="MN41" i="1"/>
  <c r="MO41" i="1"/>
  <c r="MP41" i="1"/>
  <c r="MQ41" i="1"/>
  <c r="MR41" i="1"/>
  <c r="JU42" i="1"/>
  <c r="JV42" i="1"/>
  <c r="JW42" i="1"/>
  <c r="JX42" i="1"/>
  <c r="JY42" i="1"/>
  <c r="JZ42" i="1"/>
  <c r="KA42" i="1"/>
  <c r="KB42" i="1"/>
  <c r="KC42" i="1"/>
  <c r="KD42" i="1"/>
  <c r="KE42" i="1"/>
  <c r="KF42" i="1"/>
  <c r="KG42" i="1"/>
  <c r="KH42" i="1"/>
  <c r="KI42" i="1"/>
  <c r="KJ42" i="1"/>
  <c r="KK42" i="1"/>
  <c r="KL42" i="1"/>
  <c r="KM42" i="1"/>
  <c r="KN42" i="1"/>
  <c r="KO42" i="1"/>
  <c r="KP42" i="1"/>
  <c r="KQ42" i="1"/>
  <c r="KR42" i="1"/>
  <c r="KS42" i="1"/>
  <c r="KT42" i="1"/>
  <c r="KU42" i="1"/>
  <c r="KV42" i="1"/>
  <c r="KW42" i="1"/>
  <c r="KX42" i="1"/>
  <c r="KY42" i="1"/>
  <c r="KZ42" i="1"/>
  <c r="LA42" i="1"/>
  <c r="LB42" i="1"/>
  <c r="LC42" i="1"/>
  <c r="LD42" i="1"/>
  <c r="LE42" i="1"/>
  <c r="LF42" i="1"/>
  <c r="LG42" i="1"/>
  <c r="LH42" i="1"/>
  <c r="LI42" i="1"/>
  <c r="LJ42" i="1"/>
  <c r="LK42" i="1"/>
  <c r="LL42" i="1"/>
  <c r="LM42" i="1"/>
  <c r="LN42" i="1"/>
  <c r="LO42" i="1"/>
  <c r="LP42" i="1"/>
  <c r="LQ42" i="1"/>
  <c r="LR42" i="1"/>
  <c r="LS42" i="1"/>
  <c r="LT42" i="1"/>
  <c r="LU42" i="1"/>
  <c r="LV42" i="1"/>
  <c r="LW42" i="1"/>
  <c r="LX42" i="1"/>
  <c r="LY42" i="1"/>
  <c r="LZ42" i="1"/>
  <c r="MA42" i="1"/>
  <c r="MB42" i="1"/>
  <c r="MC42" i="1"/>
  <c r="MD42" i="1"/>
  <c r="ME42" i="1"/>
  <c r="MF42" i="1"/>
  <c r="MG42" i="1"/>
  <c r="MH42" i="1"/>
  <c r="MI42" i="1"/>
  <c r="MJ42" i="1"/>
  <c r="MK42" i="1"/>
  <c r="ML42" i="1"/>
  <c r="MM42" i="1"/>
  <c r="MN42" i="1"/>
  <c r="MO42" i="1"/>
  <c r="MP42" i="1"/>
  <c r="MQ42" i="1"/>
  <c r="MR42" i="1"/>
  <c r="JU43" i="1"/>
  <c r="JV43" i="1"/>
  <c r="JW43" i="1"/>
  <c r="JX43" i="1"/>
  <c r="JY43" i="1"/>
  <c r="JZ43" i="1"/>
  <c r="KA43" i="1"/>
  <c r="KB43" i="1"/>
  <c r="KC43" i="1"/>
  <c r="KD43" i="1"/>
  <c r="KE43" i="1"/>
  <c r="KF43" i="1"/>
  <c r="KG43" i="1"/>
  <c r="KH43" i="1"/>
  <c r="KI43" i="1"/>
  <c r="KJ43" i="1"/>
  <c r="KK43" i="1"/>
  <c r="KL43" i="1"/>
  <c r="KM43" i="1"/>
  <c r="KN43" i="1"/>
  <c r="KO43" i="1"/>
  <c r="KP43" i="1"/>
  <c r="KQ43" i="1"/>
  <c r="KR43" i="1"/>
  <c r="KS43" i="1"/>
  <c r="KT43" i="1"/>
  <c r="KU43" i="1"/>
  <c r="KV43" i="1"/>
  <c r="KW43" i="1"/>
  <c r="KX43" i="1"/>
  <c r="KY43" i="1"/>
  <c r="KZ43" i="1"/>
  <c r="LA43" i="1"/>
  <c r="LB43" i="1"/>
  <c r="LC43" i="1"/>
  <c r="LD43" i="1"/>
  <c r="LE43" i="1"/>
  <c r="LF43" i="1"/>
  <c r="LG43" i="1"/>
  <c r="LH43" i="1"/>
  <c r="LI43" i="1"/>
  <c r="LJ43" i="1"/>
  <c r="LK43" i="1"/>
  <c r="LL43" i="1"/>
  <c r="LM43" i="1"/>
  <c r="LN43" i="1"/>
  <c r="LO43" i="1"/>
  <c r="LP43" i="1"/>
  <c r="LQ43" i="1"/>
  <c r="LR43" i="1"/>
  <c r="LS43" i="1"/>
  <c r="LT43" i="1"/>
  <c r="LU43" i="1"/>
  <c r="LV43" i="1"/>
  <c r="LW43" i="1"/>
  <c r="LX43" i="1"/>
  <c r="LY43" i="1"/>
  <c r="LZ43" i="1"/>
  <c r="MA43" i="1"/>
  <c r="MB43" i="1"/>
  <c r="MC43" i="1"/>
  <c r="MD43" i="1"/>
  <c r="ME43" i="1"/>
  <c r="MF43" i="1"/>
  <c r="MG43" i="1"/>
  <c r="MH43" i="1"/>
  <c r="MI43" i="1"/>
  <c r="MJ43" i="1"/>
  <c r="MK43" i="1"/>
  <c r="ML43" i="1"/>
  <c r="MM43" i="1"/>
  <c r="MN43" i="1"/>
  <c r="MO43" i="1"/>
  <c r="MP43" i="1"/>
  <c r="MQ43" i="1"/>
  <c r="MR43" i="1"/>
  <c r="JU44" i="1"/>
  <c r="JV44" i="1"/>
  <c r="JW44" i="1"/>
  <c r="JX44" i="1"/>
  <c r="JY44" i="1"/>
  <c r="JZ44" i="1"/>
  <c r="KA44" i="1"/>
  <c r="KB44" i="1"/>
  <c r="KC44" i="1"/>
  <c r="KD44" i="1"/>
  <c r="KE44" i="1"/>
  <c r="KF44" i="1"/>
  <c r="KG44" i="1"/>
  <c r="KH44" i="1"/>
  <c r="KI44" i="1"/>
  <c r="KJ44" i="1"/>
  <c r="KK44" i="1"/>
  <c r="KL44" i="1"/>
  <c r="KM44" i="1"/>
  <c r="KN44" i="1"/>
  <c r="KO44" i="1"/>
  <c r="KP44" i="1"/>
  <c r="KQ44" i="1"/>
  <c r="KR44" i="1"/>
  <c r="KS44" i="1"/>
  <c r="KT44" i="1"/>
  <c r="KU44" i="1"/>
  <c r="KV44" i="1"/>
  <c r="KW44" i="1"/>
  <c r="KX44" i="1"/>
  <c r="KY44" i="1"/>
  <c r="KZ44" i="1"/>
  <c r="LA44" i="1"/>
  <c r="LB44" i="1"/>
  <c r="LC44" i="1"/>
  <c r="LD44" i="1"/>
  <c r="LE44" i="1"/>
  <c r="LF44" i="1"/>
  <c r="LG44" i="1"/>
  <c r="LH44" i="1"/>
  <c r="LI44" i="1"/>
  <c r="LJ44" i="1"/>
  <c r="LK44" i="1"/>
  <c r="LL44" i="1"/>
  <c r="LM44" i="1"/>
  <c r="LN44" i="1"/>
  <c r="LO44" i="1"/>
  <c r="LP44" i="1"/>
  <c r="LQ44" i="1"/>
  <c r="LR44" i="1"/>
  <c r="LS44" i="1"/>
  <c r="LT44" i="1"/>
  <c r="LU44" i="1"/>
  <c r="LV44" i="1"/>
  <c r="LW44" i="1"/>
  <c r="LX44" i="1"/>
  <c r="LY44" i="1"/>
  <c r="LZ44" i="1"/>
  <c r="MA44" i="1"/>
  <c r="MB44" i="1"/>
  <c r="MC44" i="1"/>
  <c r="MD44" i="1"/>
  <c r="ME44" i="1"/>
  <c r="MF44" i="1"/>
  <c r="MG44" i="1"/>
  <c r="MH44" i="1"/>
  <c r="MI44" i="1"/>
  <c r="MJ44" i="1"/>
  <c r="MK44" i="1"/>
  <c r="ML44" i="1"/>
  <c r="MM44" i="1"/>
  <c r="MN44" i="1"/>
  <c r="MO44" i="1"/>
  <c r="MP44" i="1"/>
  <c r="MQ44" i="1"/>
  <c r="MR44" i="1"/>
  <c r="JU45" i="1"/>
  <c r="JV45" i="1"/>
  <c r="JW45" i="1"/>
  <c r="JX45" i="1"/>
  <c r="JY45" i="1"/>
  <c r="JZ45" i="1"/>
  <c r="KA45" i="1"/>
  <c r="KB45" i="1"/>
  <c r="KC45" i="1"/>
  <c r="KD45" i="1"/>
  <c r="KE45" i="1"/>
  <c r="KF45" i="1"/>
  <c r="KG45" i="1"/>
  <c r="KH45" i="1"/>
  <c r="KI45" i="1"/>
  <c r="KJ45" i="1"/>
  <c r="KK45" i="1"/>
  <c r="KL45" i="1"/>
  <c r="KM45" i="1"/>
  <c r="KN45" i="1"/>
  <c r="KO45" i="1"/>
  <c r="KP45" i="1"/>
  <c r="KQ45" i="1"/>
  <c r="KR45" i="1"/>
  <c r="KS45" i="1"/>
  <c r="KT45" i="1"/>
  <c r="KU45" i="1"/>
  <c r="KV45" i="1"/>
  <c r="KW45" i="1"/>
  <c r="KX45" i="1"/>
  <c r="KY45" i="1"/>
  <c r="KZ45" i="1"/>
  <c r="LA45" i="1"/>
  <c r="LB45" i="1"/>
  <c r="LC45" i="1"/>
  <c r="LD45" i="1"/>
  <c r="LE45" i="1"/>
  <c r="LF45" i="1"/>
  <c r="LG45" i="1"/>
  <c r="LH45" i="1"/>
  <c r="LI45" i="1"/>
  <c r="LJ45" i="1"/>
  <c r="LK45" i="1"/>
  <c r="LL45" i="1"/>
  <c r="LM45" i="1"/>
  <c r="LN45" i="1"/>
  <c r="LO45" i="1"/>
  <c r="LP45" i="1"/>
  <c r="LQ45" i="1"/>
  <c r="LR45" i="1"/>
  <c r="LS45" i="1"/>
  <c r="LT45" i="1"/>
  <c r="LU45" i="1"/>
  <c r="LV45" i="1"/>
  <c r="LW45" i="1"/>
  <c r="LX45" i="1"/>
  <c r="LY45" i="1"/>
  <c r="LZ45" i="1"/>
  <c r="MA45" i="1"/>
  <c r="MB45" i="1"/>
  <c r="MC45" i="1"/>
  <c r="MD45" i="1"/>
  <c r="ME45" i="1"/>
  <c r="MF45" i="1"/>
  <c r="MG45" i="1"/>
  <c r="MH45" i="1"/>
  <c r="MI45" i="1"/>
  <c r="MJ45" i="1"/>
  <c r="MK45" i="1"/>
  <c r="ML45" i="1"/>
  <c r="MM45" i="1"/>
  <c r="MN45" i="1"/>
  <c r="MO45" i="1"/>
  <c r="MP45" i="1"/>
  <c r="MQ45" i="1"/>
  <c r="MR45" i="1"/>
  <c r="JU46" i="1"/>
  <c r="JV46" i="1"/>
  <c r="JW46" i="1"/>
  <c r="JX46" i="1"/>
  <c r="JY46" i="1"/>
  <c r="JZ46" i="1"/>
  <c r="KA46" i="1"/>
  <c r="KB46" i="1"/>
  <c r="KC46" i="1"/>
  <c r="KD46" i="1"/>
  <c r="KE46" i="1"/>
  <c r="KF46" i="1"/>
  <c r="KG46" i="1"/>
  <c r="KH46" i="1"/>
  <c r="KI46" i="1"/>
  <c r="KJ46" i="1"/>
  <c r="KK46" i="1"/>
  <c r="KL46" i="1"/>
  <c r="KM46" i="1"/>
  <c r="KN46" i="1"/>
  <c r="KO46" i="1"/>
  <c r="KP46" i="1"/>
  <c r="KQ46" i="1"/>
  <c r="KR46" i="1"/>
  <c r="KS46" i="1"/>
  <c r="KT46" i="1"/>
  <c r="KU46" i="1"/>
  <c r="KV46" i="1"/>
  <c r="KW46" i="1"/>
  <c r="KX46" i="1"/>
  <c r="KY46" i="1"/>
  <c r="KZ46" i="1"/>
  <c r="LA46" i="1"/>
  <c r="LB46" i="1"/>
  <c r="LC46" i="1"/>
  <c r="LD46" i="1"/>
  <c r="LE46" i="1"/>
  <c r="LF46" i="1"/>
  <c r="LG46" i="1"/>
  <c r="LH46" i="1"/>
  <c r="LI46" i="1"/>
  <c r="LJ46" i="1"/>
  <c r="LK46" i="1"/>
  <c r="LL46" i="1"/>
  <c r="LM46" i="1"/>
  <c r="LN46" i="1"/>
  <c r="LO46" i="1"/>
  <c r="LP46" i="1"/>
  <c r="LQ46" i="1"/>
  <c r="LR46" i="1"/>
  <c r="LS46" i="1"/>
  <c r="LT46" i="1"/>
  <c r="LU46" i="1"/>
  <c r="LV46" i="1"/>
  <c r="LW46" i="1"/>
  <c r="LX46" i="1"/>
  <c r="LY46" i="1"/>
  <c r="LZ46" i="1"/>
  <c r="MA46" i="1"/>
  <c r="MB46" i="1"/>
  <c r="MC46" i="1"/>
  <c r="MD46" i="1"/>
  <c r="ME46" i="1"/>
  <c r="MF46" i="1"/>
  <c r="MG46" i="1"/>
  <c r="MH46" i="1"/>
  <c r="MI46" i="1"/>
  <c r="MJ46" i="1"/>
  <c r="MK46" i="1"/>
  <c r="ML46" i="1"/>
  <c r="MM46" i="1"/>
  <c r="MN46" i="1"/>
  <c r="MO46" i="1"/>
  <c r="MP46" i="1"/>
  <c r="MQ46" i="1"/>
  <c r="MR46" i="1"/>
  <c r="JU47" i="1"/>
  <c r="JV47" i="1"/>
  <c r="JW47" i="1"/>
  <c r="JX47" i="1"/>
  <c r="JY47" i="1"/>
  <c r="JZ47" i="1"/>
  <c r="KA47" i="1"/>
  <c r="KB47" i="1"/>
  <c r="KC47" i="1"/>
  <c r="KD47" i="1"/>
  <c r="KE47" i="1"/>
  <c r="KF47" i="1"/>
  <c r="KG47" i="1"/>
  <c r="KH47" i="1"/>
  <c r="KI47" i="1"/>
  <c r="KJ47" i="1"/>
  <c r="KK47" i="1"/>
  <c r="KL47" i="1"/>
  <c r="KM47" i="1"/>
  <c r="KN47" i="1"/>
  <c r="KO47" i="1"/>
  <c r="KP47" i="1"/>
  <c r="KQ47" i="1"/>
  <c r="KR47" i="1"/>
  <c r="KS47" i="1"/>
  <c r="KT47" i="1"/>
  <c r="KU47" i="1"/>
  <c r="KV47" i="1"/>
  <c r="KW47" i="1"/>
  <c r="KX47" i="1"/>
  <c r="KY47" i="1"/>
  <c r="KZ47" i="1"/>
  <c r="LA47" i="1"/>
  <c r="LB47" i="1"/>
  <c r="LC47" i="1"/>
  <c r="LD47" i="1"/>
  <c r="LE47" i="1"/>
  <c r="LF47" i="1"/>
  <c r="LG47" i="1"/>
  <c r="LH47" i="1"/>
  <c r="LI47" i="1"/>
  <c r="LJ47" i="1"/>
  <c r="LK47" i="1"/>
  <c r="LL47" i="1"/>
  <c r="LM47" i="1"/>
  <c r="LN47" i="1"/>
  <c r="LO47" i="1"/>
  <c r="LP47" i="1"/>
  <c r="LQ47" i="1"/>
  <c r="LR47" i="1"/>
  <c r="LS47" i="1"/>
  <c r="LT47" i="1"/>
  <c r="LU47" i="1"/>
  <c r="LV47" i="1"/>
  <c r="LW47" i="1"/>
  <c r="LX47" i="1"/>
  <c r="LY47" i="1"/>
  <c r="LZ47" i="1"/>
  <c r="MA47" i="1"/>
  <c r="MB47" i="1"/>
  <c r="MC47" i="1"/>
  <c r="MD47" i="1"/>
  <c r="ME47" i="1"/>
  <c r="MF47" i="1"/>
  <c r="MG47" i="1"/>
  <c r="MH47" i="1"/>
  <c r="MI47" i="1"/>
  <c r="MJ47" i="1"/>
  <c r="MK47" i="1"/>
  <c r="ML47" i="1"/>
  <c r="MM47" i="1"/>
  <c r="MN47" i="1"/>
  <c r="MO47" i="1"/>
  <c r="MP47" i="1"/>
  <c r="MQ47" i="1"/>
  <c r="MR47" i="1"/>
  <c r="JU48" i="1"/>
  <c r="JV48" i="1"/>
  <c r="JW48" i="1"/>
  <c r="JX48" i="1"/>
  <c r="JY48" i="1"/>
  <c r="JZ48" i="1"/>
  <c r="KA48" i="1"/>
  <c r="KB48" i="1"/>
  <c r="KC48" i="1"/>
  <c r="KD48" i="1"/>
  <c r="KE48" i="1"/>
  <c r="KF48" i="1"/>
  <c r="KG48" i="1"/>
  <c r="KH48" i="1"/>
  <c r="KI48" i="1"/>
  <c r="KJ48" i="1"/>
  <c r="KK48" i="1"/>
  <c r="KL48" i="1"/>
  <c r="KM48" i="1"/>
  <c r="KN48" i="1"/>
  <c r="KO48" i="1"/>
  <c r="KP48" i="1"/>
  <c r="KQ48" i="1"/>
  <c r="KR48" i="1"/>
  <c r="KS48" i="1"/>
  <c r="KT48" i="1"/>
  <c r="KU48" i="1"/>
  <c r="KV48" i="1"/>
  <c r="KW48" i="1"/>
  <c r="KX48" i="1"/>
  <c r="KY48" i="1"/>
  <c r="KZ48" i="1"/>
  <c r="LA48" i="1"/>
  <c r="LB48" i="1"/>
  <c r="LC48" i="1"/>
  <c r="LD48" i="1"/>
  <c r="LE48" i="1"/>
  <c r="LF48" i="1"/>
  <c r="LG48" i="1"/>
  <c r="LH48" i="1"/>
  <c r="LI48" i="1"/>
  <c r="LJ48" i="1"/>
  <c r="LK48" i="1"/>
  <c r="LL48" i="1"/>
  <c r="LM48" i="1"/>
  <c r="LN48" i="1"/>
  <c r="LO48" i="1"/>
  <c r="LP48" i="1"/>
  <c r="LQ48" i="1"/>
  <c r="LR48" i="1"/>
  <c r="LS48" i="1"/>
  <c r="LT48" i="1"/>
  <c r="LU48" i="1"/>
  <c r="LV48" i="1"/>
  <c r="LW48" i="1"/>
  <c r="LX48" i="1"/>
  <c r="LY48" i="1"/>
  <c r="LZ48" i="1"/>
  <c r="MA48" i="1"/>
  <c r="MB48" i="1"/>
  <c r="MC48" i="1"/>
  <c r="MD48" i="1"/>
  <c r="ME48" i="1"/>
  <c r="MF48" i="1"/>
  <c r="MG48" i="1"/>
  <c r="MH48" i="1"/>
  <c r="MI48" i="1"/>
  <c r="MJ48" i="1"/>
  <c r="MK48" i="1"/>
  <c r="ML48" i="1"/>
  <c r="MM48" i="1"/>
  <c r="MN48" i="1"/>
  <c r="MO48" i="1"/>
  <c r="MP48" i="1"/>
  <c r="MQ48" i="1"/>
  <c r="MR48" i="1"/>
  <c r="JU49" i="1"/>
  <c r="JV49" i="1"/>
  <c r="JW49" i="1"/>
  <c r="JX49" i="1"/>
  <c r="JY49" i="1"/>
  <c r="JZ49" i="1"/>
  <c r="KA49" i="1"/>
  <c r="KB49" i="1"/>
  <c r="KC49" i="1"/>
  <c r="KD49" i="1"/>
  <c r="KE49" i="1"/>
  <c r="KF49" i="1"/>
  <c r="KG49" i="1"/>
  <c r="KH49" i="1"/>
  <c r="KI49" i="1"/>
  <c r="KJ49" i="1"/>
  <c r="KK49" i="1"/>
  <c r="KL49" i="1"/>
  <c r="KM49" i="1"/>
  <c r="KN49" i="1"/>
  <c r="KO49" i="1"/>
  <c r="KP49" i="1"/>
  <c r="KQ49" i="1"/>
  <c r="KR49" i="1"/>
  <c r="KS49" i="1"/>
  <c r="KT49" i="1"/>
  <c r="KU49" i="1"/>
  <c r="KV49" i="1"/>
  <c r="KW49" i="1"/>
  <c r="KX49" i="1"/>
  <c r="KY49" i="1"/>
  <c r="KZ49" i="1"/>
  <c r="LA49" i="1"/>
  <c r="LB49" i="1"/>
  <c r="LC49" i="1"/>
  <c r="LD49" i="1"/>
  <c r="LE49" i="1"/>
  <c r="LF49" i="1"/>
  <c r="LG49" i="1"/>
  <c r="LH49" i="1"/>
  <c r="LI49" i="1"/>
  <c r="LJ49" i="1"/>
  <c r="LK49" i="1"/>
  <c r="LL49" i="1"/>
  <c r="LM49" i="1"/>
  <c r="LN49" i="1"/>
  <c r="LO49" i="1"/>
  <c r="LP49" i="1"/>
  <c r="LQ49" i="1"/>
  <c r="LR49" i="1"/>
  <c r="LS49" i="1"/>
  <c r="LT49" i="1"/>
  <c r="LU49" i="1"/>
  <c r="LV49" i="1"/>
  <c r="LW49" i="1"/>
  <c r="LX49" i="1"/>
  <c r="LY49" i="1"/>
  <c r="LZ49" i="1"/>
  <c r="MA49" i="1"/>
  <c r="MB49" i="1"/>
  <c r="MC49" i="1"/>
  <c r="MD49" i="1"/>
  <c r="ME49" i="1"/>
  <c r="MF49" i="1"/>
  <c r="MG49" i="1"/>
  <c r="MH49" i="1"/>
  <c r="MI49" i="1"/>
  <c r="MJ49" i="1"/>
  <c r="MK49" i="1"/>
  <c r="ML49" i="1"/>
  <c r="MM49" i="1"/>
  <c r="MN49" i="1"/>
  <c r="MO49" i="1"/>
  <c r="MP49" i="1"/>
  <c r="MQ49" i="1"/>
  <c r="MR49" i="1"/>
  <c r="JU50" i="1"/>
  <c r="JV50" i="1"/>
  <c r="JW50" i="1"/>
  <c r="JX50" i="1"/>
  <c r="JY50" i="1"/>
  <c r="JZ50" i="1"/>
  <c r="KA50" i="1"/>
  <c r="KB50" i="1"/>
  <c r="KC50" i="1"/>
  <c r="KD50" i="1"/>
  <c r="KE50" i="1"/>
  <c r="KF50" i="1"/>
  <c r="KG50" i="1"/>
  <c r="KH50" i="1"/>
  <c r="KI50" i="1"/>
  <c r="KJ50" i="1"/>
  <c r="KK50" i="1"/>
  <c r="KL50" i="1"/>
  <c r="KM50" i="1"/>
  <c r="KN50" i="1"/>
  <c r="KO50" i="1"/>
  <c r="KP50" i="1"/>
  <c r="KQ50" i="1"/>
  <c r="KR50" i="1"/>
  <c r="KS50" i="1"/>
  <c r="KT50" i="1"/>
  <c r="KU50" i="1"/>
  <c r="KV50" i="1"/>
  <c r="KW50" i="1"/>
  <c r="KX50" i="1"/>
  <c r="KY50" i="1"/>
  <c r="KZ50" i="1"/>
  <c r="LA50" i="1"/>
  <c r="LB50" i="1"/>
  <c r="LC50" i="1"/>
  <c r="LD50" i="1"/>
  <c r="LE50" i="1"/>
  <c r="LF50" i="1"/>
  <c r="LG50" i="1"/>
  <c r="LH50" i="1"/>
  <c r="LI50" i="1"/>
  <c r="LJ50" i="1"/>
  <c r="LK50" i="1"/>
  <c r="LL50" i="1"/>
  <c r="LM50" i="1"/>
  <c r="LN50" i="1"/>
  <c r="LO50" i="1"/>
  <c r="LP50" i="1"/>
  <c r="LQ50" i="1"/>
  <c r="LR50" i="1"/>
  <c r="LS50" i="1"/>
  <c r="LT50" i="1"/>
  <c r="LU50" i="1"/>
  <c r="LV50" i="1"/>
  <c r="LW50" i="1"/>
  <c r="LX50" i="1"/>
  <c r="LY50" i="1"/>
  <c r="LZ50" i="1"/>
  <c r="MA50" i="1"/>
  <c r="MB50" i="1"/>
  <c r="MC50" i="1"/>
  <c r="MD50" i="1"/>
  <c r="ME50" i="1"/>
  <c r="MF50" i="1"/>
  <c r="MG50" i="1"/>
  <c r="MH50" i="1"/>
  <c r="MI50" i="1"/>
  <c r="MJ50" i="1"/>
  <c r="MK50" i="1"/>
  <c r="ML50" i="1"/>
  <c r="MM50" i="1"/>
  <c r="MN50" i="1"/>
  <c r="MO50" i="1"/>
  <c r="MP50" i="1"/>
  <c r="MQ50" i="1"/>
  <c r="MR50" i="1"/>
  <c r="JU51" i="1"/>
  <c r="JV51" i="1"/>
  <c r="JW51" i="1"/>
  <c r="JX51" i="1"/>
  <c r="JY51" i="1"/>
  <c r="JZ51" i="1"/>
  <c r="KA51" i="1"/>
  <c r="KB51" i="1"/>
  <c r="KC51" i="1"/>
  <c r="KD51" i="1"/>
  <c r="KE51" i="1"/>
  <c r="KF51" i="1"/>
  <c r="KG51" i="1"/>
  <c r="KH51" i="1"/>
  <c r="KI51" i="1"/>
  <c r="KJ51" i="1"/>
  <c r="KK51" i="1"/>
  <c r="KL51" i="1"/>
  <c r="KM51" i="1"/>
  <c r="KN51" i="1"/>
  <c r="KO51" i="1"/>
  <c r="KP51" i="1"/>
  <c r="KQ51" i="1"/>
  <c r="KR51" i="1"/>
  <c r="KS51" i="1"/>
  <c r="KT51" i="1"/>
  <c r="KU51" i="1"/>
  <c r="KV51" i="1"/>
  <c r="KW51" i="1"/>
  <c r="KX51" i="1"/>
  <c r="KY51" i="1"/>
  <c r="KZ51" i="1"/>
  <c r="LA51" i="1"/>
  <c r="LB51" i="1"/>
  <c r="LC51" i="1"/>
  <c r="LD51" i="1"/>
  <c r="LE51" i="1"/>
  <c r="LF51" i="1"/>
  <c r="LG51" i="1"/>
  <c r="LH51" i="1"/>
  <c r="LI51" i="1"/>
  <c r="LJ51" i="1"/>
  <c r="LK51" i="1"/>
  <c r="LL51" i="1"/>
  <c r="LM51" i="1"/>
  <c r="LN51" i="1"/>
  <c r="LO51" i="1"/>
  <c r="LP51" i="1"/>
  <c r="LQ51" i="1"/>
  <c r="LR51" i="1"/>
  <c r="LS51" i="1"/>
  <c r="LT51" i="1"/>
  <c r="LU51" i="1"/>
  <c r="LV51" i="1"/>
  <c r="LW51" i="1"/>
  <c r="LX51" i="1"/>
  <c r="LY51" i="1"/>
  <c r="LZ51" i="1"/>
  <c r="MA51" i="1"/>
  <c r="MB51" i="1"/>
  <c r="MC51" i="1"/>
  <c r="MD51" i="1"/>
  <c r="ME51" i="1"/>
  <c r="MF51" i="1"/>
  <c r="MG51" i="1"/>
  <c r="MH51" i="1"/>
  <c r="MI51" i="1"/>
  <c r="MJ51" i="1"/>
  <c r="MK51" i="1"/>
  <c r="ML51" i="1"/>
  <c r="MM51" i="1"/>
  <c r="MN51" i="1"/>
  <c r="MO51" i="1"/>
  <c r="MP51" i="1"/>
  <c r="MQ51" i="1"/>
  <c r="MR51" i="1"/>
  <c r="JU52" i="1"/>
  <c r="JV52" i="1"/>
  <c r="JW52" i="1"/>
  <c r="JX52" i="1"/>
  <c r="JY52" i="1"/>
  <c r="JZ52" i="1"/>
  <c r="KA52" i="1"/>
  <c r="KB52" i="1"/>
  <c r="KC52" i="1"/>
  <c r="KD52" i="1"/>
  <c r="KE52" i="1"/>
  <c r="KF52" i="1"/>
  <c r="KG52" i="1"/>
  <c r="KH52" i="1"/>
  <c r="KI52" i="1"/>
  <c r="KJ52" i="1"/>
  <c r="KK52" i="1"/>
  <c r="KL52" i="1"/>
  <c r="KM52" i="1"/>
  <c r="KN52" i="1"/>
  <c r="KO52" i="1"/>
  <c r="KP52" i="1"/>
  <c r="KQ52" i="1"/>
  <c r="KR52" i="1"/>
  <c r="KS52" i="1"/>
  <c r="KT52" i="1"/>
  <c r="KU52" i="1"/>
  <c r="KV52" i="1"/>
  <c r="KW52" i="1"/>
  <c r="KX52" i="1"/>
  <c r="KY52" i="1"/>
  <c r="KZ52" i="1"/>
  <c r="LA52" i="1"/>
  <c r="LB52" i="1"/>
  <c r="LC52" i="1"/>
  <c r="LD52" i="1"/>
  <c r="LE52" i="1"/>
  <c r="LF52" i="1"/>
  <c r="LG52" i="1"/>
  <c r="LH52" i="1"/>
  <c r="LI52" i="1"/>
  <c r="LJ52" i="1"/>
  <c r="LK52" i="1"/>
  <c r="LL52" i="1"/>
  <c r="LM52" i="1"/>
  <c r="LN52" i="1"/>
  <c r="LO52" i="1"/>
  <c r="LP52" i="1"/>
  <c r="LQ52" i="1"/>
  <c r="LR52" i="1"/>
  <c r="LS52" i="1"/>
  <c r="LT52" i="1"/>
  <c r="LU52" i="1"/>
  <c r="LV52" i="1"/>
  <c r="LW52" i="1"/>
  <c r="LX52" i="1"/>
  <c r="LY52" i="1"/>
  <c r="LZ52" i="1"/>
  <c r="MA52" i="1"/>
  <c r="MB52" i="1"/>
  <c r="MC52" i="1"/>
  <c r="MD52" i="1"/>
  <c r="ME52" i="1"/>
  <c r="MF52" i="1"/>
  <c r="MG52" i="1"/>
  <c r="MH52" i="1"/>
  <c r="MI52" i="1"/>
  <c r="MJ52" i="1"/>
  <c r="MK52" i="1"/>
  <c r="ML52" i="1"/>
  <c r="MM52" i="1"/>
  <c r="MN52" i="1"/>
  <c r="MO52" i="1"/>
  <c r="MP52" i="1"/>
  <c r="MQ52" i="1"/>
  <c r="MR52" i="1"/>
  <c r="JU53" i="1"/>
  <c r="JV53" i="1"/>
  <c r="JW53" i="1"/>
  <c r="JX53" i="1"/>
  <c r="JY53" i="1"/>
  <c r="JZ53" i="1"/>
  <c r="KA53" i="1"/>
  <c r="KB53" i="1"/>
  <c r="KC53" i="1"/>
  <c r="KD53" i="1"/>
  <c r="KE53" i="1"/>
  <c r="KF53" i="1"/>
  <c r="KG53" i="1"/>
  <c r="KH53" i="1"/>
  <c r="KI53" i="1"/>
  <c r="KJ53" i="1"/>
  <c r="KK53" i="1"/>
  <c r="KL53" i="1"/>
  <c r="KM53" i="1"/>
  <c r="KN53" i="1"/>
  <c r="KO53" i="1"/>
  <c r="KP53" i="1"/>
  <c r="KQ53" i="1"/>
  <c r="KR53" i="1"/>
  <c r="KS53" i="1"/>
  <c r="KT53" i="1"/>
  <c r="KU53" i="1"/>
  <c r="KV53" i="1"/>
  <c r="KW53" i="1"/>
  <c r="KX53" i="1"/>
  <c r="KY53" i="1"/>
  <c r="KZ53" i="1"/>
  <c r="LA53" i="1"/>
  <c r="LB53" i="1"/>
  <c r="LC53" i="1"/>
  <c r="LD53" i="1"/>
  <c r="LE53" i="1"/>
  <c r="LF53" i="1"/>
  <c r="LG53" i="1"/>
  <c r="LH53" i="1"/>
  <c r="LI53" i="1"/>
  <c r="LJ53" i="1"/>
  <c r="LK53" i="1"/>
  <c r="LL53" i="1"/>
  <c r="LM53" i="1"/>
  <c r="LN53" i="1"/>
  <c r="LO53" i="1"/>
  <c r="LP53" i="1"/>
  <c r="LQ53" i="1"/>
  <c r="LR53" i="1"/>
  <c r="LS53" i="1"/>
  <c r="LT53" i="1"/>
  <c r="LU53" i="1"/>
  <c r="LV53" i="1"/>
  <c r="LW53" i="1"/>
  <c r="LX53" i="1"/>
  <c r="LY53" i="1"/>
  <c r="LZ53" i="1"/>
  <c r="MA53" i="1"/>
  <c r="MB53" i="1"/>
  <c r="MC53" i="1"/>
  <c r="MD53" i="1"/>
  <c r="ME53" i="1"/>
  <c r="MF53" i="1"/>
  <c r="MG53" i="1"/>
  <c r="MH53" i="1"/>
  <c r="MI53" i="1"/>
  <c r="MJ53" i="1"/>
  <c r="MK53" i="1"/>
  <c r="ML53" i="1"/>
  <c r="MM53" i="1"/>
  <c r="MN53" i="1"/>
  <c r="MO53" i="1"/>
  <c r="MP53" i="1"/>
  <c r="MQ53" i="1"/>
  <c r="MR53" i="1"/>
  <c r="JU54" i="1"/>
  <c r="JV54" i="1"/>
  <c r="JW54" i="1"/>
  <c r="JX54" i="1"/>
  <c r="JY54" i="1"/>
  <c r="JZ54" i="1"/>
  <c r="KA54" i="1"/>
  <c r="KB54" i="1"/>
  <c r="KC54" i="1"/>
  <c r="KD54" i="1"/>
  <c r="KE54" i="1"/>
  <c r="KF54" i="1"/>
  <c r="KG54" i="1"/>
  <c r="KH54" i="1"/>
  <c r="KI54" i="1"/>
  <c r="KJ54" i="1"/>
  <c r="KK54" i="1"/>
  <c r="KL54" i="1"/>
  <c r="KM54" i="1"/>
  <c r="KN54" i="1"/>
  <c r="KO54" i="1"/>
  <c r="KP54" i="1"/>
  <c r="KQ54" i="1"/>
  <c r="KR54" i="1"/>
  <c r="KS54" i="1"/>
  <c r="KT54" i="1"/>
  <c r="KU54" i="1"/>
  <c r="KV54" i="1"/>
  <c r="KW54" i="1"/>
  <c r="KX54" i="1"/>
  <c r="KY54" i="1"/>
  <c r="KZ54" i="1"/>
  <c r="LA54" i="1"/>
  <c r="LB54" i="1"/>
  <c r="LC54" i="1"/>
  <c r="LD54" i="1"/>
  <c r="LE54" i="1"/>
  <c r="LF54" i="1"/>
  <c r="LG54" i="1"/>
  <c r="LH54" i="1"/>
  <c r="LI54" i="1"/>
  <c r="LJ54" i="1"/>
  <c r="LK54" i="1"/>
  <c r="LL54" i="1"/>
  <c r="LM54" i="1"/>
  <c r="LN54" i="1"/>
  <c r="LO54" i="1"/>
  <c r="LP54" i="1"/>
  <c r="LQ54" i="1"/>
  <c r="LR54" i="1"/>
  <c r="LS54" i="1"/>
  <c r="LT54" i="1"/>
  <c r="LU54" i="1"/>
  <c r="LV54" i="1"/>
  <c r="LW54" i="1"/>
  <c r="LX54" i="1"/>
  <c r="LY54" i="1"/>
  <c r="LZ54" i="1"/>
  <c r="MA54" i="1"/>
  <c r="MB54" i="1"/>
  <c r="MC54" i="1"/>
  <c r="MD54" i="1"/>
  <c r="ME54" i="1"/>
  <c r="MF54" i="1"/>
  <c r="MG54" i="1"/>
  <c r="MH54" i="1"/>
  <c r="MI54" i="1"/>
  <c r="MJ54" i="1"/>
  <c r="MK54" i="1"/>
  <c r="ML54" i="1"/>
  <c r="MM54" i="1"/>
  <c r="MN54" i="1"/>
  <c r="MO54" i="1"/>
  <c r="MP54" i="1"/>
  <c r="MQ54" i="1"/>
  <c r="MR54" i="1"/>
  <c r="JU55" i="1"/>
  <c r="JV55" i="1"/>
  <c r="JW55" i="1"/>
  <c r="JX55" i="1"/>
  <c r="JY55" i="1"/>
  <c r="JZ55" i="1"/>
  <c r="KA55" i="1"/>
  <c r="KB55" i="1"/>
  <c r="KC55" i="1"/>
  <c r="KD55" i="1"/>
  <c r="KE55" i="1"/>
  <c r="KF55" i="1"/>
  <c r="KG55" i="1"/>
  <c r="KH55" i="1"/>
  <c r="KI55" i="1"/>
  <c r="KJ55" i="1"/>
  <c r="KK55" i="1"/>
  <c r="KL55" i="1"/>
  <c r="KM55" i="1"/>
  <c r="KN55" i="1"/>
  <c r="KO55" i="1"/>
  <c r="KP55" i="1"/>
  <c r="KQ55" i="1"/>
  <c r="KR55" i="1"/>
  <c r="KS55" i="1"/>
  <c r="KT55" i="1"/>
  <c r="KU55" i="1"/>
  <c r="KV55" i="1"/>
  <c r="KW55" i="1"/>
  <c r="KX55" i="1"/>
  <c r="KY55" i="1"/>
  <c r="KZ55" i="1"/>
  <c r="LA55" i="1"/>
  <c r="LB55" i="1"/>
  <c r="LC55" i="1"/>
  <c r="LD55" i="1"/>
  <c r="LE55" i="1"/>
  <c r="LF55" i="1"/>
  <c r="LG55" i="1"/>
  <c r="LH55" i="1"/>
  <c r="LI55" i="1"/>
  <c r="LJ55" i="1"/>
  <c r="LK55" i="1"/>
  <c r="LL55" i="1"/>
  <c r="LM55" i="1"/>
  <c r="LN55" i="1"/>
  <c r="LO55" i="1"/>
  <c r="LP55" i="1"/>
  <c r="LQ55" i="1"/>
  <c r="LR55" i="1"/>
  <c r="LS55" i="1"/>
  <c r="LT55" i="1"/>
  <c r="LU55" i="1"/>
  <c r="LV55" i="1"/>
  <c r="LW55" i="1"/>
  <c r="LX55" i="1"/>
  <c r="LY55" i="1"/>
  <c r="LZ55" i="1"/>
  <c r="MA55" i="1"/>
  <c r="MB55" i="1"/>
  <c r="MC55" i="1"/>
  <c r="MD55" i="1"/>
  <c r="ME55" i="1"/>
  <c r="MF55" i="1"/>
  <c r="MG55" i="1"/>
  <c r="MH55" i="1"/>
  <c r="MI55" i="1"/>
  <c r="MJ55" i="1"/>
  <c r="MK55" i="1"/>
  <c r="ML55" i="1"/>
  <c r="MM55" i="1"/>
  <c r="MN55" i="1"/>
  <c r="MO55" i="1"/>
  <c r="MP55" i="1"/>
  <c r="MQ55" i="1"/>
  <c r="MR55" i="1"/>
  <c r="JU56" i="1"/>
  <c r="JV56" i="1"/>
  <c r="JW56" i="1"/>
  <c r="JX56" i="1"/>
  <c r="JY56" i="1"/>
  <c r="JZ56" i="1"/>
  <c r="KA56" i="1"/>
  <c r="KB56" i="1"/>
  <c r="KC56" i="1"/>
  <c r="KD56" i="1"/>
  <c r="KE56" i="1"/>
  <c r="KF56" i="1"/>
  <c r="KG56" i="1"/>
  <c r="KH56" i="1"/>
  <c r="KI56" i="1"/>
  <c r="KJ56" i="1"/>
  <c r="KK56" i="1"/>
  <c r="KL56" i="1"/>
  <c r="KM56" i="1"/>
  <c r="KN56" i="1"/>
  <c r="KO56" i="1"/>
  <c r="KP56" i="1"/>
  <c r="KQ56" i="1"/>
  <c r="KR56" i="1"/>
  <c r="KS56" i="1"/>
  <c r="KT56" i="1"/>
  <c r="KU56" i="1"/>
  <c r="KV56" i="1"/>
  <c r="KW56" i="1"/>
  <c r="KX56" i="1"/>
  <c r="KY56" i="1"/>
  <c r="KZ56" i="1"/>
  <c r="LA56" i="1"/>
  <c r="LB56" i="1"/>
  <c r="LC56" i="1"/>
  <c r="LD56" i="1"/>
  <c r="LE56" i="1"/>
  <c r="LF56" i="1"/>
  <c r="LG56" i="1"/>
  <c r="LH56" i="1"/>
  <c r="LI56" i="1"/>
  <c r="LJ56" i="1"/>
  <c r="LK56" i="1"/>
  <c r="LL56" i="1"/>
  <c r="LM56" i="1"/>
  <c r="LN56" i="1"/>
  <c r="LO56" i="1"/>
  <c r="LP56" i="1"/>
  <c r="LQ56" i="1"/>
  <c r="LR56" i="1"/>
  <c r="LS56" i="1"/>
  <c r="LT56" i="1"/>
  <c r="LU56" i="1"/>
  <c r="LV56" i="1"/>
  <c r="LW56" i="1"/>
  <c r="LX56" i="1"/>
  <c r="LY56" i="1"/>
  <c r="LZ56" i="1"/>
  <c r="MA56" i="1"/>
  <c r="MB56" i="1"/>
  <c r="MC56" i="1"/>
  <c r="MD56" i="1"/>
  <c r="ME56" i="1"/>
  <c r="MF56" i="1"/>
  <c r="MG56" i="1"/>
  <c r="MH56" i="1"/>
  <c r="MI56" i="1"/>
  <c r="MJ56" i="1"/>
  <c r="MK56" i="1"/>
  <c r="ML56" i="1"/>
  <c r="MM56" i="1"/>
  <c r="MN56" i="1"/>
  <c r="MO56" i="1"/>
  <c r="MP56" i="1"/>
  <c r="MQ56" i="1"/>
  <c r="MR56" i="1"/>
  <c r="JU57" i="1"/>
  <c r="JV57" i="1"/>
  <c r="JW57" i="1"/>
  <c r="JX57" i="1"/>
  <c r="JY57" i="1"/>
  <c r="JZ57" i="1"/>
  <c r="KA57" i="1"/>
  <c r="KB57" i="1"/>
  <c r="KC57" i="1"/>
  <c r="KD57" i="1"/>
  <c r="KE57" i="1"/>
  <c r="KF57" i="1"/>
  <c r="KG57" i="1"/>
  <c r="KH57" i="1"/>
  <c r="KI57" i="1"/>
  <c r="KJ57" i="1"/>
  <c r="KK57" i="1"/>
  <c r="KL57" i="1"/>
  <c r="KM57" i="1"/>
  <c r="KN57" i="1"/>
  <c r="KO57" i="1"/>
  <c r="KP57" i="1"/>
  <c r="KQ57" i="1"/>
  <c r="KR57" i="1"/>
  <c r="KS57" i="1"/>
  <c r="KT57" i="1"/>
  <c r="KU57" i="1"/>
  <c r="KV57" i="1"/>
  <c r="KW57" i="1"/>
  <c r="KX57" i="1"/>
  <c r="KY57" i="1"/>
  <c r="KZ57" i="1"/>
  <c r="LA57" i="1"/>
  <c r="LB57" i="1"/>
  <c r="LC57" i="1"/>
  <c r="LD57" i="1"/>
  <c r="LE57" i="1"/>
  <c r="LF57" i="1"/>
  <c r="LG57" i="1"/>
  <c r="LH57" i="1"/>
  <c r="LI57" i="1"/>
  <c r="LJ57" i="1"/>
  <c r="LK57" i="1"/>
  <c r="LL57" i="1"/>
  <c r="LM57" i="1"/>
  <c r="LN57" i="1"/>
  <c r="LO57" i="1"/>
  <c r="LP57" i="1"/>
  <c r="LQ57" i="1"/>
  <c r="LR57" i="1"/>
  <c r="LS57" i="1"/>
  <c r="LT57" i="1"/>
  <c r="LU57" i="1"/>
  <c r="LV57" i="1"/>
  <c r="LW57" i="1"/>
  <c r="LX57" i="1"/>
  <c r="LY57" i="1"/>
  <c r="LZ57" i="1"/>
  <c r="MA57" i="1"/>
  <c r="MB57" i="1"/>
  <c r="MC57" i="1"/>
  <c r="MD57" i="1"/>
  <c r="ME57" i="1"/>
  <c r="MF57" i="1"/>
  <c r="MG57" i="1"/>
  <c r="MH57" i="1"/>
  <c r="MI57" i="1"/>
  <c r="MJ57" i="1"/>
  <c r="MK57" i="1"/>
  <c r="ML57" i="1"/>
  <c r="MM57" i="1"/>
  <c r="MN57" i="1"/>
  <c r="MO57" i="1"/>
  <c r="MP57" i="1"/>
  <c r="MQ57" i="1"/>
  <c r="MR57" i="1"/>
  <c r="JU58" i="1"/>
  <c r="JV58" i="1"/>
  <c r="JW58" i="1"/>
  <c r="JX58" i="1"/>
  <c r="JY58" i="1"/>
  <c r="JZ58" i="1"/>
  <c r="KA58" i="1"/>
  <c r="KB58" i="1"/>
  <c r="KC58" i="1"/>
  <c r="KD58" i="1"/>
  <c r="KE58" i="1"/>
  <c r="KF58" i="1"/>
  <c r="KG58" i="1"/>
  <c r="KH58" i="1"/>
  <c r="KI58" i="1"/>
  <c r="KJ58" i="1"/>
  <c r="KK58" i="1"/>
  <c r="KL58" i="1"/>
  <c r="KM58" i="1"/>
  <c r="KN58" i="1"/>
  <c r="KO58" i="1"/>
  <c r="KP58" i="1"/>
  <c r="KQ58" i="1"/>
  <c r="KR58" i="1"/>
  <c r="KS58" i="1"/>
  <c r="KT58" i="1"/>
  <c r="KU58" i="1"/>
  <c r="KV58" i="1"/>
  <c r="KW58" i="1"/>
  <c r="KX58" i="1"/>
  <c r="KY58" i="1"/>
  <c r="KZ58" i="1"/>
  <c r="LA58" i="1"/>
  <c r="LB58" i="1"/>
  <c r="LC58" i="1"/>
  <c r="LD58" i="1"/>
  <c r="LE58" i="1"/>
  <c r="LF58" i="1"/>
  <c r="LG58" i="1"/>
  <c r="LH58" i="1"/>
  <c r="LI58" i="1"/>
  <c r="LJ58" i="1"/>
  <c r="LK58" i="1"/>
  <c r="LL58" i="1"/>
  <c r="LM58" i="1"/>
  <c r="LN58" i="1"/>
  <c r="LO58" i="1"/>
  <c r="LP58" i="1"/>
  <c r="LQ58" i="1"/>
  <c r="LR58" i="1"/>
  <c r="LS58" i="1"/>
  <c r="LT58" i="1"/>
  <c r="LU58" i="1"/>
  <c r="LV58" i="1"/>
  <c r="LW58" i="1"/>
  <c r="LX58" i="1"/>
  <c r="LY58" i="1"/>
  <c r="LZ58" i="1"/>
  <c r="MA58" i="1"/>
  <c r="MB58" i="1"/>
  <c r="MC58" i="1"/>
  <c r="MD58" i="1"/>
  <c r="ME58" i="1"/>
  <c r="MF58" i="1"/>
  <c r="MG58" i="1"/>
  <c r="MH58" i="1"/>
  <c r="MI58" i="1"/>
  <c r="MJ58" i="1"/>
  <c r="MK58" i="1"/>
  <c r="ML58" i="1"/>
  <c r="MM58" i="1"/>
  <c r="MN58" i="1"/>
  <c r="MO58" i="1"/>
  <c r="MP58" i="1"/>
  <c r="MQ58" i="1"/>
  <c r="MR58" i="1"/>
  <c r="JU59" i="1"/>
  <c r="JV59" i="1"/>
  <c r="JW59" i="1"/>
  <c r="JX59" i="1"/>
  <c r="JY59" i="1"/>
  <c r="JZ59" i="1"/>
  <c r="KA59" i="1"/>
  <c r="KB59" i="1"/>
  <c r="KC59" i="1"/>
  <c r="KD59" i="1"/>
  <c r="KE59" i="1"/>
  <c r="KF59" i="1"/>
  <c r="KG59" i="1"/>
  <c r="KH59" i="1"/>
  <c r="KI59" i="1"/>
  <c r="KJ59" i="1"/>
  <c r="KK59" i="1"/>
  <c r="KL59" i="1"/>
  <c r="KM59" i="1"/>
  <c r="KN59" i="1"/>
  <c r="KO59" i="1"/>
  <c r="KP59" i="1"/>
  <c r="KQ59" i="1"/>
  <c r="KR59" i="1"/>
  <c r="KS59" i="1"/>
  <c r="KT59" i="1"/>
  <c r="KU59" i="1"/>
  <c r="KV59" i="1"/>
  <c r="KW59" i="1"/>
  <c r="KX59" i="1"/>
  <c r="KY59" i="1"/>
  <c r="KZ59" i="1"/>
  <c r="LA59" i="1"/>
  <c r="LB59" i="1"/>
  <c r="LC59" i="1"/>
  <c r="LD59" i="1"/>
  <c r="LE59" i="1"/>
  <c r="LF59" i="1"/>
  <c r="LG59" i="1"/>
  <c r="LH59" i="1"/>
  <c r="LI59" i="1"/>
  <c r="LJ59" i="1"/>
  <c r="LK59" i="1"/>
  <c r="LL59" i="1"/>
  <c r="LM59" i="1"/>
  <c r="LN59" i="1"/>
  <c r="LO59" i="1"/>
  <c r="LP59" i="1"/>
  <c r="LQ59" i="1"/>
  <c r="LR59" i="1"/>
  <c r="LS59" i="1"/>
  <c r="LT59" i="1"/>
  <c r="LU59" i="1"/>
  <c r="LV59" i="1"/>
  <c r="LW59" i="1"/>
  <c r="LX59" i="1"/>
  <c r="LY59" i="1"/>
  <c r="LZ59" i="1"/>
  <c r="MA59" i="1"/>
  <c r="MB59" i="1"/>
  <c r="MC59" i="1"/>
  <c r="MD59" i="1"/>
  <c r="ME59" i="1"/>
  <c r="MF59" i="1"/>
  <c r="MG59" i="1"/>
  <c r="MH59" i="1"/>
  <c r="MI59" i="1"/>
  <c r="MJ59" i="1"/>
  <c r="MK59" i="1"/>
  <c r="ML59" i="1"/>
  <c r="MM59" i="1"/>
  <c r="MN59" i="1"/>
  <c r="MO59" i="1"/>
  <c r="MP59" i="1"/>
  <c r="MQ59" i="1"/>
  <c r="MR59" i="1"/>
  <c r="JU60" i="1"/>
  <c r="JV60" i="1"/>
  <c r="JW60" i="1"/>
  <c r="JX60" i="1"/>
  <c r="JY60" i="1"/>
  <c r="JZ60" i="1"/>
  <c r="KA60" i="1"/>
  <c r="KB60" i="1"/>
  <c r="KC60" i="1"/>
  <c r="KD60" i="1"/>
  <c r="KE60" i="1"/>
  <c r="KF60" i="1"/>
  <c r="KG60" i="1"/>
  <c r="KH60" i="1"/>
  <c r="KI60" i="1"/>
  <c r="KJ60" i="1"/>
  <c r="KK60" i="1"/>
  <c r="KL60" i="1"/>
  <c r="KM60" i="1"/>
  <c r="KN60" i="1"/>
  <c r="KO60" i="1"/>
  <c r="KP60" i="1"/>
  <c r="KQ60" i="1"/>
  <c r="KR60" i="1"/>
  <c r="KS60" i="1"/>
  <c r="KT60" i="1"/>
  <c r="KU60" i="1"/>
  <c r="KV60" i="1"/>
  <c r="KW60" i="1"/>
  <c r="KX60" i="1"/>
  <c r="KY60" i="1"/>
  <c r="KZ60" i="1"/>
  <c r="LA60" i="1"/>
  <c r="LB60" i="1"/>
  <c r="LC60" i="1"/>
  <c r="LD60" i="1"/>
  <c r="LE60" i="1"/>
  <c r="LF60" i="1"/>
  <c r="LG60" i="1"/>
  <c r="LH60" i="1"/>
  <c r="LI60" i="1"/>
  <c r="LJ60" i="1"/>
  <c r="LK60" i="1"/>
  <c r="LL60" i="1"/>
  <c r="LM60" i="1"/>
  <c r="LN60" i="1"/>
  <c r="LO60" i="1"/>
  <c r="LP60" i="1"/>
  <c r="LQ60" i="1"/>
  <c r="LR60" i="1"/>
  <c r="LS60" i="1"/>
  <c r="LT60" i="1"/>
  <c r="LU60" i="1"/>
  <c r="LV60" i="1"/>
  <c r="LW60" i="1"/>
  <c r="LX60" i="1"/>
  <c r="LY60" i="1"/>
  <c r="LZ60" i="1"/>
  <c r="MA60" i="1"/>
  <c r="MB60" i="1"/>
  <c r="MC60" i="1"/>
  <c r="MD60" i="1"/>
  <c r="ME60" i="1"/>
  <c r="MF60" i="1"/>
  <c r="MG60" i="1"/>
  <c r="MH60" i="1"/>
  <c r="MI60" i="1"/>
  <c r="MJ60" i="1"/>
  <c r="MK60" i="1"/>
  <c r="ML60" i="1"/>
  <c r="MM60" i="1"/>
  <c r="MN60" i="1"/>
  <c r="MO60" i="1"/>
  <c r="MP60" i="1"/>
  <c r="MQ60" i="1"/>
  <c r="MR60" i="1"/>
  <c r="JU61" i="1"/>
  <c r="JV61" i="1"/>
  <c r="JW61" i="1"/>
  <c r="JX61" i="1"/>
  <c r="JY61" i="1"/>
  <c r="JZ61" i="1"/>
  <c r="KA61" i="1"/>
  <c r="KB61" i="1"/>
  <c r="KC61" i="1"/>
  <c r="KD61" i="1"/>
  <c r="KE61" i="1"/>
  <c r="KF61" i="1"/>
  <c r="KG61" i="1"/>
  <c r="KH61" i="1"/>
  <c r="KI61" i="1"/>
  <c r="KJ61" i="1"/>
  <c r="KK61" i="1"/>
  <c r="KL61" i="1"/>
  <c r="KM61" i="1"/>
  <c r="KN61" i="1"/>
  <c r="KO61" i="1"/>
  <c r="KP61" i="1"/>
  <c r="KQ61" i="1"/>
  <c r="KR61" i="1"/>
  <c r="KS61" i="1"/>
  <c r="KT61" i="1"/>
  <c r="KU61" i="1"/>
  <c r="KV61" i="1"/>
  <c r="KW61" i="1"/>
  <c r="KX61" i="1"/>
  <c r="KY61" i="1"/>
  <c r="KZ61" i="1"/>
  <c r="LA61" i="1"/>
  <c r="LB61" i="1"/>
  <c r="LC61" i="1"/>
  <c r="LD61" i="1"/>
  <c r="LE61" i="1"/>
  <c r="LF61" i="1"/>
  <c r="LG61" i="1"/>
  <c r="LH61" i="1"/>
  <c r="LI61" i="1"/>
  <c r="LJ61" i="1"/>
  <c r="LK61" i="1"/>
  <c r="LL61" i="1"/>
  <c r="LM61" i="1"/>
  <c r="LN61" i="1"/>
  <c r="LO61" i="1"/>
  <c r="LP61" i="1"/>
  <c r="LQ61" i="1"/>
  <c r="LR61" i="1"/>
  <c r="LS61" i="1"/>
  <c r="LT61" i="1"/>
  <c r="LU61" i="1"/>
  <c r="LV61" i="1"/>
  <c r="LW61" i="1"/>
  <c r="LX61" i="1"/>
  <c r="LY61" i="1"/>
  <c r="LZ61" i="1"/>
  <c r="MA61" i="1"/>
  <c r="MB61" i="1"/>
  <c r="MC61" i="1"/>
  <c r="MD61" i="1"/>
  <c r="ME61" i="1"/>
  <c r="MF61" i="1"/>
  <c r="MG61" i="1"/>
  <c r="MH61" i="1"/>
  <c r="MI61" i="1"/>
  <c r="MJ61" i="1"/>
  <c r="MK61" i="1"/>
  <c r="ML61" i="1"/>
  <c r="MM61" i="1"/>
  <c r="MN61" i="1"/>
  <c r="MO61" i="1"/>
  <c r="MP61" i="1"/>
  <c r="MQ61" i="1"/>
  <c r="MR61" i="1"/>
  <c r="JU62" i="1"/>
  <c r="JV62" i="1"/>
  <c r="JW62" i="1"/>
  <c r="JX62" i="1"/>
  <c r="JY62" i="1"/>
  <c r="JZ62" i="1"/>
  <c r="KA62" i="1"/>
  <c r="KB62" i="1"/>
  <c r="KC62" i="1"/>
  <c r="KD62" i="1"/>
  <c r="KE62" i="1"/>
  <c r="KF62" i="1"/>
  <c r="KG62" i="1"/>
  <c r="KH62" i="1"/>
  <c r="KI62" i="1"/>
  <c r="KJ62" i="1"/>
  <c r="KK62" i="1"/>
  <c r="KL62" i="1"/>
  <c r="KM62" i="1"/>
  <c r="KN62" i="1"/>
  <c r="KO62" i="1"/>
  <c r="KP62" i="1"/>
  <c r="KQ62" i="1"/>
  <c r="KR62" i="1"/>
  <c r="KS62" i="1"/>
  <c r="KT62" i="1"/>
  <c r="KU62" i="1"/>
  <c r="KV62" i="1"/>
  <c r="KW62" i="1"/>
  <c r="KX62" i="1"/>
  <c r="KY62" i="1"/>
  <c r="KZ62" i="1"/>
  <c r="LA62" i="1"/>
  <c r="LB62" i="1"/>
  <c r="LC62" i="1"/>
  <c r="LD62" i="1"/>
  <c r="LE62" i="1"/>
  <c r="LF62" i="1"/>
  <c r="LG62" i="1"/>
  <c r="LH62" i="1"/>
  <c r="LI62" i="1"/>
  <c r="LJ62" i="1"/>
  <c r="LK62" i="1"/>
  <c r="LL62" i="1"/>
  <c r="LM62" i="1"/>
  <c r="LN62" i="1"/>
  <c r="LO62" i="1"/>
  <c r="LP62" i="1"/>
  <c r="LQ62" i="1"/>
  <c r="LR62" i="1"/>
  <c r="LS62" i="1"/>
  <c r="LT62" i="1"/>
  <c r="LU62" i="1"/>
  <c r="LV62" i="1"/>
  <c r="LW62" i="1"/>
  <c r="LX62" i="1"/>
  <c r="LY62" i="1"/>
  <c r="LZ62" i="1"/>
  <c r="MA62" i="1"/>
  <c r="MB62" i="1"/>
  <c r="MC62" i="1"/>
  <c r="MD62" i="1"/>
  <c r="ME62" i="1"/>
  <c r="MF62" i="1"/>
  <c r="MG62" i="1"/>
  <c r="MH62" i="1"/>
  <c r="MI62" i="1"/>
  <c r="MJ62" i="1"/>
  <c r="MK62" i="1"/>
  <c r="ML62" i="1"/>
  <c r="MM62" i="1"/>
  <c r="MN62" i="1"/>
  <c r="MO62" i="1"/>
  <c r="MP62" i="1"/>
  <c r="MQ62" i="1"/>
  <c r="MR62" i="1"/>
  <c r="JU63" i="1"/>
  <c r="JV63" i="1"/>
  <c r="JW63" i="1"/>
  <c r="JX63" i="1"/>
  <c r="JY63" i="1"/>
  <c r="JZ63" i="1"/>
  <c r="KA63" i="1"/>
  <c r="KB63" i="1"/>
  <c r="KC63" i="1"/>
  <c r="KD63" i="1"/>
  <c r="KE63" i="1"/>
  <c r="KF63" i="1"/>
  <c r="KG63" i="1"/>
  <c r="KH63" i="1"/>
  <c r="KI63" i="1"/>
  <c r="KJ63" i="1"/>
  <c r="KK63" i="1"/>
  <c r="KL63" i="1"/>
  <c r="KM63" i="1"/>
  <c r="KN63" i="1"/>
  <c r="KO63" i="1"/>
  <c r="KP63" i="1"/>
  <c r="KQ63" i="1"/>
  <c r="KR63" i="1"/>
  <c r="KS63" i="1"/>
  <c r="KT63" i="1"/>
  <c r="KU63" i="1"/>
  <c r="KV63" i="1"/>
  <c r="KW63" i="1"/>
  <c r="KX63" i="1"/>
  <c r="KY63" i="1"/>
  <c r="KZ63" i="1"/>
  <c r="LA63" i="1"/>
  <c r="LB63" i="1"/>
  <c r="LC63" i="1"/>
  <c r="LD63" i="1"/>
  <c r="LE63" i="1"/>
  <c r="LF63" i="1"/>
  <c r="LG63" i="1"/>
  <c r="LH63" i="1"/>
  <c r="LI63" i="1"/>
  <c r="LJ63" i="1"/>
  <c r="LK63" i="1"/>
  <c r="LL63" i="1"/>
  <c r="LM63" i="1"/>
  <c r="LN63" i="1"/>
  <c r="LO63" i="1"/>
  <c r="LP63" i="1"/>
  <c r="LQ63" i="1"/>
  <c r="LR63" i="1"/>
  <c r="LS63" i="1"/>
  <c r="LT63" i="1"/>
  <c r="LU63" i="1"/>
  <c r="LV63" i="1"/>
  <c r="LW63" i="1"/>
  <c r="LX63" i="1"/>
  <c r="LY63" i="1"/>
  <c r="LZ63" i="1"/>
  <c r="MA63" i="1"/>
  <c r="MB63" i="1"/>
  <c r="MC63" i="1"/>
  <c r="MD63" i="1"/>
  <c r="ME63" i="1"/>
  <c r="MF63" i="1"/>
  <c r="MG63" i="1"/>
  <c r="MH63" i="1"/>
  <c r="MI63" i="1"/>
  <c r="MJ63" i="1"/>
  <c r="MK63" i="1"/>
  <c r="ML63" i="1"/>
  <c r="MM63" i="1"/>
  <c r="MN63" i="1"/>
  <c r="MO63" i="1"/>
  <c r="MP63" i="1"/>
  <c r="MQ63" i="1"/>
  <c r="MR63" i="1"/>
  <c r="JU64" i="1"/>
  <c r="JV64" i="1"/>
  <c r="JW64" i="1"/>
  <c r="JX64" i="1"/>
  <c r="JY64" i="1"/>
  <c r="JZ64" i="1"/>
  <c r="KA64" i="1"/>
  <c r="KB64" i="1"/>
  <c r="KC64" i="1"/>
  <c r="KD64" i="1"/>
  <c r="KE64" i="1"/>
  <c r="KF64" i="1"/>
  <c r="KG64" i="1"/>
  <c r="KH64" i="1"/>
  <c r="KI64" i="1"/>
  <c r="KJ64" i="1"/>
  <c r="KK64" i="1"/>
  <c r="KL64" i="1"/>
  <c r="KM64" i="1"/>
  <c r="KN64" i="1"/>
  <c r="KO64" i="1"/>
  <c r="KP64" i="1"/>
  <c r="KQ64" i="1"/>
  <c r="KR64" i="1"/>
  <c r="KS64" i="1"/>
  <c r="KT64" i="1"/>
  <c r="KU64" i="1"/>
  <c r="KV64" i="1"/>
  <c r="KW64" i="1"/>
  <c r="KX64" i="1"/>
  <c r="KY64" i="1"/>
  <c r="KZ64" i="1"/>
  <c r="LA64" i="1"/>
  <c r="LB64" i="1"/>
  <c r="LC64" i="1"/>
  <c r="LD64" i="1"/>
  <c r="LE64" i="1"/>
  <c r="LF64" i="1"/>
  <c r="LG64" i="1"/>
  <c r="LH64" i="1"/>
  <c r="LI64" i="1"/>
  <c r="LJ64" i="1"/>
  <c r="LK64" i="1"/>
  <c r="LL64" i="1"/>
  <c r="LM64" i="1"/>
  <c r="LN64" i="1"/>
  <c r="LO64" i="1"/>
  <c r="LP64" i="1"/>
  <c r="LQ64" i="1"/>
  <c r="LR64" i="1"/>
  <c r="LS64" i="1"/>
  <c r="LT64" i="1"/>
  <c r="LU64" i="1"/>
  <c r="LV64" i="1"/>
  <c r="LW64" i="1"/>
  <c r="LX64" i="1"/>
  <c r="LY64" i="1"/>
  <c r="LZ64" i="1"/>
  <c r="MA64" i="1"/>
  <c r="MB64" i="1"/>
  <c r="MC64" i="1"/>
  <c r="MD64" i="1"/>
  <c r="ME64" i="1"/>
  <c r="MF64" i="1"/>
  <c r="MG64" i="1"/>
  <c r="MH64" i="1"/>
  <c r="MI64" i="1"/>
  <c r="MJ64" i="1"/>
  <c r="MK64" i="1"/>
  <c r="ML64" i="1"/>
  <c r="MM64" i="1"/>
  <c r="MN64" i="1"/>
  <c r="MO64" i="1"/>
  <c r="MP64" i="1"/>
  <c r="MQ64" i="1"/>
  <c r="MR64" i="1"/>
  <c r="JU65" i="1"/>
  <c r="JV65" i="1"/>
  <c r="JW65" i="1"/>
  <c r="JX65" i="1"/>
  <c r="JY65" i="1"/>
  <c r="JZ65" i="1"/>
  <c r="KA65" i="1"/>
  <c r="KB65" i="1"/>
  <c r="KC65" i="1"/>
  <c r="KD65" i="1"/>
  <c r="KE65" i="1"/>
  <c r="KF65" i="1"/>
  <c r="KG65" i="1"/>
  <c r="KH65" i="1"/>
  <c r="KI65" i="1"/>
  <c r="KJ65" i="1"/>
  <c r="KK65" i="1"/>
  <c r="KL65" i="1"/>
  <c r="KM65" i="1"/>
  <c r="KN65" i="1"/>
  <c r="KO65" i="1"/>
  <c r="KP65" i="1"/>
  <c r="KQ65" i="1"/>
  <c r="KR65" i="1"/>
  <c r="KS65" i="1"/>
  <c r="KT65" i="1"/>
  <c r="KU65" i="1"/>
  <c r="KV65" i="1"/>
  <c r="KW65" i="1"/>
  <c r="KX65" i="1"/>
  <c r="KY65" i="1"/>
  <c r="KZ65" i="1"/>
  <c r="LA65" i="1"/>
  <c r="LB65" i="1"/>
  <c r="LC65" i="1"/>
  <c r="LD65" i="1"/>
  <c r="LE65" i="1"/>
  <c r="LF65" i="1"/>
  <c r="LG65" i="1"/>
  <c r="LH65" i="1"/>
  <c r="LI65" i="1"/>
  <c r="LJ65" i="1"/>
  <c r="LK65" i="1"/>
  <c r="LL65" i="1"/>
  <c r="LM65" i="1"/>
  <c r="LN65" i="1"/>
  <c r="LO65" i="1"/>
  <c r="LP65" i="1"/>
  <c r="LQ65" i="1"/>
  <c r="LR65" i="1"/>
  <c r="LS65" i="1"/>
  <c r="LT65" i="1"/>
  <c r="LU65" i="1"/>
  <c r="LV65" i="1"/>
  <c r="LW65" i="1"/>
  <c r="LX65" i="1"/>
  <c r="LY65" i="1"/>
  <c r="LZ65" i="1"/>
  <c r="MA65" i="1"/>
  <c r="MB65" i="1"/>
  <c r="MC65" i="1"/>
  <c r="MD65" i="1"/>
  <c r="ME65" i="1"/>
  <c r="MF65" i="1"/>
  <c r="MG65" i="1"/>
  <c r="MH65" i="1"/>
  <c r="MI65" i="1"/>
  <c r="MJ65" i="1"/>
  <c r="MK65" i="1"/>
  <c r="ML65" i="1"/>
  <c r="MM65" i="1"/>
  <c r="MN65" i="1"/>
  <c r="MO65" i="1"/>
  <c r="MP65" i="1"/>
  <c r="MQ65" i="1"/>
  <c r="MR65" i="1"/>
  <c r="JU66" i="1"/>
  <c r="JV66" i="1"/>
  <c r="JW66" i="1"/>
  <c r="JX66" i="1"/>
  <c r="JY66" i="1"/>
  <c r="JZ66" i="1"/>
  <c r="KA66" i="1"/>
  <c r="KB66" i="1"/>
  <c r="KC66" i="1"/>
  <c r="KD66" i="1"/>
  <c r="KE66" i="1"/>
  <c r="KF66" i="1"/>
  <c r="KG66" i="1"/>
  <c r="KH66" i="1"/>
  <c r="KI66" i="1"/>
  <c r="KJ66" i="1"/>
  <c r="KK66" i="1"/>
  <c r="KL66" i="1"/>
  <c r="KM66" i="1"/>
  <c r="KN66" i="1"/>
  <c r="KO66" i="1"/>
  <c r="KP66" i="1"/>
  <c r="KQ66" i="1"/>
  <c r="KR66" i="1"/>
  <c r="KS66" i="1"/>
  <c r="KT66" i="1"/>
  <c r="KU66" i="1"/>
  <c r="KV66" i="1"/>
  <c r="KW66" i="1"/>
  <c r="KX66" i="1"/>
  <c r="KY66" i="1"/>
  <c r="KZ66" i="1"/>
  <c r="LA66" i="1"/>
  <c r="LB66" i="1"/>
  <c r="LC66" i="1"/>
  <c r="LD66" i="1"/>
  <c r="LE66" i="1"/>
  <c r="LF66" i="1"/>
  <c r="LG66" i="1"/>
  <c r="LH66" i="1"/>
  <c r="LI66" i="1"/>
  <c r="LJ66" i="1"/>
  <c r="LK66" i="1"/>
  <c r="LL66" i="1"/>
  <c r="LM66" i="1"/>
  <c r="LN66" i="1"/>
  <c r="LO66" i="1"/>
  <c r="LP66" i="1"/>
  <c r="LQ66" i="1"/>
  <c r="LR66" i="1"/>
  <c r="LS66" i="1"/>
  <c r="LT66" i="1"/>
  <c r="LU66" i="1"/>
  <c r="LV66" i="1"/>
  <c r="LW66" i="1"/>
  <c r="LX66" i="1"/>
  <c r="LY66" i="1"/>
  <c r="LZ66" i="1"/>
  <c r="MA66" i="1"/>
  <c r="MB66" i="1"/>
  <c r="MC66" i="1"/>
  <c r="MD66" i="1"/>
  <c r="ME66" i="1"/>
  <c r="MF66" i="1"/>
  <c r="MG66" i="1"/>
  <c r="MH66" i="1"/>
  <c r="MI66" i="1"/>
  <c r="MJ66" i="1"/>
  <c r="MK66" i="1"/>
  <c r="ML66" i="1"/>
  <c r="MM66" i="1"/>
  <c r="MN66" i="1"/>
  <c r="MO66" i="1"/>
  <c r="MP66" i="1"/>
  <c r="MQ66" i="1"/>
  <c r="MR66" i="1"/>
  <c r="JU67" i="1"/>
  <c r="JV67" i="1"/>
  <c r="JW67" i="1"/>
  <c r="JX67" i="1"/>
  <c r="JY67" i="1"/>
  <c r="JZ67" i="1"/>
  <c r="KA67" i="1"/>
  <c r="KB67" i="1"/>
  <c r="KC67" i="1"/>
  <c r="KD67" i="1"/>
  <c r="KE67" i="1"/>
  <c r="KF67" i="1"/>
  <c r="KG67" i="1"/>
  <c r="KH67" i="1"/>
  <c r="KI67" i="1"/>
  <c r="KJ67" i="1"/>
  <c r="KK67" i="1"/>
  <c r="KL67" i="1"/>
  <c r="KM67" i="1"/>
  <c r="KN67" i="1"/>
  <c r="KO67" i="1"/>
  <c r="KP67" i="1"/>
  <c r="KQ67" i="1"/>
  <c r="KR67" i="1"/>
  <c r="KS67" i="1"/>
  <c r="KT67" i="1"/>
  <c r="KU67" i="1"/>
  <c r="KV67" i="1"/>
  <c r="KW67" i="1"/>
  <c r="KX67" i="1"/>
  <c r="KY67" i="1"/>
  <c r="KZ67" i="1"/>
  <c r="LA67" i="1"/>
  <c r="LB67" i="1"/>
  <c r="LC67" i="1"/>
  <c r="LD67" i="1"/>
  <c r="LE67" i="1"/>
  <c r="LF67" i="1"/>
  <c r="LG67" i="1"/>
  <c r="LH67" i="1"/>
  <c r="LI67" i="1"/>
  <c r="LJ67" i="1"/>
  <c r="LK67" i="1"/>
  <c r="LL67" i="1"/>
  <c r="LM67" i="1"/>
  <c r="LN67" i="1"/>
  <c r="LO67" i="1"/>
  <c r="LP67" i="1"/>
  <c r="LQ67" i="1"/>
  <c r="LR67" i="1"/>
  <c r="LS67" i="1"/>
  <c r="LT67" i="1"/>
  <c r="LU67" i="1"/>
  <c r="LV67" i="1"/>
  <c r="LW67" i="1"/>
  <c r="LX67" i="1"/>
  <c r="LY67" i="1"/>
  <c r="LZ67" i="1"/>
  <c r="MA67" i="1"/>
  <c r="MB67" i="1"/>
  <c r="MC67" i="1"/>
  <c r="MD67" i="1"/>
  <c r="ME67" i="1"/>
  <c r="MF67" i="1"/>
  <c r="MG67" i="1"/>
  <c r="MH67" i="1"/>
  <c r="MI67" i="1"/>
  <c r="MJ67" i="1"/>
  <c r="MK67" i="1"/>
  <c r="ML67" i="1"/>
  <c r="MM67" i="1"/>
  <c r="MN67" i="1"/>
  <c r="MO67" i="1"/>
  <c r="MP67" i="1"/>
  <c r="MQ67" i="1"/>
  <c r="MR67" i="1"/>
  <c r="JU68" i="1"/>
  <c r="JV68" i="1"/>
  <c r="JW68" i="1"/>
  <c r="JX68" i="1"/>
  <c r="JY68" i="1"/>
  <c r="JZ68" i="1"/>
  <c r="KA68" i="1"/>
  <c r="KB68" i="1"/>
  <c r="KC68" i="1"/>
  <c r="KD68" i="1"/>
  <c r="KE68" i="1"/>
  <c r="KF68" i="1"/>
  <c r="KG68" i="1"/>
  <c r="KH68" i="1"/>
  <c r="KI68" i="1"/>
  <c r="KJ68" i="1"/>
  <c r="KK68" i="1"/>
  <c r="KL68" i="1"/>
  <c r="KM68" i="1"/>
  <c r="KN68" i="1"/>
  <c r="KO68" i="1"/>
  <c r="KP68" i="1"/>
  <c r="KQ68" i="1"/>
  <c r="KR68" i="1"/>
  <c r="KS68" i="1"/>
  <c r="KT68" i="1"/>
  <c r="KU68" i="1"/>
  <c r="KV68" i="1"/>
  <c r="KW68" i="1"/>
  <c r="KX68" i="1"/>
  <c r="KY68" i="1"/>
  <c r="KZ68" i="1"/>
  <c r="LA68" i="1"/>
  <c r="LB68" i="1"/>
  <c r="LC68" i="1"/>
  <c r="LD68" i="1"/>
  <c r="LE68" i="1"/>
  <c r="LF68" i="1"/>
  <c r="LG68" i="1"/>
  <c r="LH68" i="1"/>
  <c r="LI68" i="1"/>
  <c r="LJ68" i="1"/>
  <c r="LK68" i="1"/>
  <c r="LL68" i="1"/>
  <c r="LM68" i="1"/>
  <c r="LN68" i="1"/>
  <c r="LO68" i="1"/>
  <c r="LP68" i="1"/>
  <c r="LQ68" i="1"/>
  <c r="LR68" i="1"/>
  <c r="LS68" i="1"/>
  <c r="LT68" i="1"/>
  <c r="LU68" i="1"/>
  <c r="LV68" i="1"/>
  <c r="LW68" i="1"/>
  <c r="LX68" i="1"/>
  <c r="LY68" i="1"/>
  <c r="LZ68" i="1"/>
  <c r="MA68" i="1"/>
  <c r="MB68" i="1"/>
  <c r="MC68" i="1"/>
  <c r="MD68" i="1"/>
  <c r="ME68" i="1"/>
  <c r="MF68" i="1"/>
  <c r="MG68" i="1"/>
  <c r="MH68" i="1"/>
  <c r="MI68" i="1"/>
  <c r="MJ68" i="1"/>
  <c r="MK68" i="1"/>
  <c r="ML68" i="1"/>
  <c r="MM68" i="1"/>
  <c r="MN68" i="1"/>
  <c r="MO68" i="1"/>
  <c r="MP68" i="1"/>
  <c r="MQ68" i="1"/>
  <c r="MR68" i="1"/>
  <c r="JU69" i="1"/>
  <c r="JV69" i="1"/>
  <c r="JW69" i="1"/>
  <c r="JX69" i="1"/>
  <c r="JY69" i="1"/>
  <c r="JZ69" i="1"/>
  <c r="KA69" i="1"/>
  <c r="KB69" i="1"/>
  <c r="KC69" i="1"/>
  <c r="KD69" i="1"/>
  <c r="KE69" i="1"/>
  <c r="KF69" i="1"/>
  <c r="KG69" i="1"/>
  <c r="KH69" i="1"/>
  <c r="KI69" i="1"/>
  <c r="KJ69" i="1"/>
  <c r="KK69" i="1"/>
  <c r="KL69" i="1"/>
  <c r="KM69" i="1"/>
  <c r="KN69" i="1"/>
  <c r="KO69" i="1"/>
  <c r="KP69" i="1"/>
  <c r="KQ69" i="1"/>
  <c r="KR69" i="1"/>
  <c r="KS69" i="1"/>
  <c r="KT69" i="1"/>
  <c r="KU69" i="1"/>
  <c r="KV69" i="1"/>
  <c r="KW69" i="1"/>
  <c r="KX69" i="1"/>
  <c r="KY69" i="1"/>
  <c r="KZ69" i="1"/>
  <c r="LA69" i="1"/>
  <c r="LB69" i="1"/>
  <c r="LC69" i="1"/>
  <c r="LD69" i="1"/>
  <c r="LE69" i="1"/>
  <c r="LF69" i="1"/>
  <c r="LG69" i="1"/>
  <c r="LH69" i="1"/>
  <c r="LI69" i="1"/>
  <c r="LJ69" i="1"/>
  <c r="LK69" i="1"/>
  <c r="LL69" i="1"/>
  <c r="LM69" i="1"/>
  <c r="LN69" i="1"/>
  <c r="LO69" i="1"/>
  <c r="LP69" i="1"/>
  <c r="LQ69" i="1"/>
  <c r="LR69" i="1"/>
  <c r="LS69" i="1"/>
  <c r="LT69" i="1"/>
  <c r="LU69" i="1"/>
  <c r="LV69" i="1"/>
  <c r="LW69" i="1"/>
  <c r="LX69" i="1"/>
  <c r="LY69" i="1"/>
  <c r="LZ69" i="1"/>
  <c r="MA69" i="1"/>
  <c r="MB69" i="1"/>
  <c r="MC69" i="1"/>
  <c r="MD69" i="1"/>
  <c r="ME69" i="1"/>
  <c r="MF69" i="1"/>
  <c r="MG69" i="1"/>
  <c r="MH69" i="1"/>
  <c r="MI69" i="1"/>
  <c r="MJ69" i="1"/>
  <c r="MK69" i="1"/>
  <c r="ML69" i="1"/>
  <c r="MM69" i="1"/>
  <c r="MN69" i="1"/>
  <c r="MO69" i="1"/>
  <c r="MP69" i="1"/>
  <c r="MQ69" i="1"/>
  <c r="MR69" i="1"/>
  <c r="JU70" i="1"/>
  <c r="JV70" i="1"/>
  <c r="JW70" i="1"/>
  <c r="JX70" i="1"/>
  <c r="JY70" i="1"/>
  <c r="JZ70" i="1"/>
  <c r="KA70" i="1"/>
  <c r="KB70" i="1"/>
  <c r="KC70" i="1"/>
  <c r="KD70" i="1"/>
  <c r="KE70" i="1"/>
  <c r="KF70" i="1"/>
  <c r="KG70" i="1"/>
  <c r="KH70" i="1"/>
  <c r="KI70" i="1"/>
  <c r="KJ70" i="1"/>
  <c r="KK70" i="1"/>
  <c r="KL70" i="1"/>
  <c r="KM70" i="1"/>
  <c r="KN70" i="1"/>
  <c r="KO70" i="1"/>
  <c r="KP70" i="1"/>
  <c r="KQ70" i="1"/>
  <c r="KR70" i="1"/>
  <c r="KS70" i="1"/>
  <c r="KT70" i="1"/>
  <c r="KU70" i="1"/>
  <c r="KV70" i="1"/>
  <c r="KW70" i="1"/>
  <c r="KX70" i="1"/>
  <c r="KY70" i="1"/>
  <c r="KZ70" i="1"/>
  <c r="LA70" i="1"/>
  <c r="LB70" i="1"/>
  <c r="LC70" i="1"/>
  <c r="LD70" i="1"/>
  <c r="LE70" i="1"/>
  <c r="LF70" i="1"/>
  <c r="LG70" i="1"/>
  <c r="LH70" i="1"/>
  <c r="LI70" i="1"/>
  <c r="LJ70" i="1"/>
  <c r="LK70" i="1"/>
  <c r="LL70" i="1"/>
  <c r="LM70" i="1"/>
  <c r="LN70" i="1"/>
  <c r="LO70" i="1"/>
  <c r="LP70" i="1"/>
  <c r="LQ70" i="1"/>
  <c r="LR70" i="1"/>
  <c r="LS70" i="1"/>
  <c r="LT70" i="1"/>
  <c r="LU70" i="1"/>
  <c r="LV70" i="1"/>
  <c r="LW70" i="1"/>
  <c r="LX70" i="1"/>
  <c r="LY70" i="1"/>
  <c r="LZ70" i="1"/>
  <c r="MA70" i="1"/>
  <c r="MB70" i="1"/>
  <c r="MC70" i="1"/>
  <c r="MD70" i="1"/>
  <c r="ME70" i="1"/>
  <c r="MF70" i="1"/>
  <c r="MG70" i="1"/>
  <c r="MH70" i="1"/>
  <c r="MI70" i="1"/>
  <c r="MJ70" i="1"/>
  <c r="MK70" i="1"/>
  <c r="ML70" i="1"/>
  <c r="MM70" i="1"/>
  <c r="MN70" i="1"/>
  <c r="MO70" i="1"/>
  <c r="MP70" i="1"/>
  <c r="MQ70" i="1"/>
  <c r="MR70" i="1"/>
  <c r="JU71" i="1"/>
  <c r="JV71" i="1"/>
  <c r="JW71" i="1"/>
  <c r="JX71" i="1"/>
  <c r="JY71" i="1"/>
  <c r="JZ71" i="1"/>
  <c r="KA71" i="1"/>
  <c r="KB71" i="1"/>
  <c r="KC71" i="1"/>
  <c r="KD71" i="1"/>
  <c r="KE71" i="1"/>
  <c r="KF71" i="1"/>
  <c r="KG71" i="1"/>
  <c r="KH71" i="1"/>
  <c r="KI71" i="1"/>
  <c r="KJ71" i="1"/>
  <c r="KK71" i="1"/>
  <c r="KL71" i="1"/>
  <c r="KM71" i="1"/>
  <c r="KN71" i="1"/>
  <c r="KO71" i="1"/>
  <c r="KP71" i="1"/>
  <c r="KQ71" i="1"/>
  <c r="KR71" i="1"/>
  <c r="KS71" i="1"/>
  <c r="KT71" i="1"/>
  <c r="KU71" i="1"/>
  <c r="KV71" i="1"/>
  <c r="KW71" i="1"/>
  <c r="KX71" i="1"/>
  <c r="KY71" i="1"/>
  <c r="KZ71" i="1"/>
  <c r="LA71" i="1"/>
  <c r="LB71" i="1"/>
  <c r="LC71" i="1"/>
  <c r="LD71" i="1"/>
  <c r="LE71" i="1"/>
  <c r="LF71" i="1"/>
  <c r="LG71" i="1"/>
  <c r="LH71" i="1"/>
  <c r="LI71" i="1"/>
  <c r="LJ71" i="1"/>
  <c r="LK71" i="1"/>
  <c r="LL71" i="1"/>
  <c r="LM71" i="1"/>
  <c r="LN71" i="1"/>
  <c r="LO71" i="1"/>
  <c r="LP71" i="1"/>
  <c r="LQ71" i="1"/>
  <c r="LR71" i="1"/>
  <c r="LS71" i="1"/>
  <c r="LT71" i="1"/>
  <c r="LU71" i="1"/>
  <c r="LV71" i="1"/>
  <c r="LW71" i="1"/>
  <c r="LX71" i="1"/>
  <c r="LY71" i="1"/>
  <c r="LZ71" i="1"/>
  <c r="MA71" i="1"/>
  <c r="MB71" i="1"/>
  <c r="MC71" i="1"/>
  <c r="MD71" i="1"/>
  <c r="ME71" i="1"/>
  <c r="MF71" i="1"/>
  <c r="MG71" i="1"/>
  <c r="MH71" i="1"/>
  <c r="MI71" i="1"/>
  <c r="MJ71" i="1"/>
  <c r="MK71" i="1"/>
  <c r="ML71" i="1"/>
  <c r="MM71" i="1"/>
  <c r="MN71" i="1"/>
  <c r="MO71" i="1"/>
  <c r="MP71" i="1"/>
  <c r="MQ71" i="1"/>
  <c r="MR71" i="1"/>
  <c r="JU72" i="1"/>
  <c r="JV72" i="1"/>
  <c r="JW72" i="1"/>
  <c r="JX72" i="1"/>
  <c r="JY72" i="1"/>
  <c r="JZ72" i="1"/>
  <c r="KA72" i="1"/>
  <c r="KB72" i="1"/>
  <c r="KC72" i="1"/>
  <c r="KD72" i="1"/>
  <c r="KE72" i="1"/>
  <c r="KF72" i="1"/>
  <c r="KG72" i="1"/>
  <c r="KH72" i="1"/>
  <c r="KI72" i="1"/>
  <c r="KJ72" i="1"/>
  <c r="KK72" i="1"/>
  <c r="KL72" i="1"/>
  <c r="KM72" i="1"/>
  <c r="KN72" i="1"/>
  <c r="KO72" i="1"/>
  <c r="KP72" i="1"/>
  <c r="KQ72" i="1"/>
  <c r="KR72" i="1"/>
  <c r="KS72" i="1"/>
  <c r="KT72" i="1"/>
  <c r="KU72" i="1"/>
  <c r="KV72" i="1"/>
  <c r="KW72" i="1"/>
  <c r="KX72" i="1"/>
  <c r="KY72" i="1"/>
  <c r="KZ72" i="1"/>
  <c r="LA72" i="1"/>
  <c r="LB72" i="1"/>
  <c r="LC72" i="1"/>
  <c r="LD72" i="1"/>
  <c r="LE72" i="1"/>
  <c r="LF72" i="1"/>
  <c r="LG72" i="1"/>
  <c r="LH72" i="1"/>
  <c r="LI72" i="1"/>
  <c r="LJ72" i="1"/>
  <c r="LK72" i="1"/>
  <c r="LL72" i="1"/>
  <c r="LM72" i="1"/>
  <c r="LN72" i="1"/>
  <c r="LO72" i="1"/>
  <c r="LP72" i="1"/>
  <c r="LQ72" i="1"/>
  <c r="LR72" i="1"/>
  <c r="LS72" i="1"/>
  <c r="LT72" i="1"/>
  <c r="LU72" i="1"/>
  <c r="LV72" i="1"/>
  <c r="LW72" i="1"/>
  <c r="LX72" i="1"/>
  <c r="LY72" i="1"/>
  <c r="LZ72" i="1"/>
  <c r="MA72" i="1"/>
  <c r="MB72" i="1"/>
  <c r="MC72" i="1"/>
  <c r="MD72" i="1"/>
  <c r="ME72" i="1"/>
  <c r="MF72" i="1"/>
  <c r="MG72" i="1"/>
  <c r="MH72" i="1"/>
  <c r="MI72" i="1"/>
  <c r="MJ72" i="1"/>
  <c r="MK72" i="1"/>
  <c r="ML72" i="1"/>
  <c r="MM72" i="1"/>
  <c r="MN72" i="1"/>
  <c r="MO72" i="1"/>
  <c r="MP72" i="1"/>
  <c r="MQ72" i="1"/>
  <c r="MR72" i="1"/>
  <c r="JU73" i="1"/>
  <c r="JV73" i="1"/>
  <c r="JW73" i="1"/>
  <c r="JX73" i="1"/>
  <c r="JY73" i="1"/>
  <c r="JZ73" i="1"/>
  <c r="KA73" i="1"/>
  <c r="KB73" i="1"/>
  <c r="KC73" i="1"/>
  <c r="KD73" i="1"/>
  <c r="KE73" i="1"/>
  <c r="KF73" i="1"/>
  <c r="KG73" i="1"/>
  <c r="KH73" i="1"/>
  <c r="KI73" i="1"/>
  <c r="KJ73" i="1"/>
  <c r="KK73" i="1"/>
  <c r="KL73" i="1"/>
  <c r="KM73" i="1"/>
  <c r="KN73" i="1"/>
  <c r="KO73" i="1"/>
  <c r="KP73" i="1"/>
  <c r="KQ73" i="1"/>
  <c r="KR73" i="1"/>
  <c r="KS73" i="1"/>
  <c r="KT73" i="1"/>
  <c r="KU73" i="1"/>
  <c r="KV73" i="1"/>
  <c r="KW73" i="1"/>
  <c r="KX73" i="1"/>
  <c r="KY73" i="1"/>
  <c r="KZ73" i="1"/>
  <c r="LA73" i="1"/>
  <c r="LB73" i="1"/>
  <c r="LC73" i="1"/>
  <c r="LD73" i="1"/>
  <c r="LE73" i="1"/>
  <c r="LF73" i="1"/>
  <c r="LG73" i="1"/>
  <c r="LH73" i="1"/>
  <c r="LI73" i="1"/>
  <c r="LJ73" i="1"/>
  <c r="LK73" i="1"/>
  <c r="LL73" i="1"/>
  <c r="LM73" i="1"/>
  <c r="LN73" i="1"/>
  <c r="LO73" i="1"/>
  <c r="LP73" i="1"/>
  <c r="LQ73" i="1"/>
  <c r="LR73" i="1"/>
  <c r="LS73" i="1"/>
  <c r="LT73" i="1"/>
  <c r="LU73" i="1"/>
  <c r="LV73" i="1"/>
  <c r="LW73" i="1"/>
  <c r="LX73" i="1"/>
  <c r="LY73" i="1"/>
  <c r="LZ73" i="1"/>
  <c r="MA73" i="1"/>
  <c r="MB73" i="1"/>
  <c r="MC73" i="1"/>
  <c r="MD73" i="1"/>
  <c r="ME73" i="1"/>
  <c r="MF73" i="1"/>
  <c r="MG73" i="1"/>
  <c r="MH73" i="1"/>
  <c r="MI73" i="1"/>
  <c r="MJ73" i="1"/>
  <c r="MK73" i="1"/>
  <c r="ML73" i="1"/>
  <c r="MM73" i="1"/>
  <c r="MN73" i="1"/>
  <c r="MO73" i="1"/>
  <c r="MP73" i="1"/>
  <c r="MQ73" i="1"/>
  <c r="MR73" i="1"/>
  <c r="JU74" i="1"/>
  <c r="JV74" i="1"/>
  <c r="JW74" i="1"/>
  <c r="JX74" i="1"/>
  <c r="JY74" i="1"/>
  <c r="JZ74" i="1"/>
  <c r="KA74" i="1"/>
  <c r="KB74" i="1"/>
  <c r="KC74" i="1"/>
  <c r="KD74" i="1"/>
  <c r="KE74" i="1"/>
  <c r="KF74" i="1"/>
  <c r="KG74" i="1"/>
  <c r="KH74" i="1"/>
  <c r="KI74" i="1"/>
  <c r="KJ74" i="1"/>
  <c r="KK74" i="1"/>
  <c r="KL74" i="1"/>
  <c r="KM74" i="1"/>
  <c r="KN74" i="1"/>
  <c r="KO74" i="1"/>
  <c r="KP74" i="1"/>
  <c r="KQ74" i="1"/>
  <c r="KR74" i="1"/>
  <c r="KS74" i="1"/>
  <c r="KT74" i="1"/>
  <c r="KU74" i="1"/>
  <c r="KV74" i="1"/>
  <c r="KW74" i="1"/>
  <c r="KX74" i="1"/>
  <c r="KY74" i="1"/>
  <c r="KZ74" i="1"/>
  <c r="LA74" i="1"/>
  <c r="LB74" i="1"/>
  <c r="LC74" i="1"/>
  <c r="LD74" i="1"/>
  <c r="LE74" i="1"/>
  <c r="LF74" i="1"/>
  <c r="LG74" i="1"/>
  <c r="LH74" i="1"/>
  <c r="LI74" i="1"/>
  <c r="LJ74" i="1"/>
  <c r="LK74" i="1"/>
  <c r="LL74" i="1"/>
  <c r="LM74" i="1"/>
  <c r="LN74" i="1"/>
  <c r="LO74" i="1"/>
  <c r="LP74" i="1"/>
  <c r="LQ74" i="1"/>
  <c r="LR74" i="1"/>
  <c r="LS74" i="1"/>
  <c r="LT74" i="1"/>
  <c r="LU74" i="1"/>
  <c r="LV74" i="1"/>
  <c r="LW74" i="1"/>
  <c r="LX74" i="1"/>
  <c r="LY74" i="1"/>
  <c r="LZ74" i="1"/>
  <c r="MA74" i="1"/>
  <c r="MB74" i="1"/>
  <c r="MC74" i="1"/>
  <c r="MD74" i="1"/>
  <c r="ME74" i="1"/>
  <c r="MF74" i="1"/>
  <c r="MG74" i="1"/>
  <c r="MH74" i="1"/>
  <c r="MI74" i="1"/>
  <c r="MJ74" i="1"/>
  <c r="MK74" i="1"/>
  <c r="ML74" i="1"/>
  <c r="MM74" i="1"/>
  <c r="MN74" i="1"/>
  <c r="MO74" i="1"/>
  <c r="MP74" i="1"/>
  <c r="MQ74" i="1"/>
  <c r="MR74" i="1"/>
  <c r="JU75" i="1"/>
  <c r="JV75" i="1"/>
  <c r="JW75" i="1"/>
  <c r="JX75" i="1"/>
  <c r="JY75" i="1"/>
  <c r="JZ75" i="1"/>
  <c r="KA75" i="1"/>
  <c r="KB75" i="1"/>
  <c r="KC75" i="1"/>
  <c r="KD75" i="1"/>
  <c r="KE75" i="1"/>
  <c r="KF75" i="1"/>
  <c r="KG75" i="1"/>
  <c r="KH75" i="1"/>
  <c r="KI75" i="1"/>
  <c r="KJ75" i="1"/>
  <c r="KK75" i="1"/>
  <c r="KL75" i="1"/>
  <c r="KM75" i="1"/>
  <c r="KN75" i="1"/>
  <c r="KO75" i="1"/>
  <c r="KP75" i="1"/>
  <c r="KQ75" i="1"/>
  <c r="KR75" i="1"/>
  <c r="KS75" i="1"/>
  <c r="KT75" i="1"/>
  <c r="KU75" i="1"/>
  <c r="KV75" i="1"/>
  <c r="KW75" i="1"/>
  <c r="KX75" i="1"/>
  <c r="KY75" i="1"/>
  <c r="KZ75" i="1"/>
  <c r="LD75" i="1"/>
  <c r="LE75" i="1"/>
  <c r="LF75" i="1"/>
  <c r="LG75" i="1"/>
  <c r="LH75" i="1"/>
  <c r="LI75" i="1"/>
  <c r="LJ75" i="1"/>
  <c r="LK75" i="1"/>
  <c r="LL75" i="1"/>
  <c r="LM75" i="1"/>
  <c r="LN75" i="1"/>
  <c r="LO75" i="1"/>
  <c r="LP75" i="1"/>
  <c r="LQ75" i="1"/>
  <c r="LR75" i="1"/>
  <c r="LS75" i="1"/>
  <c r="LT75" i="1"/>
  <c r="LU75" i="1"/>
  <c r="LV75" i="1"/>
  <c r="LW75" i="1"/>
  <c r="LX75" i="1"/>
  <c r="LY75" i="1"/>
  <c r="LZ75" i="1"/>
  <c r="MA75" i="1"/>
  <c r="MB75" i="1"/>
  <c r="MC75" i="1"/>
  <c r="MD75" i="1"/>
  <c r="ME75" i="1"/>
  <c r="MF75" i="1"/>
  <c r="MG75" i="1"/>
  <c r="MH75" i="1"/>
  <c r="MI75" i="1"/>
  <c r="MJ75" i="1"/>
  <c r="MK75" i="1"/>
  <c r="ML75" i="1"/>
  <c r="MM75" i="1"/>
  <c r="MN75" i="1"/>
  <c r="MO75" i="1"/>
  <c r="MP75" i="1"/>
  <c r="MQ75" i="1"/>
  <c r="MR75" i="1"/>
  <c r="JU76" i="1"/>
  <c r="JV76" i="1"/>
  <c r="JW76" i="1"/>
  <c r="JX76" i="1"/>
  <c r="JY76" i="1"/>
  <c r="JZ76" i="1"/>
  <c r="KA76" i="1"/>
  <c r="KB76" i="1"/>
  <c r="KC76" i="1"/>
  <c r="KD76" i="1"/>
  <c r="KE76" i="1"/>
  <c r="KF76" i="1"/>
  <c r="KG76" i="1"/>
  <c r="KH76" i="1"/>
  <c r="KI76" i="1"/>
  <c r="KJ76" i="1"/>
  <c r="KK76" i="1"/>
  <c r="KL76" i="1"/>
  <c r="KM76" i="1"/>
  <c r="KN76" i="1"/>
  <c r="KO76" i="1"/>
  <c r="KP76" i="1"/>
  <c r="KQ76" i="1"/>
  <c r="KR76" i="1"/>
  <c r="KS76" i="1"/>
  <c r="KT76" i="1"/>
  <c r="KU76" i="1"/>
  <c r="KV76" i="1"/>
  <c r="KW76" i="1"/>
  <c r="KX76" i="1"/>
  <c r="KY76" i="1"/>
  <c r="KZ76" i="1"/>
  <c r="LA76" i="1"/>
  <c r="LB76" i="1"/>
  <c r="LC76" i="1"/>
  <c r="LD76" i="1"/>
  <c r="LE76" i="1"/>
  <c r="LF76" i="1"/>
  <c r="LG76" i="1"/>
  <c r="LH76" i="1"/>
  <c r="LI76" i="1"/>
  <c r="LJ76" i="1"/>
  <c r="LK76" i="1"/>
  <c r="LL76" i="1"/>
  <c r="LM76" i="1"/>
  <c r="LN76" i="1"/>
  <c r="LO76" i="1"/>
  <c r="LP76" i="1"/>
  <c r="LQ76" i="1"/>
  <c r="LR76" i="1"/>
  <c r="LS76" i="1"/>
  <c r="LT76" i="1"/>
  <c r="LU76" i="1"/>
  <c r="LV76" i="1"/>
  <c r="LW76" i="1"/>
  <c r="LX76" i="1"/>
  <c r="LY76" i="1"/>
  <c r="LZ76" i="1"/>
  <c r="MA76" i="1"/>
  <c r="MB76" i="1"/>
  <c r="MC76" i="1"/>
  <c r="MD76" i="1"/>
  <c r="ME76" i="1"/>
  <c r="MF76" i="1"/>
  <c r="MG76" i="1"/>
  <c r="MH76" i="1"/>
  <c r="MI76" i="1"/>
  <c r="MJ76" i="1"/>
  <c r="MK76" i="1"/>
  <c r="ML76" i="1"/>
  <c r="MM76" i="1"/>
  <c r="MN76" i="1"/>
  <c r="MO76" i="1"/>
  <c r="MP76" i="1"/>
  <c r="MQ76" i="1"/>
  <c r="MR76" i="1"/>
  <c r="JU77" i="1"/>
  <c r="JV77" i="1"/>
  <c r="JW77" i="1"/>
  <c r="JX77" i="1"/>
  <c r="JY77" i="1"/>
  <c r="JZ77" i="1"/>
  <c r="KA77" i="1"/>
  <c r="KB77" i="1"/>
  <c r="KC77" i="1"/>
  <c r="KD77" i="1"/>
  <c r="KE77" i="1"/>
  <c r="KF77" i="1"/>
  <c r="KG77" i="1"/>
  <c r="KH77" i="1"/>
  <c r="KI77" i="1"/>
  <c r="KJ77" i="1"/>
  <c r="KK77" i="1"/>
  <c r="KL77" i="1"/>
  <c r="KM77" i="1"/>
  <c r="KN77" i="1"/>
  <c r="KO77" i="1"/>
  <c r="KP77" i="1"/>
  <c r="KQ77" i="1"/>
  <c r="KR77" i="1"/>
  <c r="KS77" i="1"/>
  <c r="KT77" i="1"/>
  <c r="KU77" i="1"/>
  <c r="KV77" i="1"/>
  <c r="KW77" i="1"/>
  <c r="KX77" i="1"/>
  <c r="KY77" i="1"/>
  <c r="KZ77" i="1"/>
  <c r="LA77" i="1"/>
  <c r="LB77" i="1"/>
  <c r="LC77" i="1"/>
  <c r="LD77" i="1"/>
  <c r="LE77" i="1"/>
  <c r="LF77" i="1"/>
  <c r="LG77" i="1"/>
  <c r="LH77" i="1"/>
  <c r="LI77" i="1"/>
  <c r="LJ77" i="1"/>
  <c r="LK77" i="1"/>
  <c r="LL77" i="1"/>
  <c r="LM77" i="1"/>
  <c r="LN77" i="1"/>
  <c r="LO77" i="1"/>
  <c r="LP77" i="1"/>
  <c r="LQ77" i="1"/>
  <c r="LR77" i="1"/>
  <c r="LS77" i="1"/>
  <c r="LT77" i="1"/>
  <c r="LU77" i="1"/>
  <c r="LV77" i="1"/>
  <c r="LW77" i="1"/>
  <c r="LX77" i="1"/>
  <c r="LY77" i="1"/>
  <c r="LZ77" i="1"/>
  <c r="MA77" i="1"/>
  <c r="MB77" i="1"/>
  <c r="MC77" i="1"/>
  <c r="MD77" i="1"/>
  <c r="ME77" i="1"/>
  <c r="MF77" i="1"/>
  <c r="MG77" i="1"/>
  <c r="MH77" i="1"/>
  <c r="MI77" i="1"/>
  <c r="MJ77" i="1"/>
  <c r="MK77" i="1"/>
  <c r="ML77" i="1"/>
  <c r="MM77" i="1"/>
  <c r="MN77" i="1"/>
  <c r="MO77" i="1"/>
  <c r="MP77" i="1"/>
  <c r="MQ77" i="1"/>
  <c r="MR77" i="1"/>
  <c r="JU78" i="1"/>
  <c r="JV78" i="1"/>
  <c r="JW78" i="1"/>
  <c r="JX78" i="1"/>
  <c r="JY78" i="1"/>
  <c r="JZ78" i="1"/>
  <c r="KA78" i="1"/>
  <c r="KB78" i="1"/>
  <c r="KC78" i="1"/>
  <c r="KD78" i="1"/>
  <c r="KE78" i="1"/>
  <c r="KF78" i="1"/>
  <c r="KG78" i="1"/>
  <c r="KH78" i="1"/>
  <c r="KI78" i="1"/>
  <c r="KJ78" i="1"/>
  <c r="KK78" i="1"/>
  <c r="KL78" i="1"/>
  <c r="KM78" i="1"/>
  <c r="KN78" i="1"/>
  <c r="KO78" i="1"/>
  <c r="KP78" i="1"/>
  <c r="KQ78" i="1"/>
  <c r="KR78" i="1"/>
  <c r="KS78" i="1"/>
  <c r="KT78" i="1"/>
  <c r="KU78" i="1"/>
  <c r="KV78" i="1"/>
  <c r="KW78" i="1"/>
  <c r="KX78" i="1"/>
  <c r="KY78" i="1"/>
  <c r="KZ78" i="1"/>
  <c r="LA78" i="1"/>
  <c r="LB78" i="1"/>
  <c r="LC78" i="1"/>
  <c r="LD78" i="1"/>
  <c r="LE78" i="1"/>
  <c r="LF78" i="1"/>
  <c r="LG78" i="1"/>
  <c r="LH78" i="1"/>
  <c r="LI78" i="1"/>
  <c r="LJ78" i="1"/>
  <c r="LK78" i="1"/>
  <c r="LL78" i="1"/>
  <c r="LM78" i="1"/>
  <c r="LN78" i="1"/>
  <c r="LO78" i="1"/>
  <c r="LP78" i="1"/>
  <c r="LQ78" i="1"/>
  <c r="LR78" i="1"/>
  <c r="LS78" i="1"/>
  <c r="LT78" i="1"/>
  <c r="LU78" i="1"/>
  <c r="LV78" i="1"/>
  <c r="LW78" i="1"/>
  <c r="LX78" i="1"/>
  <c r="LY78" i="1"/>
  <c r="LZ78" i="1"/>
  <c r="MA78" i="1"/>
  <c r="MB78" i="1"/>
  <c r="MC78" i="1"/>
  <c r="MD78" i="1"/>
  <c r="ME78" i="1"/>
  <c r="MF78" i="1"/>
  <c r="MG78" i="1"/>
  <c r="MH78" i="1"/>
  <c r="MI78" i="1"/>
  <c r="MJ78" i="1"/>
  <c r="MK78" i="1"/>
  <c r="ML78" i="1"/>
  <c r="MM78" i="1"/>
  <c r="MN78" i="1"/>
  <c r="MO78" i="1"/>
  <c r="MP78" i="1"/>
  <c r="MQ78" i="1"/>
  <c r="MR78" i="1"/>
  <c r="JU79" i="1"/>
  <c r="JV79" i="1"/>
  <c r="JW79" i="1"/>
  <c r="JX79" i="1"/>
  <c r="JY79" i="1"/>
  <c r="JZ79" i="1"/>
  <c r="KA79" i="1"/>
  <c r="KB79" i="1"/>
  <c r="KC79" i="1"/>
  <c r="KD79" i="1"/>
  <c r="KE79" i="1"/>
  <c r="KF79" i="1"/>
  <c r="KG79" i="1"/>
  <c r="KH79" i="1"/>
  <c r="KI79" i="1"/>
  <c r="KJ79" i="1"/>
  <c r="KK79" i="1"/>
  <c r="KL79" i="1"/>
  <c r="KM79" i="1"/>
  <c r="KN79" i="1"/>
  <c r="KO79" i="1"/>
  <c r="KP79" i="1"/>
  <c r="KQ79" i="1"/>
  <c r="KR79" i="1"/>
  <c r="KS79" i="1"/>
  <c r="KT79" i="1"/>
  <c r="KU79" i="1"/>
  <c r="KV79" i="1"/>
  <c r="KW79" i="1"/>
  <c r="KX79" i="1"/>
  <c r="KY79" i="1"/>
  <c r="KZ79" i="1"/>
  <c r="LA79" i="1"/>
  <c r="LB79" i="1"/>
  <c r="LC79" i="1"/>
  <c r="LD79" i="1"/>
  <c r="LE79" i="1"/>
  <c r="LF79" i="1"/>
  <c r="LG79" i="1"/>
  <c r="LH79" i="1"/>
  <c r="LI79" i="1"/>
  <c r="LJ79" i="1"/>
  <c r="LK79" i="1"/>
  <c r="LL79" i="1"/>
  <c r="LM79" i="1"/>
  <c r="LN79" i="1"/>
  <c r="LO79" i="1"/>
  <c r="LP79" i="1"/>
  <c r="LQ79" i="1"/>
  <c r="LR79" i="1"/>
  <c r="LS79" i="1"/>
  <c r="LT79" i="1"/>
  <c r="LU79" i="1"/>
  <c r="LV79" i="1"/>
  <c r="LW79" i="1"/>
  <c r="LX79" i="1"/>
  <c r="LY79" i="1"/>
  <c r="LZ79" i="1"/>
  <c r="MA79" i="1"/>
  <c r="MB79" i="1"/>
  <c r="MC79" i="1"/>
  <c r="MD79" i="1"/>
  <c r="ME79" i="1"/>
  <c r="MF79" i="1"/>
  <c r="MG79" i="1"/>
  <c r="MH79" i="1"/>
  <c r="MI79" i="1"/>
  <c r="MJ79" i="1"/>
  <c r="MK79" i="1"/>
  <c r="ML79" i="1"/>
  <c r="MM79" i="1"/>
  <c r="MN79" i="1"/>
  <c r="MO79" i="1"/>
  <c r="MP79" i="1"/>
  <c r="MQ79" i="1"/>
  <c r="MR79" i="1"/>
  <c r="JU80" i="1"/>
  <c r="JV80" i="1"/>
  <c r="JW80" i="1"/>
  <c r="JX80" i="1"/>
  <c r="JY80" i="1"/>
  <c r="JZ80" i="1"/>
  <c r="KA80" i="1"/>
  <c r="KB80" i="1"/>
  <c r="KC80" i="1"/>
  <c r="KD80" i="1"/>
  <c r="KE80" i="1"/>
  <c r="KF80" i="1"/>
  <c r="KG80" i="1"/>
  <c r="KH80" i="1"/>
  <c r="KI80" i="1"/>
  <c r="KJ80" i="1"/>
  <c r="KK80" i="1"/>
  <c r="KL80" i="1"/>
  <c r="KM80" i="1"/>
  <c r="KN80" i="1"/>
  <c r="KO80" i="1"/>
  <c r="KP80" i="1"/>
  <c r="KQ80" i="1"/>
  <c r="KR80" i="1"/>
  <c r="KS80" i="1"/>
  <c r="KT80" i="1"/>
  <c r="KU80" i="1"/>
  <c r="KV80" i="1"/>
  <c r="KW80" i="1"/>
  <c r="KX80" i="1"/>
  <c r="KY80" i="1"/>
  <c r="KZ80" i="1"/>
  <c r="LA80" i="1"/>
  <c r="LB80" i="1"/>
  <c r="LC80" i="1"/>
  <c r="LD80" i="1"/>
  <c r="LE80" i="1"/>
  <c r="LF80" i="1"/>
  <c r="LG80" i="1"/>
  <c r="LH80" i="1"/>
  <c r="LI80" i="1"/>
  <c r="LJ80" i="1"/>
  <c r="LK80" i="1"/>
  <c r="LL80" i="1"/>
  <c r="LM80" i="1"/>
  <c r="LN80" i="1"/>
  <c r="LO80" i="1"/>
  <c r="LP80" i="1"/>
  <c r="LQ80" i="1"/>
  <c r="LR80" i="1"/>
  <c r="LS80" i="1"/>
  <c r="LT80" i="1"/>
  <c r="LU80" i="1"/>
  <c r="LV80" i="1"/>
  <c r="LW80" i="1"/>
  <c r="LX80" i="1"/>
  <c r="LY80" i="1"/>
  <c r="LZ80" i="1"/>
  <c r="MA80" i="1"/>
  <c r="MB80" i="1"/>
  <c r="MC80" i="1"/>
  <c r="MD80" i="1"/>
  <c r="ME80" i="1"/>
  <c r="MF80" i="1"/>
  <c r="MG80" i="1"/>
  <c r="MH80" i="1"/>
  <c r="MI80" i="1"/>
  <c r="MJ80" i="1"/>
  <c r="MK80" i="1"/>
  <c r="ML80" i="1"/>
  <c r="MM80" i="1"/>
  <c r="MN80" i="1"/>
  <c r="MO80" i="1"/>
  <c r="MP80" i="1"/>
  <c r="MQ80" i="1"/>
  <c r="MR80" i="1"/>
  <c r="JU81" i="1"/>
  <c r="JV81" i="1"/>
  <c r="JW81" i="1"/>
  <c r="JX81" i="1"/>
  <c r="JY81" i="1"/>
  <c r="JZ81" i="1"/>
  <c r="KA81" i="1"/>
  <c r="KB81" i="1"/>
  <c r="KC81" i="1"/>
  <c r="KD81" i="1"/>
  <c r="KE81" i="1"/>
  <c r="KF81" i="1"/>
  <c r="KG81" i="1"/>
  <c r="KH81" i="1"/>
  <c r="KI81" i="1"/>
  <c r="KJ81" i="1"/>
  <c r="KK81" i="1"/>
  <c r="KL81" i="1"/>
  <c r="KM81" i="1"/>
  <c r="KN81" i="1"/>
  <c r="KO81" i="1"/>
  <c r="KP81" i="1"/>
  <c r="KQ81" i="1"/>
  <c r="KR81" i="1"/>
  <c r="KS81" i="1"/>
  <c r="KT81" i="1"/>
  <c r="KU81" i="1"/>
  <c r="KV81" i="1"/>
  <c r="KW81" i="1"/>
  <c r="KX81" i="1"/>
  <c r="KY81" i="1"/>
  <c r="KZ81" i="1"/>
  <c r="LA81" i="1"/>
  <c r="LB81" i="1"/>
  <c r="LC81" i="1"/>
  <c r="LD81" i="1"/>
  <c r="LF81" i="1"/>
  <c r="LG81" i="1"/>
  <c r="LH81" i="1"/>
  <c r="LI81" i="1"/>
  <c r="LJ81" i="1"/>
  <c r="LK81" i="1"/>
  <c r="LL81" i="1"/>
  <c r="LM81" i="1"/>
  <c r="LN81" i="1"/>
  <c r="LO81" i="1"/>
  <c r="LP81" i="1"/>
  <c r="LQ81" i="1"/>
  <c r="LR81" i="1"/>
  <c r="LS81" i="1"/>
  <c r="LT81" i="1"/>
  <c r="LU81" i="1"/>
  <c r="LV81" i="1"/>
  <c r="LW81" i="1"/>
  <c r="LX81" i="1"/>
  <c r="LY81" i="1"/>
  <c r="LZ81" i="1"/>
  <c r="MA81" i="1"/>
  <c r="MB81" i="1"/>
  <c r="MC81" i="1"/>
  <c r="MD81" i="1"/>
  <c r="ME81" i="1"/>
  <c r="MF81" i="1"/>
  <c r="MG81" i="1"/>
  <c r="MH81" i="1"/>
  <c r="MI81" i="1"/>
  <c r="MJ81" i="1"/>
  <c r="MK81" i="1"/>
  <c r="ML81" i="1"/>
  <c r="MM81" i="1"/>
  <c r="MN81" i="1"/>
  <c r="MO81" i="1"/>
  <c r="MP81" i="1"/>
  <c r="MQ81" i="1"/>
  <c r="MR81" i="1"/>
  <c r="JU83" i="1"/>
  <c r="JV83" i="1"/>
  <c r="JW83" i="1"/>
  <c r="JX83" i="1"/>
  <c r="JY83" i="1"/>
  <c r="JZ83" i="1"/>
  <c r="KA83" i="1"/>
  <c r="KB83" i="1"/>
  <c r="KC83" i="1"/>
  <c r="KD83" i="1"/>
  <c r="KE83" i="1"/>
  <c r="KF83" i="1"/>
  <c r="KG83" i="1"/>
  <c r="KH83" i="1"/>
  <c r="KI83" i="1"/>
  <c r="KJ83" i="1"/>
  <c r="KK83" i="1"/>
  <c r="KL83" i="1"/>
  <c r="KM83" i="1"/>
  <c r="KN83" i="1"/>
  <c r="KO83" i="1"/>
  <c r="KP83" i="1"/>
  <c r="KQ83" i="1"/>
  <c r="KR83" i="1"/>
  <c r="KS83" i="1"/>
  <c r="KT83" i="1"/>
  <c r="KU83" i="1"/>
  <c r="KV83" i="1"/>
  <c r="KW83" i="1"/>
  <c r="KX83" i="1"/>
  <c r="KY83" i="1"/>
  <c r="KZ83" i="1"/>
  <c r="LA83" i="1"/>
  <c r="LB83" i="1"/>
  <c r="LC83" i="1"/>
  <c r="LD83" i="1"/>
  <c r="LE83" i="1"/>
  <c r="LF83" i="1"/>
  <c r="LG83" i="1"/>
  <c r="LH83" i="1"/>
  <c r="LI83" i="1"/>
  <c r="LJ83" i="1"/>
  <c r="LK83" i="1"/>
  <c r="LL83" i="1"/>
  <c r="LM83" i="1"/>
  <c r="LN83" i="1"/>
  <c r="LO83" i="1"/>
  <c r="LP83" i="1"/>
  <c r="LQ83" i="1"/>
  <c r="LR83" i="1"/>
  <c r="LS83" i="1"/>
  <c r="LT83" i="1"/>
  <c r="LU83" i="1"/>
  <c r="LV83" i="1"/>
  <c r="LW83" i="1"/>
  <c r="LX83" i="1"/>
  <c r="LY83" i="1"/>
  <c r="LZ83" i="1"/>
  <c r="MA83" i="1"/>
  <c r="MB83" i="1"/>
  <c r="MC83" i="1"/>
  <c r="MD83" i="1"/>
  <c r="ME83" i="1"/>
  <c r="MF83" i="1"/>
  <c r="MG83" i="1"/>
  <c r="MH83" i="1"/>
  <c r="MI83" i="1"/>
  <c r="MJ83" i="1"/>
  <c r="MK83" i="1"/>
  <c r="ML83" i="1"/>
  <c r="MM83" i="1"/>
  <c r="MN83" i="1"/>
  <c r="MO83" i="1"/>
  <c r="MP83" i="1"/>
  <c r="MQ83" i="1"/>
  <c r="MR83" i="1"/>
  <c r="JU84" i="1"/>
  <c r="JV84" i="1"/>
  <c r="JW84" i="1"/>
  <c r="JX84" i="1"/>
  <c r="JY84" i="1"/>
  <c r="JZ84" i="1"/>
  <c r="KA84" i="1"/>
  <c r="KB84" i="1"/>
  <c r="KC84" i="1"/>
  <c r="KD84" i="1"/>
  <c r="KE84" i="1"/>
  <c r="KF84" i="1"/>
  <c r="KG84" i="1"/>
  <c r="KH84" i="1"/>
  <c r="KI84" i="1"/>
  <c r="KJ84" i="1"/>
  <c r="KK84" i="1"/>
  <c r="KL84" i="1"/>
  <c r="KM84" i="1"/>
  <c r="KN84" i="1"/>
  <c r="KO84" i="1"/>
  <c r="KP84" i="1"/>
  <c r="KQ84" i="1"/>
  <c r="KR84" i="1"/>
  <c r="KS84" i="1"/>
  <c r="KT84" i="1"/>
  <c r="KU84" i="1"/>
  <c r="KV84" i="1"/>
  <c r="KW84" i="1"/>
  <c r="KX84" i="1"/>
  <c r="KY84" i="1"/>
  <c r="KZ84" i="1"/>
  <c r="LA84" i="1"/>
  <c r="LB84" i="1"/>
  <c r="LC84" i="1"/>
  <c r="LD84" i="1"/>
  <c r="LE84" i="1"/>
  <c r="LF84" i="1"/>
  <c r="LG84" i="1"/>
  <c r="LH84" i="1"/>
  <c r="LI84" i="1"/>
  <c r="LJ84" i="1"/>
  <c r="LK84" i="1"/>
  <c r="LL84" i="1"/>
  <c r="LM84" i="1"/>
  <c r="LN84" i="1"/>
  <c r="LO84" i="1"/>
  <c r="LP84" i="1"/>
  <c r="LQ84" i="1"/>
  <c r="LR84" i="1"/>
  <c r="LS84" i="1"/>
  <c r="LT84" i="1"/>
  <c r="LU84" i="1"/>
  <c r="LV84" i="1"/>
  <c r="LW84" i="1"/>
  <c r="LX84" i="1"/>
  <c r="LY84" i="1"/>
  <c r="LZ84" i="1"/>
  <c r="MA84" i="1"/>
  <c r="MB84" i="1"/>
  <c r="MC84" i="1"/>
  <c r="MD84" i="1"/>
  <c r="ME84" i="1"/>
  <c r="MF84" i="1"/>
  <c r="MG84" i="1"/>
  <c r="MH84" i="1"/>
  <c r="MI84" i="1"/>
  <c r="MJ84" i="1"/>
  <c r="MK84" i="1"/>
  <c r="ML84" i="1"/>
  <c r="MM84" i="1"/>
  <c r="MN84" i="1"/>
  <c r="MO84" i="1"/>
  <c r="MP84" i="1"/>
  <c r="MQ84" i="1"/>
  <c r="MR84" i="1"/>
  <c r="JU85" i="1"/>
  <c r="JV85" i="1"/>
  <c r="JW85" i="1"/>
  <c r="JX85" i="1"/>
  <c r="JY85" i="1"/>
  <c r="JZ85" i="1"/>
  <c r="KA85" i="1"/>
  <c r="KB85" i="1"/>
  <c r="KC85" i="1"/>
  <c r="KD85" i="1"/>
  <c r="KE85" i="1"/>
  <c r="KF85" i="1"/>
  <c r="KG85" i="1"/>
  <c r="KH85" i="1"/>
  <c r="KI85" i="1"/>
  <c r="KJ85" i="1"/>
  <c r="KK85" i="1"/>
  <c r="KL85" i="1"/>
  <c r="KM85" i="1"/>
  <c r="KN85" i="1"/>
  <c r="KO85" i="1"/>
  <c r="KP85" i="1"/>
  <c r="KQ85" i="1"/>
  <c r="KR85" i="1"/>
  <c r="KS85" i="1"/>
  <c r="KT85" i="1"/>
  <c r="KU85" i="1"/>
  <c r="KV85" i="1"/>
  <c r="KW85" i="1"/>
  <c r="KX85" i="1"/>
  <c r="KY85" i="1"/>
  <c r="KZ85" i="1"/>
  <c r="LA85" i="1"/>
  <c r="LB85" i="1"/>
  <c r="LC85" i="1"/>
  <c r="LD85" i="1"/>
  <c r="LE85" i="1"/>
  <c r="LF85" i="1"/>
  <c r="LG85" i="1"/>
  <c r="LH85" i="1"/>
  <c r="LI85" i="1"/>
  <c r="LJ85" i="1"/>
  <c r="LK85" i="1"/>
  <c r="LL85" i="1"/>
  <c r="LM85" i="1"/>
  <c r="LN85" i="1"/>
  <c r="LO85" i="1"/>
  <c r="LP85" i="1"/>
  <c r="LQ85" i="1"/>
  <c r="LR85" i="1"/>
  <c r="LS85" i="1"/>
  <c r="LT85" i="1"/>
  <c r="LU85" i="1"/>
  <c r="LV85" i="1"/>
  <c r="LW85" i="1"/>
  <c r="LX85" i="1"/>
  <c r="LY85" i="1"/>
  <c r="LZ85" i="1"/>
  <c r="MA85" i="1"/>
  <c r="MB85" i="1"/>
  <c r="MC85" i="1"/>
  <c r="MD85" i="1"/>
  <c r="ME85" i="1"/>
  <c r="MF85" i="1"/>
  <c r="MG85" i="1"/>
  <c r="MH85" i="1"/>
  <c r="MI85" i="1"/>
  <c r="MJ85" i="1"/>
  <c r="MK85" i="1"/>
  <c r="ML85" i="1"/>
  <c r="MM85" i="1"/>
  <c r="MN85" i="1"/>
  <c r="MO85" i="1"/>
  <c r="MP85" i="1"/>
  <c r="MQ85" i="1"/>
  <c r="MR85" i="1"/>
  <c r="JU86" i="1"/>
  <c r="JV86" i="1"/>
  <c r="JW86" i="1"/>
  <c r="JX86" i="1"/>
  <c r="JY86" i="1"/>
  <c r="JZ86" i="1"/>
  <c r="KA86" i="1"/>
  <c r="KB86" i="1"/>
  <c r="KC86" i="1"/>
  <c r="KD86" i="1"/>
  <c r="KE86" i="1"/>
  <c r="KF86" i="1"/>
  <c r="KG86" i="1"/>
  <c r="KH86" i="1"/>
  <c r="KI86" i="1"/>
  <c r="KJ86" i="1"/>
  <c r="KK86" i="1"/>
  <c r="KL86" i="1"/>
  <c r="KM86" i="1"/>
  <c r="KN86" i="1"/>
  <c r="KO86" i="1"/>
  <c r="KP86" i="1"/>
  <c r="KQ86" i="1"/>
  <c r="KR86" i="1"/>
  <c r="KS86" i="1"/>
  <c r="KT86" i="1"/>
  <c r="KU86" i="1"/>
  <c r="KV86" i="1"/>
  <c r="KW86" i="1"/>
  <c r="KX86" i="1"/>
  <c r="KY86" i="1"/>
  <c r="KZ86" i="1"/>
  <c r="LA86" i="1"/>
  <c r="LB86" i="1"/>
  <c r="LC86" i="1"/>
  <c r="LD86" i="1"/>
  <c r="LE86" i="1"/>
  <c r="LF86" i="1"/>
  <c r="LG86" i="1"/>
  <c r="LH86" i="1"/>
  <c r="LI86" i="1"/>
  <c r="LJ86" i="1"/>
  <c r="LK86" i="1"/>
  <c r="LL86" i="1"/>
  <c r="LM86" i="1"/>
  <c r="LN86" i="1"/>
  <c r="LO86" i="1"/>
  <c r="LP86" i="1"/>
  <c r="LQ86" i="1"/>
  <c r="LR86" i="1"/>
  <c r="LS86" i="1"/>
  <c r="LT86" i="1"/>
  <c r="LU86" i="1"/>
  <c r="LV86" i="1"/>
  <c r="LW86" i="1"/>
  <c r="LX86" i="1"/>
  <c r="LY86" i="1"/>
  <c r="LZ86" i="1"/>
  <c r="MA86" i="1"/>
  <c r="MB86" i="1"/>
  <c r="MC86" i="1"/>
  <c r="MD86" i="1"/>
  <c r="ME86" i="1"/>
  <c r="MF86" i="1"/>
  <c r="MG86" i="1"/>
  <c r="MH86" i="1"/>
  <c r="MI86" i="1"/>
  <c r="MJ86" i="1"/>
  <c r="MK86" i="1"/>
  <c r="ML86" i="1"/>
  <c r="MM86" i="1"/>
  <c r="MN86" i="1"/>
  <c r="MO86" i="1"/>
  <c r="MP86" i="1"/>
  <c r="MQ86" i="1"/>
  <c r="MR86" i="1"/>
  <c r="JU87" i="1"/>
  <c r="JV87" i="1"/>
  <c r="JW87" i="1"/>
  <c r="JX87" i="1"/>
  <c r="JY87" i="1"/>
  <c r="JZ87" i="1"/>
  <c r="KA87" i="1"/>
  <c r="KB87" i="1"/>
  <c r="KC87" i="1"/>
  <c r="KD87" i="1"/>
  <c r="KE87" i="1"/>
  <c r="KF87" i="1"/>
  <c r="KG87" i="1"/>
  <c r="KH87" i="1"/>
  <c r="KI87" i="1"/>
  <c r="KJ87" i="1"/>
  <c r="KK87" i="1"/>
  <c r="KL87" i="1"/>
  <c r="KM87" i="1"/>
  <c r="KN87" i="1"/>
  <c r="KO87" i="1"/>
  <c r="KP87" i="1"/>
  <c r="KQ87" i="1"/>
  <c r="KR87" i="1"/>
  <c r="KS87" i="1"/>
  <c r="KT87" i="1"/>
  <c r="KU87" i="1"/>
  <c r="KV87" i="1"/>
  <c r="KW87" i="1"/>
  <c r="KX87" i="1"/>
  <c r="KY87" i="1"/>
  <c r="KZ87" i="1"/>
  <c r="LA87" i="1"/>
  <c r="LB87" i="1"/>
  <c r="LC87" i="1"/>
  <c r="LD87" i="1"/>
  <c r="LE87" i="1"/>
  <c r="LF87" i="1"/>
  <c r="LG87" i="1"/>
  <c r="LH87" i="1"/>
  <c r="LI87" i="1"/>
  <c r="LJ87" i="1"/>
  <c r="LK87" i="1"/>
  <c r="LL87" i="1"/>
  <c r="LM87" i="1"/>
  <c r="LN87" i="1"/>
  <c r="LO87" i="1"/>
  <c r="LP87" i="1"/>
  <c r="LQ87" i="1"/>
  <c r="LR87" i="1"/>
  <c r="LS87" i="1"/>
  <c r="LT87" i="1"/>
  <c r="LU87" i="1"/>
  <c r="LV87" i="1"/>
  <c r="LW87" i="1"/>
  <c r="LX87" i="1"/>
  <c r="LY87" i="1"/>
  <c r="LZ87" i="1"/>
  <c r="MA87" i="1"/>
  <c r="MB87" i="1"/>
  <c r="MC87" i="1"/>
  <c r="MD87" i="1"/>
  <c r="ME87" i="1"/>
  <c r="MF87" i="1"/>
  <c r="MG87" i="1"/>
  <c r="MH87" i="1"/>
  <c r="MI87" i="1"/>
  <c r="MJ87" i="1"/>
  <c r="MK87" i="1"/>
  <c r="ML87" i="1"/>
  <c r="MM87" i="1"/>
  <c r="MN87" i="1"/>
  <c r="MO87" i="1"/>
  <c r="MP87" i="1"/>
  <c r="MQ87" i="1"/>
  <c r="MR87" i="1"/>
  <c r="JU88" i="1"/>
  <c r="JV88" i="1"/>
  <c r="JW88" i="1"/>
  <c r="JX88" i="1"/>
  <c r="JY88" i="1"/>
  <c r="JZ88" i="1"/>
  <c r="KA88" i="1"/>
  <c r="KB88" i="1"/>
  <c r="KC88" i="1"/>
  <c r="KD88" i="1"/>
  <c r="KE88" i="1"/>
  <c r="KF88" i="1"/>
  <c r="KG88" i="1"/>
  <c r="KH88" i="1"/>
  <c r="KI88" i="1"/>
  <c r="KJ88" i="1"/>
  <c r="KK88" i="1"/>
  <c r="KL88" i="1"/>
  <c r="KM88" i="1"/>
  <c r="KN88" i="1"/>
  <c r="KO88" i="1"/>
  <c r="KP88" i="1"/>
  <c r="KQ88" i="1"/>
  <c r="KR88" i="1"/>
  <c r="KS88" i="1"/>
  <c r="KT88" i="1"/>
  <c r="KU88" i="1"/>
  <c r="KV88" i="1"/>
  <c r="KW88" i="1"/>
  <c r="KX88" i="1"/>
  <c r="KY88" i="1"/>
  <c r="KZ88" i="1"/>
  <c r="LA88" i="1"/>
  <c r="LB88" i="1"/>
  <c r="LC88" i="1"/>
  <c r="LD88" i="1"/>
  <c r="LE88" i="1"/>
  <c r="LF88" i="1"/>
  <c r="LG88" i="1"/>
  <c r="LH88" i="1"/>
  <c r="LI88" i="1"/>
  <c r="LJ88" i="1"/>
  <c r="LK88" i="1"/>
  <c r="LL88" i="1"/>
  <c r="LM88" i="1"/>
  <c r="LN88" i="1"/>
  <c r="LO88" i="1"/>
  <c r="LP88" i="1"/>
  <c r="LQ88" i="1"/>
  <c r="LR88" i="1"/>
  <c r="LS88" i="1"/>
  <c r="LT88" i="1"/>
  <c r="LU88" i="1"/>
  <c r="LV88" i="1"/>
  <c r="LW88" i="1"/>
  <c r="LX88" i="1"/>
  <c r="LY88" i="1"/>
  <c r="LZ88" i="1"/>
  <c r="MA88" i="1"/>
  <c r="MB88" i="1"/>
  <c r="MC88" i="1"/>
  <c r="MD88" i="1"/>
  <c r="ME88" i="1"/>
  <c r="MF88" i="1"/>
  <c r="MG88" i="1"/>
  <c r="MH88" i="1"/>
  <c r="MI88" i="1"/>
  <c r="MJ88" i="1"/>
  <c r="MK88" i="1"/>
  <c r="ML88" i="1"/>
  <c r="MM88" i="1"/>
  <c r="MN88" i="1"/>
  <c r="MO88" i="1"/>
  <c r="MP88" i="1"/>
  <c r="MQ88" i="1"/>
  <c r="MR88" i="1"/>
  <c r="JU89" i="1"/>
  <c r="JV89" i="1"/>
  <c r="JW89" i="1"/>
  <c r="JX89" i="1"/>
  <c r="JY89" i="1"/>
  <c r="JZ89" i="1"/>
  <c r="KA89" i="1"/>
  <c r="KB89" i="1"/>
  <c r="KC89" i="1"/>
  <c r="KD89" i="1"/>
  <c r="KE89" i="1"/>
  <c r="KF89" i="1"/>
  <c r="KG89" i="1"/>
  <c r="KH89" i="1"/>
  <c r="KI89" i="1"/>
  <c r="KJ89" i="1"/>
  <c r="KK89" i="1"/>
  <c r="KL89" i="1"/>
  <c r="KM89" i="1"/>
  <c r="KN89" i="1"/>
  <c r="KO89" i="1"/>
  <c r="KP89" i="1"/>
  <c r="KQ89" i="1"/>
  <c r="KR89" i="1"/>
  <c r="KS89" i="1"/>
  <c r="KT89" i="1"/>
  <c r="KU89" i="1"/>
  <c r="KV89" i="1"/>
  <c r="KW89" i="1"/>
  <c r="KX89" i="1"/>
  <c r="KY89" i="1"/>
  <c r="KZ89" i="1"/>
  <c r="LA89" i="1"/>
  <c r="LB89" i="1"/>
  <c r="LC89" i="1"/>
  <c r="LD89" i="1"/>
  <c r="LE89" i="1"/>
  <c r="LF89" i="1"/>
  <c r="LG89" i="1"/>
  <c r="LH89" i="1"/>
  <c r="LI89" i="1"/>
  <c r="LJ89" i="1"/>
  <c r="LK89" i="1"/>
  <c r="LL89" i="1"/>
  <c r="LM89" i="1"/>
  <c r="LN89" i="1"/>
  <c r="LO89" i="1"/>
  <c r="LP89" i="1"/>
  <c r="LQ89" i="1"/>
  <c r="LR89" i="1"/>
  <c r="LS89" i="1"/>
  <c r="LT89" i="1"/>
  <c r="LU89" i="1"/>
  <c r="LV89" i="1"/>
  <c r="LW89" i="1"/>
  <c r="LX89" i="1"/>
  <c r="LY89" i="1"/>
  <c r="LZ89" i="1"/>
  <c r="MA89" i="1"/>
  <c r="MB89" i="1"/>
  <c r="MC89" i="1"/>
  <c r="MD89" i="1"/>
  <c r="ME89" i="1"/>
  <c r="MF89" i="1"/>
  <c r="MG89" i="1"/>
  <c r="MH89" i="1"/>
  <c r="MI89" i="1"/>
  <c r="MJ89" i="1"/>
  <c r="MM89" i="1"/>
  <c r="MN89" i="1"/>
  <c r="MO89" i="1"/>
  <c r="MP89" i="1"/>
  <c r="MQ89" i="1"/>
  <c r="MR89" i="1"/>
  <c r="JU90" i="1"/>
  <c r="JV90" i="1"/>
  <c r="JW90" i="1"/>
  <c r="JX90" i="1"/>
  <c r="JY90" i="1"/>
  <c r="JZ90" i="1"/>
  <c r="KA90" i="1"/>
  <c r="KB90" i="1"/>
  <c r="KC90" i="1"/>
  <c r="KD90" i="1"/>
  <c r="KE90" i="1"/>
  <c r="KF90" i="1"/>
  <c r="KG90" i="1"/>
  <c r="KH90" i="1"/>
  <c r="KI90" i="1"/>
  <c r="KJ90" i="1"/>
  <c r="KK90" i="1"/>
  <c r="KL90" i="1"/>
  <c r="KM90" i="1"/>
  <c r="KN90" i="1"/>
  <c r="KO90" i="1"/>
  <c r="KP90" i="1"/>
  <c r="KQ90" i="1"/>
  <c r="KR90" i="1"/>
  <c r="KS90" i="1"/>
  <c r="KT90" i="1"/>
  <c r="KU90" i="1"/>
  <c r="KV90" i="1"/>
  <c r="KW90" i="1"/>
  <c r="KX90" i="1"/>
  <c r="KY90" i="1"/>
  <c r="KZ90" i="1"/>
  <c r="LA90" i="1"/>
  <c r="LB90" i="1"/>
  <c r="LC90" i="1"/>
  <c r="LD90" i="1"/>
  <c r="LE90" i="1"/>
  <c r="LF90" i="1"/>
  <c r="LG90" i="1"/>
  <c r="LH90" i="1"/>
  <c r="LI90" i="1"/>
  <c r="LJ90" i="1"/>
  <c r="LK90" i="1"/>
  <c r="LL90" i="1"/>
  <c r="LM90" i="1"/>
  <c r="LN90" i="1"/>
  <c r="LO90" i="1"/>
  <c r="LP90" i="1"/>
  <c r="LQ90" i="1"/>
  <c r="LR90" i="1"/>
  <c r="LS90" i="1"/>
  <c r="LT90" i="1"/>
  <c r="LU90" i="1"/>
  <c r="LV90" i="1"/>
  <c r="LW90" i="1"/>
  <c r="LX90" i="1"/>
  <c r="LY90" i="1"/>
  <c r="LZ90" i="1"/>
  <c r="MA90" i="1"/>
  <c r="MB90" i="1"/>
  <c r="MC90" i="1"/>
  <c r="MD90" i="1"/>
  <c r="ME90" i="1"/>
  <c r="MF90" i="1"/>
  <c r="MG90" i="1"/>
  <c r="MH90" i="1"/>
  <c r="MI90" i="1"/>
  <c r="MJ90" i="1"/>
  <c r="MK90" i="1"/>
  <c r="ML90" i="1"/>
  <c r="MM90" i="1"/>
  <c r="MN90" i="1"/>
  <c r="MO90" i="1"/>
  <c r="MP90" i="1"/>
  <c r="MQ90" i="1"/>
  <c r="MR90" i="1"/>
  <c r="JU91" i="1"/>
  <c r="JV91" i="1"/>
  <c r="JW91" i="1"/>
  <c r="JX91" i="1"/>
  <c r="JY91" i="1"/>
  <c r="JZ91" i="1"/>
  <c r="KA91" i="1"/>
  <c r="KB91" i="1"/>
  <c r="KC91" i="1"/>
  <c r="KD91" i="1"/>
  <c r="KE91" i="1"/>
  <c r="KF91" i="1"/>
  <c r="KG91" i="1"/>
  <c r="KH91" i="1"/>
  <c r="KI91" i="1"/>
  <c r="KJ91" i="1"/>
  <c r="KK91" i="1"/>
  <c r="KL91" i="1"/>
  <c r="KM91" i="1"/>
  <c r="KN91" i="1"/>
  <c r="KO91" i="1"/>
  <c r="KP91" i="1"/>
  <c r="KQ91" i="1"/>
  <c r="KR91" i="1"/>
  <c r="KS91" i="1"/>
  <c r="KT91" i="1"/>
  <c r="KU91" i="1"/>
  <c r="KV91" i="1"/>
  <c r="KW91" i="1"/>
  <c r="KX91" i="1"/>
  <c r="KY91" i="1"/>
  <c r="KZ91" i="1"/>
  <c r="LA91" i="1"/>
  <c r="LB91" i="1"/>
  <c r="LC91" i="1"/>
  <c r="LD91" i="1"/>
  <c r="LE91" i="1"/>
  <c r="LF91" i="1"/>
  <c r="LG91" i="1"/>
  <c r="LH91" i="1"/>
  <c r="LI91" i="1"/>
  <c r="LJ91" i="1"/>
  <c r="LK91" i="1"/>
  <c r="LL91" i="1"/>
  <c r="LM91" i="1"/>
  <c r="LN91" i="1"/>
  <c r="LO91" i="1"/>
  <c r="LP91" i="1"/>
  <c r="LQ91" i="1"/>
  <c r="LR91" i="1"/>
  <c r="LS91" i="1"/>
  <c r="LT91" i="1"/>
  <c r="LU91" i="1"/>
  <c r="LV91" i="1"/>
  <c r="LW91" i="1"/>
  <c r="LX91" i="1"/>
  <c r="LY91" i="1"/>
  <c r="LZ91" i="1"/>
  <c r="MA91" i="1"/>
  <c r="MB91" i="1"/>
  <c r="MC91" i="1"/>
  <c r="MD91" i="1"/>
  <c r="ME91" i="1"/>
  <c r="MF91" i="1"/>
  <c r="MG91" i="1"/>
  <c r="MH91" i="1"/>
  <c r="MI91" i="1"/>
  <c r="MJ91" i="1"/>
  <c r="MK91" i="1"/>
  <c r="ML91" i="1"/>
  <c r="MM91" i="1"/>
  <c r="MN91" i="1"/>
  <c r="MO91" i="1"/>
  <c r="MP91" i="1"/>
  <c r="MQ91" i="1"/>
  <c r="MR91" i="1"/>
  <c r="JU92" i="1"/>
  <c r="JV92" i="1"/>
  <c r="JW92" i="1"/>
  <c r="JX92" i="1"/>
  <c r="JY92" i="1"/>
  <c r="JZ92" i="1"/>
  <c r="KA92" i="1"/>
  <c r="KB92" i="1"/>
  <c r="KC92" i="1"/>
  <c r="KD92" i="1"/>
  <c r="KE92" i="1"/>
  <c r="KF92" i="1"/>
  <c r="KG92" i="1"/>
  <c r="KH92" i="1"/>
  <c r="KI92" i="1"/>
  <c r="KJ92" i="1"/>
  <c r="KK92" i="1"/>
  <c r="KL92" i="1"/>
  <c r="KM92" i="1"/>
  <c r="KN92" i="1"/>
  <c r="KO92" i="1"/>
  <c r="KP92" i="1"/>
  <c r="KQ92" i="1"/>
  <c r="KR92" i="1"/>
  <c r="KS92" i="1"/>
  <c r="KT92" i="1"/>
  <c r="KU92" i="1"/>
  <c r="KV92" i="1"/>
  <c r="KW92" i="1"/>
  <c r="KX92" i="1"/>
  <c r="KY92" i="1"/>
  <c r="KZ92" i="1"/>
  <c r="LA92" i="1"/>
  <c r="LB92" i="1"/>
  <c r="LC92" i="1"/>
  <c r="LD92" i="1"/>
  <c r="LE92" i="1"/>
  <c r="LF92" i="1"/>
  <c r="LG92" i="1"/>
  <c r="LH92" i="1"/>
  <c r="LI92" i="1"/>
  <c r="LJ92" i="1"/>
  <c r="LK92" i="1"/>
  <c r="LL92" i="1"/>
  <c r="LM92" i="1"/>
  <c r="LN92" i="1"/>
  <c r="LO92" i="1"/>
  <c r="LP92" i="1"/>
  <c r="LQ92" i="1"/>
  <c r="LR92" i="1"/>
  <c r="LS92" i="1"/>
  <c r="LT92" i="1"/>
  <c r="LU92" i="1"/>
  <c r="LV92" i="1"/>
  <c r="LW92" i="1"/>
  <c r="LX92" i="1"/>
  <c r="LY92" i="1"/>
  <c r="LZ92" i="1"/>
  <c r="MA92" i="1"/>
  <c r="MB92" i="1"/>
  <c r="MC92" i="1"/>
  <c r="MD92" i="1"/>
  <c r="ME92" i="1"/>
  <c r="MF92" i="1"/>
  <c r="MG92" i="1"/>
  <c r="MH92" i="1"/>
  <c r="MI92" i="1"/>
  <c r="MJ92" i="1"/>
  <c r="MK92" i="1"/>
  <c r="ML92" i="1"/>
  <c r="MM92" i="1"/>
  <c r="MN92" i="1"/>
  <c r="MO92" i="1"/>
  <c r="MP92" i="1"/>
  <c r="MQ92" i="1"/>
  <c r="MR92" i="1"/>
  <c r="MQ13" i="1"/>
  <c r="MR13" i="1"/>
  <c r="MO13" i="1"/>
  <c r="MP13" i="1"/>
  <c r="MM13" i="1"/>
  <c r="MN13" i="1"/>
  <c r="MK13" i="1"/>
  <c r="ML13" i="1"/>
  <c r="MI13" i="1"/>
  <c r="MJ13" i="1"/>
  <c r="MG13" i="1"/>
  <c r="MH13" i="1"/>
  <c r="ME13" i="1"/>
  <c r="MF13" i="1"/>
  <c r="MC13" i="1"/>
  <c r="MD13" i="1"/>
  <c r="MA13" i="1"/>
  <c r="MB13" i="1"/>
  <c r="LY13" i="1"/>
  <c r="LZ13" i="1"/>
  <c r="LW13" i="1"/>
  <c r="LX13" i="1"/>
  <c r="LU13" i="1"/>
  <c r="LV13" i="1"/>
  <c r="LS13" i="1"/>
  <c r="LT13" i="1"/>
  <c r="LQ13" i="1"/>
  <c r="LR13" i="1"/>
  <c r="LO13" i="1"/>
  <c r="LP13" i="1"/>
  <c r="LM13" i="1"/>
  <c r="LN13" i="1"/>
  <c r="LK13" i="1"/>
  <c r="LL13" i="1"/>
  <c r="LI13" i="1"/>
  <c r="LJ13" i="1"/>
  <c r="LG13" i="1"/>
  <c r="LH13" i="1"/>
  <c r="LE13" i="1"/>
  <c r="LF13" i="1"/>
  <c r="LC13" i="1"/>
  <c r="LD13" i="1"/>
  <c r="LA13" i="1"/>
  <c r="LB13" i="1"/>
  <c r="KY13" i="1"/>
  <c r="KZ13" i="1"/>
  <c r="KW13" i="1"/>
  <c r="KX13" i="1"/>
  <c r="KU13" i="1"/>
  <c r="KV13" i="1"/>
  <c r="KS13" i="1"/>
  <c r="KT13" i="1"/>
  <c r="KQ13" i="1"/>
  <c r="KR13" i="1"/>
  <c r="KO13" i="1"/>
  <c r="KP13" i="1"/>
  <c r="KM13" i="1"/>
  <c r="KN13" i="1"/>
  <c r="KK13" i="1"/>
  <c r="KL13" i="1"/>
  <c r="KI13" i="1"/>
  <c r="KJ13" i="1"/>
  <c r="KG13" i="1"/>
  <c r="KH13" i="1"/>
  <c r="KE13" i="1"/>
  <c r="KF13" i="1"/>
  <c r="KC13" i="1"/>
  <c r="KD13" i="1"/>
  <c r="KA13" i="1"/>
  <c r="KB13" i="1"/>
  <c r="JY13" i="1"/>
  <c r="JZ13" i="1"/>
  <c r="JW13" i="1"/>
  <c r="JX13" i="1"/>
  <c r="JU13" i="1"/>
  <c r="JV13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6" i="1"/>
  <c r="MT27" i="1"/>
  <c r="MT28" i="1"/>
  <c r="MT29" i="1"/>
  <c r="MT30" i="1"/>
  <c r="MT31" i="1"/>
  <c r="MT32" i="1"/>
  <c r="MT33" i="1"/>
  <c r="MT34" i="1"/>
  <c r="MT35" i="1"/>
  <c r="MT36" i="1"/>
  <c r="MT37" i="1"/>
  <c r="MT38" i="1"/>
  <c r="MT39" i="1"/>
  <c r="MT40" i="1"/>
  <c r="MT41" i="1"/>
  <c r="MT42" i="1"/>
  <c r="MT43" i="1"/>
  <c r="MT44" i="1"/>
  <c r="MT45" i="1"/>
  <c r="MT46" i="1"/>
  <c r="MT47" i="1"/>
  <c r="MT48" i="1"/>
  <c r="MT49" i="1"/>
  <c r="MT50" i="1"/>
  <c r="MT51" i="1"/>
  <c r="MT52" i="1"/>
  <c r="MT53" i="1"/>
  <c r="MT54" i="1"/>
  <c r="MT55" i="1"/>
  <c r="MT56" i="1"/>
  <c r="MT57" i="1"/>
  <c r="MT58" i="1"/>
  <c r="MT59" i="1"/>
  <c r="MT60" i="1"/>
  <c r="MT61" i="1"/>
  <c r="MT62" i="1"/>
  <c r="MT63" i="1"/>
  <c r="MT64" i="1"/>
  <c r="MT65" i="1"/>
  <c r="MT66" i="1"/>
  <c r="MT67" i="1"/>
  <c r="MT68" i="1"/>
  <c r="MT69" i="1"/>
  <c r="MT70" i="1"/>
  <c r="MT71" i="1"/>
  <c r="MT72" i="1"/>
  <c r="MT73" i="1"/>
  <c r="MT74" i="1"/>
  <c r="MT75" i="1"/>
  <c r="MT76" i="1"/>
  <c r="MT77" i="1"/>
  <c r="MT78" i="1"/>
  <c r="MT79" i="1"/>
  <c r="MT80" i="1"/>
  <c r="MT81" i="1"/>
  <c r="MT83" i="1"/>
  <c r="MT84" i="1"/>
  <c r="MT85" i="1"/>
  <c r="MT86" i="1"/>
  <c r="MT87" i="1"/>
  <c r="MT88" i="1"/>
  <c r="MT89" i="1"/>
  <c r="MT90" i="1"/>
  <c r="MT91" i="1"/>
  <c r="MT92" i="1"/>
  <c r="MT3" i="1"/>
  <c r="MT4" i="1"/>
  <c r="MT5" i="1"/>
  <c r="MT6" i="1"/>
  <c r="MT7" i="1"/>
  <c r="MT8" i="1"/>
  <c r="MT9" i="1"/>
  <c r="MT10" i="1"/>
  <c r="MT11" i="1"/>
  <c r="MT12" i="1"/>
  <c r="MU93" i="1"/>
  <c r="LL93" i="1"/>
  <c r="LJ93" i="1"/>
  <c r="LN93" i="1"/>
  <c r="ML93" i="1"/>
  <c r="MR93" i="1"/>
  <c r="JV93" i="1"/>
  <c r="JX93" i="1"/>
  <c r="JZ93" i="1"/>
  <c r="KB93" i="1"/>
  <c r="KD93" i="1"/>
  <c r="KF93" i="1"/>
  <c r="KH93" i="1"/>
  <c r="KJ93" i="1"/>
  <c r="KL93" i="1"/>
  <c r="KN93" i="1"/>
  <c r="KP93" i="1"/>
  <c r="KR93" i="1"/>
  <c r="KT93" i="1"/>
  <c r="KV93" i="1"/>
  <c r="KX93" i="1"/>
  <c r="KZ93" i="1"/>
  <c r="LB93" i="1"/>
  <c r="LD93" i="1"/>
  <c r="LF93" i="1"/>
  <c r="LH93" i="1"/>
  <c r="LP93" i="1"/>
  <c r="LR93" i="1"/>
  <c r="LT93" i="1"/>
  <c r="LV93" i="1"/>
  <c r="LX93" i="1"/>
  <c r="LZ93" i="1"/>
  <c r="MB93" i="1"/>
  <c r="MD93" i="1"/>
  <c r="MF93" i="1"/>
  <c r="MH93" i="1"/>
  <c r="MJ93" i="1"/>
  <c r="MN93" i="1"/>
  <c r="MP93" i="1"/>
  <c r="MT93" i="1"/>
  <c r="A93" i="1"/>
  <c r="MV15" i="1"/>
  <c r="MV10" i="1"/>
  <c r="MV65" i="1"/>
  <c r="MV66" i="1"/>
  <c r="MV67" i="1"/>
  <c r="MV59" i="1"/>
  <c r="MV64" i="1"/>
  <c r="MV24" i="1"/>
  <c r="MV29" i="1"/>
  <c r="MV85" i="1"/>
  <c r="MV88" i="1"/>
  <c r="MV90" i="1"/>
  <c r="MV31" i="1"/>
  <c r="MV75" i="1"/>
  <c r="MV3" i="1"/>
  <c r="MV4" i="1"/>
  <c r="MV5" i="1"/>
  <c r="MV6" i="1"/>
  <c r="MV7" i="1"/>
  <c r="MV8" i="1"/>
  <c r="MV9" i="1"/>
  <c r="MV11" i="1"/>
  <c r="MV12" i="1"/>
  <c r="MV14" i="1"/>
  <c r="MV16" i="1"/>
  <c r="MV17" i="1"/>
  <c r="MV18" i="1"/>
  <c r="MV19" i="1"/>
  <c r="MV20" i="1"/>
  <c r="MV21" i="1"/>
  <c r="MV22" i="1"/>
  <c r="MV23" i="1"/>
  <c r="MV25" i="1"/>
  <c r="MV26" i="1"/>
  <c r="MV27" i="1"/>
  <c r="MV28" i="1"/>
  <c r="MV30" i="1"/>
  <c r="MV32" i="1"/>
  <c r="MV33" i="1"/>
  <c r="MV34" i="1"/>
  <c r="MV35" i="1"/>
  <c r="MV36" i="1"/>
  <c r="MV37" i="1"/>
  <c r="MV38" i="1"/>
  <c r="MV39" i="1"/>
  <c r="MV40" i="1"/>
  <c r="MV41" i="1"/>
  <c r="MV42" i="1"/>
  <c r="MV43" i="1"/>
  <c r="MV44" i="1"/>
  <c r="MV45" i="1"/>
  <c r="MV46" i="1"/>
  <c r="MV47" i="1"/>
  <c r="MV48" i="1"/>
  <c r="MV49" i="1"/>
  <c r="MV50" i="1"/>
  <c r="MV51" i="1"/>
  <c r="MV52" i="1"/>
  <c r="MV53" i="1"/>
  <c r="MV54" i="1"/>
  <c r="MV55" i="1"/>
  <c r="MV56" i="1"/>
  <c r="MV57" i="1"/>
  <c r="MV58" i="1"/>
  <c r="MV60" i="1"/>
  <c r="MV61" i="1"/>
  <c r="MV62" i="1"/>
  <c r="MV69" i="1"/>
  <c r="MV70" i="1"/>
  <c r="MV71" i="1"/>
  <c r="MV72" i="1"/>
  <c r="MV73" i="1"/>
  <c r="MV74" i="1"/>
  <c r="MV76" i="1"/>
  <c r="MV77" i="1"/>
  <c r="MV78" i="1"/>
  <c r="MV79" i="1"/>
  <c r="MV80" i="1"/>
  <c r="MV81" i="1"/>
  <c r="MV83" i="1"/>
  <c r="MV84" i="1"/>
  <c r="MV86" i="1"/>
  <c r="MV87" i="1"/>
  <c r="MV89" i="1"/>
  <c r="MV91" i="1"/>
  <c r="MV92" i="1"/>
  <c r="MV63" i="1"/>
  <c r="MV68" i="1"/>
  <c r="MV13" i="1"/>
  <c r="MV93" i="1"/>
</calcChain>
</file>

<file path=xl/sharedStrings.xml><?xml version="1.0" encoding="utf-8"?>
<sst xmlns="http://schemas.openxmlformats.org/spreadsheetml/2006/main" count="1132" uniqueCount="508">
  <si>
    <t>Program</t>
  </si>
  <si>
    <t>EADA ID</t>
  </si>
  <si>
    <t>Year</t>
  </si>
  <si>
    <t>Classification</t>
  </si>
  <si>
    <t>Conference</t>
  </si>
  <si>
    <t>UGMale</t>
  </si>
  <si>
    <t>UGFemale</t>
  </si>
  <si>
    <t>InstExpenses</t>
  </si>
  <si>
    <t>LastInstExpense</t>
  </si>
  <si>
    <t>AthDebtService</t>
  </si>
  <si>
    <t>LastAthDebtService</t>
  </si>
  <si>
    <t>InstDebtService</t>
  </si>
  <si>
    <t>LastInstDebtService</t>
  </si>
  <si>
    <t>AthOutstandDebt</t>
  </si>
  <si>
    <t>LastAthOutstandDebt</t>
  </si>
  <si>
    <t>TotOutstandDebtBal</t>
  </si>
  <si>
    <t>LastTotOutstandDebtBal</t>
  </si>
  <si>
    <t>InstE&amp;Gexpenses</t>
  </si>
  <si>
    <t>LastInstG&amp;Eexpenses</t>
  </si>
  <si>
    <t>ACFullGIAInState</t>
  </si>
  <si>
    <t>LastACFullGIAInState</t>
  </si>
  <si>
    <t>ACFullGIAOutOfState</t>
  </si>
  <si>
    <t>LastACFullGIAOutOfState</t>
  </si>
  <si>
    <t>TotalCOAInState</t>
  </si>
  <si>
    <t>LastTotalCOAInState</t>
  </si>
  <si>
    <t>TotalCOAOutOfState</t>
  </si>
  <si>
    <t>LastTotalCOAOutOfState</t>
  </si>
  <si>
    <t>#MensTeams</t>
  </si>
  <si>
    <t>#WomensTeams</t>
  </si>
  <si>
    <t>#MixedTeams</t>
  </si>
  <si>
    <t>AthleticRelatedStudentAidMens</t>
  </si>
  <si>
    <t>AthleticRelatedStudentAidWomens</t>
  </si>
  <si>
    <t>RecruitingMens</t>
  </si>
  <si>
    <t>RecruitingWomens</t>
  </si>
  <si>
    <t>AveHCSalariesMensPerFTE</t>
  </si>
  <si>
    <t>HCMensFTEs</t>
  </si>
  <si>
    <t>AveHCSalariesMensPerPosition</t>
  </si>
  <si>
    <t>HCMensPositions</t>
  </si>
  <si>
    <t>AveHCSalariesWomensPerFTE</t>
  </si>
  <si>
    <t>HCWomensFTEs</t>
  </si>
  <si>
    <t>AveHCSalariesWomensPerPosition</t>
  </si>
  <si>
    <t>HCWomensPositions</t>
  </si>
  <si>
    <t>AveACSalariesMensPerFTE</t>
  </si>
  <si>
    <t>ACMensFTEs</t>
  </si>
  <si>
    <t>AveACSalariesMensPerPosition</t>
  </si>
  <si>
    <t>ACMensPositions</t>
  </si>
  <si>
    <t>AveACSalariesWomensPerFTE</t>
  </si>
  <si>
    <t>ACWomensFTEs</t>
  </si>
  <si>
    <t>AveACSalariesWomensPerPosition</t>
  </si>
  <si>
    <t>ACWomensPositions</t>
  </si>
  <si>
    <t>TicketRevFB</t>
  </si>
  <si>
    <t>TicketRevMBKB</t>
  </si>
  <si>
    <t>TicketRevWBKB</t>
  </si>
  <si>
    <t>TicketRevOtherSports</t>
  </si>
  <si>
    <t>TicketRevNPS</t>
  </si>
  <si>
    <t>TicketRevTot</t>
  </si>
  <si>
    <t>StudentFeesFB</t>
  </si>
  <si>
    <t>StudentFeesMBKB</t>
  </si>
  <si>
    <t>StudentFeesWBKB</t>
  </si>
  <si>
    <t>StudentFeesOtherSports</t>
  </si>
  <si>
    <t>StudentFeesNPS</t>
  </si>
  <si>
    <t>StudentFeesTot</t>
  </si>
  <si>
    <t>GuarFB</t>
  </si>
  <si>
    <t>GuarMBKB</t>
  </si>
  <si>
    <t>GuarWBKB</t>
  </si>
  <si>
    <t>GuarOtherSports</t>
  </si>
  <si>
    <t>GuarNPS</t>
  </si>
  <si>
    <t>GuarTot</t>
  </si>
  <si>
    <t>ContribsFB</t>
  </si>
  <si>
    <t>ContribsMBKB</t>
  </si>
  <si>
    <t>ContribsWBKB</t>
  </si>
  <si>
    <t>ContribsOtherSports</t>
  </si>
  <si>
    <t>ContribsNPS</t>
  </si>
  <si>
    <t>ContribsTot</t>
  </si>
  <si>
    <t>C&amp;B3rdFB</t>
  </si>
  <si>
    <t>C&amp;B3rdMBKB</t>
  </si>
  <si>
    <t>C&amp;B3rdWBKB</t>
  </si>
  <si>
    <t>C&amp;B3rdOtherSports</t>
  </si>
  <si>
    <t>C&amp;B3rdNPS</t>
  </si>
  <si>
    <t>C&amp;B3rdTot</t>
  </si>
  <si>
    <t>DirStateFB</t>
  </si>
  <si>
    <t>DirStateMBKB</t>
  </si>
  <si>
    <t>DirStateWBKB</t>
  </si>
  <si>
    <t>DirStateOtherSports</t>
  </si>
  <si>
    <t>DirStateNPS</t>
  </si>
  <si>
    <t>DirStateTot</t>
  </si>
  <si>
    <t>DirInstFB</t>
  </si>
  <si>
    <t>DirInstMBKB</t>
  </si>
  <si>
    <t>DirInstWBKB</t>
  </si>
  <si>
    <t>DirInstOtherSports</t>
  </si>
  <si>
    <t>DirInstNPS</t>
  </si>
  <si>
    <t>DirInstTot</t>
  </si>
  <si>
    <t>IndirFB</t>
  </si>
  <si>
    <t>IndirMBKB</t>
  </si>
  <si>
    <t>IndirWBKB</t>
  </si>
  <si>
    <t>IndirOtherSports</t>
  </si>
  <si>
    <t>IndirNPS</t>
  </si>
  <si>
    <t>IndirTot</t>
  </si>
  <si>
    <t>DistribsFB</t>
  </si>
  <si>
    <t>DistribsMBKB</t>
  </si>
  <si>
    <t>DistribsWBKB</t>
  </si>
  <si>
    <t>DistribsOtherSports</t>
  </si>
  <si>
    <t>DistribsNPS</t>
  </si>
  <si>
    <t>DistribsTot</t>
  </si>
  <si>
    <t>MediaFB</t>
  </si>
  <si>
    <t>MediaMBKB</t>
  </si>
  <si>
    <t>MediaWBKB</t>
  </si>
  <si>
    <t>MediaOtherSports</t>
  </si>
  <si>
    <t>MediaNPS</t>
  </si>
  <si>
    <t>MediaTot</t>
  </si>
  <si>
    <t>ConcessFB</t>
  </si>
  <si>
    <t>ConcessMBKB</t>
  </si>
  <si>
    <t>ConcessWBKB</t>
  </si>
  <si>
    <t>ConcessOtherSports</t>
  </si>
  <si>
    <t>ConcessNPS</t>
  </si>
  <si>
    <t>ConcessTot</t>
  </si>
  <si>
    <t>SponsFB</t>
  </si>
  <si>
    <t>SponsMBKB</t>
  </si>
  <si>
    <t>SponsWBKB</t>
  </si>
  <si>
    <t>SponsOtherSports</t>
  </si>
  <si>
    <t>SponsNPS</t>
  </si>
  <si>
    <t>SponsTot</t>
  </si>
  <si>
    <t>CampsFB</t>
  </si>
  <si>
    <t>CampsMBKB</t>
  </si>
  <si>
    <t>CampsWBKB</t>
  </si>
  <si>
    <t>CampsOtherSports</t>
  </si>
  <si>
    <t>CampsNPS</t>
  </si>
  <si>
    <t>CampsTot</t>
  </si>
  <si>
    <t>EndowFB</t>
  </si>
  <si>
    <t>EndowMBKB</t>
  </si>
  <si>
    <t>EndowWBKB</t>
  </si>
  <si>
    <t>EndowOtherSports</t>
  </si>
  <si>
    <t>EndowNPS</t>
  </si>
  <si>
    <t>EndowTot</t>
  </si>
  <si>
    <t>OtherFB</t>
  </si>
  <si>
    <t>OtherMBKB</t>
  </si>
  <si>
    <t>OtherWBKB</t>
  </si>
  <si>
    <t>OtherOtherSports</t>
  </si>
  <si>
    <t>OtherNPS</t>
  </si>
  <si>
    <t>OtherTot</t>
  </si>
  <si>
    <t>TotRevFB</t>
  </si>
  <si>
    <t>TotRevMBKB</t>
  </si>
  <si>
    <t>TotRevWBKB</t>
  </si>
  <si>
    <t>TotRevOtherSports</t>
  </si>
  <si>
    <t>TotRevNPS</t>
  </si>
  <si>
    <t>AidFB</t>
  </si>
  <si>
    <t>AidMBKB</t>
  </si>
  <si>
    <t>AidWBKB</t>
  </si>
  <si>
    <t>AidOtherSports</t>
  </si>
  <si>
    <t>AidNPS</t>
  </si>
  <si>
    <t>AidTot</t>
  </si>
  <si>
    <t>GuarExpFB</t>
  </si>
  <si>
    <t>GuarExpMBKB</t>
  </si>
  <si>
    <t>GuarExpWBKB</t>
  </si>
  <si>
    <t>GuarExpOtherSports</t>
  </si>
  <si>
    <t>GuarExpNPS</t>
  </si>
  <si>
    <t>GuarExpTot</t>
  </si>
  <si>
    <t>CoachSalBenFB</t>
  </si>
  <si>
    <t>CoachSalBenMBKB</t>
  </si>
  <si>
    <t>CoachSalBenWBKB</t>
  </si>
  <si>
    <t>CoachSalBenOtherSports</t>
  </si>
  <si>
    <t>CoachSalBenNPS</t>
  </si>
  <si>
    <t>CoachSalBenTot</t>
  </si>
  <si>
    <t>CoachOtherFB</t>
  </si>
  <si>
    <t>CoachOtherMBKB</t>
  </si>
  <si>
    <t>CoachOtherWBKB</t>
  </si>
  <si>
    <t>CoachOtherOtherSports</t>
  </si>
  <si>
    <t>CoachOtherNPS</t>
  </si>
  <si>
    <t>CoachOtherTot</t>
  </si>
  <si>
    <t>StaffSalBenFB</t>
  </si>
  <si>
    <t>StaffSalBenMBKB</t>
  </si>
  <si>
    <t>StaffSalBenWBKB</t>
  </si>
  <si>
    <t>StaffSalBenOtherSports</t>
  </si>
  <si>
    <t>StaffSalBenNPS</t>
  </si>
  <si>
    <t>StaffSalBenTot</t>
  </si>
  <si>
    <t>StaffOtherFB</t>
  </si>
  <si>
    <t>StaffOtherMBKB</t>
  </si>
  <si>
    <t>StaffOtherWBKB</t>
  </si>
  <si>
    <t>StaffOtherOtherSports</t>
  </si>
  <si>
    <t>StaffOtherNPS</t>
  </si>
  <si>
    <t>StaffOtherTot</t>
  </si>
  <si>
    <t>SeveranceFB</t>
  </si>
  <si>
    <t>SeveranceMBKB</t>
  </si>
  <si>
    <t>SeveranceWBKB</t>
  </si>
  <si>
    <t>SeveranceOtherSports</t>
  </si>
  <si>
    <t>SeveranceNPS</t>
  </si>
  <si>
    <t>SeveranceTot</t>
  </si>
  <si>
    <t>RecruitFB</t>
  </si>
  <si>
    <t>RecruitMBKB</t>
  </si>
  <si>
    <t>RecruitWBKB</t>
  </si>
  <si>
    <t>RecruitOtherSports</t>
  </si>
  <si>
    <t>RecruitNPS</t>
  </si>
  <si>
    <t>RecruitTot</t>
  </si>
  <si>
    <t>TravelFB</t>
  </si>
  <si>
    <t>TravelMBKB</t>
  </si>
  <si>
    <t>TravelWBKB</t>
  </si>
  <si>
    <t>TravelOtherSports</t>
  </si>
  <si>
    <t>TravelNPS</t>
  </si>
  <si>
    <t>TravelTot</t>
  </si>
  <si>
    <t>EquipFB</t>
  </si>
  <si>
    <t>EquipMBKB</t>
  </si>
  <si>
    <t>EquipWBKB</t>
  </si>
  <si>
    <t>EquipOtherSports</t>
  </si>
  <si>
    <t>EquipNPS</t>
  </si>
  <si>
    <t>EquipTot</t>
  </si>
  <si>
    <t>GameFB</t>
  </si>
  <si>
    <t>GameMBKB</t>
  </si>
  <si>
    <t>GameWBKB</t>
  </si>
  <si>
    <t>GameOtherSports</t>
  </si>
  <si>
    <t>GameNPS</t>
  </si>
  <si>
    <t>GameTot</t>
  </si>
  <si>
    <t>MktgFB</t>
  </si>
  <si>
    <t>MktgMBKB</t>
  </si>
  <si>
    <t>MktgWBKB</t>
  </si>
  <si>
    <t>MktgOtherSports</t>
  </si>
  <si>
    <t>MktgNPS</t>
  </si>
  <si>
    <t>MktgTot</t>
  </si>
  <si>
    <t>CampExpFB</t>
  </si>
  <si>
    <t>CampExpMBKB</t>
  </si>
  <si>
    <t>CampExpWBKB</t>
  </si>
  <si>
    <t>CampExpOtherSports</t>
  </si>
  <si>
    <t>CampExpNPS</t>
  </si>
  <si>
    <t>CampExpTot</t>
  </si>
  <si>
    <t>DirFacilitiesFB</t>
  </si>
  <si>
    <t>DirFacilitiesMBKB</t>
  </si>
  <si>
    <t>DirFacilitiesWBKB</t>
  </si>
  <si>
    <t>DirFacilitiesOtherSports</t>
  </si>
  <si>
    <t>DirFacilitiesNPS</t>
  </si>
  <si>
    <t>DirFacilitiesTot</t>
  </si>
  <si>
    <t>SpiritFB</t>
  </si>
  <si>
    <t>SpiritMBKB</t>
  </si>
  <si>
    <t>SpiritWBKB</t>
  </si>
  <si>
    <t>SpiritOtherSports</t>
  </si>
  <si>
    <t>SpiritNPS</t>
  </si>
  <si>
    <t>SpiritTot</t>
  </si>
  <si>
    <t>IndirFacilitiesFB</t>
  </si>
  <si>
    <t>IndirFacilitiesMBKB</t>
  </si>
  <si>
    <t>IndirFacilitiesWBKB</t>
  </si>
  <si>
    <t>IndirFacilitiesOtherSports</t>
  </si>
  <si>
    <t>IndirFacilitiesNPS</t>
  </si>
  <si>
    <t>IndirFacilitiesTot</t>
  </si>
  <si>
    <t>Medical&amp;InsurFB</t>
  </si>
  <si>
    <t>Medical&amp;InsurMBKB</t>
  </si>
  <si>
    <t>Medical&amp;InsurWBKB</t>
  </si>
  <si>
    <t>Medical&amp;InsurOtherSports</t>
  </si>
  <si>
    <t>Medical&amp;InsurNPS</t>
  </si>
  <si>
    <t>Medical&amp;InsurTot</t>
  </si>
  <si>
    <t>DuesFB</t>
  </si>
  <si>
    <t>DuesMBKB</t>
  </si>
  <si>
    <t>DuesWBKB</t>
  </si>
  <si>
    <t>DuesOtherSports</t>
  </si>
  <si>
    <t>DuesNPS</t>
  </si>
  <si>
    <t>DuesTot</t>
  </si>
  <si>
    <t>OtherExpFB</t>
  </si>
  <si>
    <t>OtherExpMBKB</t>
  </si>
  <si>
    <t>OtherExpWBKB</t>
  </si>
  <si>
    <t>OtherExpOtherSports</t>
  </si>
  <si>
    <t>OtherExpNPS</t>
  </si>
  <si>
    <t>OtherExpTot</t>
  </si>
  <si>
    <t>TotExpFB</t>
  </si>
  <si>
    <t>TotExpMBKB</t>
  </si>
  <si>
    <t>TotExpWBKB</t>
  </si>
  <si>
    <t>TotExpOtherSports</t>
  </si>
  <si>
    <t>TotExpNPS</t>
  </si>
  <si>
    <t>TotExpTot</t>
  </si>
  <si>
    <t>TransfersFB</t>
  </si>
  <si>
    <t>TransfersMBKB</t>
  </si>
  <si>
    <t>TransfersWBKB</t>
  </si>
  <si>
    <t>TransfersOtherSports</t>
  </si>
  <si>
    <t>TransfersNPS</t>
  </si>
  <si>
    <t>TransfersTot</t>
  </si>
  <si>
    <t>Grand TotExpFB</t>
  </si>
  <si>
    <t>GrandTotExpMBKB</t>
  </si>
  <si>
    <t>GrandTotExpWBKB</t>
  </si>
  <si>
    <t>GrandTotExpOtherSports</t>
  </si>
  <si>
    <t>GrandTotExpNPS</t>
  </si>
  <si>
    <t>GrandTotExpTot</t>
  </si>
  <si>
    <t>Central Michigan</t>
  </si>
  <si>
    <t>Clemson</t>
  </si>
  <si>
    <t>Colorado</t>
  </si>
  <si>
    <t>Colorado State</t>
  </si>
  <si>
    <t>Connecticut</t>
  </si>
  <si>
    <t>Florida State</t>
  </si>
  <si>
    <t>Fresno State</t>
  </si>
  <si>
    <t>Akron</t>
  </si>
  <si>
    <t>Arizona</t>
  </si>
  <si>
    <t>Arizona State</t>
  </si>
  <si>
    <t>Arkansas</t>
  </si>
  <si>
    <t>Arkansas State</t>
  </si>
  <si>
    <t>Auburn</t>
  </si>
  <si>
    <t>Ball State</t>
  </si>
  <si>
    <t>Boise State</t>
  </si>
  <si>
    <t>Bowling Green</t>
  </si>
  <si>
    <t>Buffalo</t>
  </si>
  <si>
    <t>California</t>
  </si>
  <si>
    <t>Utah</t>
  </si>
  <si>
    <t>Utah State</t>
  </si>
  <si>
    <t>UTEP</t>
  </si>
  <si>
    <t>Virginia</t>
  </si>
  <si>
    <t>ACC</t>
  </si>
  <si>
    <t>Virginia Tech</t>
  </si>
  <si>
    <t>Washington</t>
  </si>
  <si>
    <t>Pac-12</t>
  </si>
  <si>
    <t>Western Kentucky</t>
  </si>
  <si>
    <t>Sun Belt</t>
  </si>
  <si>
    <t>Western Michigan</t>
  </si>
  <si>
    <t>Wisconsin</t>
  </si>
  <si>
    <t>Big Ten</t>
  </si>
  <si>
    <t>Wyoming</t>
  </si>
  <si>
    <t>Georgia</t>
  </si>
  <si>
    <t>Georgia Tech</t>
  </si>
  <si>
    <t>Hawaii</t>
  </si>
  <si>
    <t>Houston</t>
  </si>
  <si>
    <t>Idaho</t>
  </si>
  <si>
    <t>Illinois</t>
  </si>
  <si>
    <t>Indiana</t>
  </si>
  <si>
    <t>Iowa</t>
  </si>
  <si>
    <t>Iowa State</t>
  </si>
  <si>
    <t>Kansas</t>
  </si>
  <si>
    <t>Kent State</t>
  </si>
  <si>
    <t>Minnesota</t>
  </si>
  <si>
    <t>Mississippi State</t>
  </si>
  <si>
    <t>Missouri</t>
  </si>
  <si>
    <t>Nebraska</t>
  </si>
  <si>
    <t>Nevada</t>
  </si>
  <si>
    <t>New Mexico</t>
  </si>
  <si>
    <t>New Mexico State</t>
  </si>
  <si>
    <t>North Carolina</t>
  </si>
  <si>
    <t>North Carolina State</t>
  </si>
  <si>
    <t>Northern Illinois</t>
  </si>
  <si>
    <t>Kentucky</t>
  </si>
  <si>
    <t>Louisiana Tech</t>
  </si>
  <si>
    <t>Louisville</t>
  </si>
  <si>
    <t>Marshall</t>
  </si>
  <si>
    <t>Maryland</t>
  </si>
  <si>
    <t>Memphis</t>
  </si>
  <si>
    <t>Miami (OH)</t>
  </si>
  <si>
    <t>Michigan</t>
  </si>
  <si>
    <t>Michigan State</t>
  </si>
  <si>
    <t>North Texas</t>
  </si>
  <si>
    <t>Ohio</t>
  </si>
  <si>
    <t>Ohio State</t>
  </si>
  <si>
    <t>Oklahoma</t>
  </si>
  <si>
    <t>Oklahoma State</t>
  </si>
  <si>
    <t>Oregon</t>
  </si>
  <si>
    <t>Oregon State</t>
  </si>
  <si>
    <t>Purdue</t>
  </si>
  <si>
    <t>Rutgers</t>
  </si>
  <si>
    <t>South Carolina</t>
  </si>
  <si>
    <t>Southern Mississippi</t>
  </si>
  <si>
    <t>South Florida</t>
  </si>
  <si>
    <t>Texas</t>
  </si>
  <si>
    <t>Texas A&amp;M</t>
  </si>
  <si>
    <t>Texas Tech</t>
  </si>
  <si>
    <t>Toledo</t>
  </si>
  <si>
    <t>Troy</t>
  </si>
  <si>
    <t>UCLA</t>
  </si>
  <si>
    <t>UNLV</t>
  </si>
  <si>
    <t>Check 1</t>
  </si>
  <si>
    <t>Actual - Check</t>
  </si>
  <si>
    <t>Check 2</t>
  </si>
  <si>
    <t>Check 3</t>
  </si>
  <si>
    <t>Check 4</t>
  </si>
  <si>
    <t>Check 5</t>
  </si>
  <si>
    <t>Check 6</t>
  </si>
  <si>
    <t>Check 7</t>
  </si>
  <si>
    <t>Check 8</t>
  </si>
  <si>
    <t>Check 9</t>
  </si>
  <si>
    <t>Check 10</t>
  </si>
  <si>
    <t>Check 11</t>
  </si>
  <si>
    <t>Check 12</t>
  </si>
  <si>
    <t>Check 13</t>
  </si>
  <si>
    <t>Check 14</t>
  </si>
  <si>
    <t>Check 15</t>
  </si>
  <si>
    <t>Check 16</t>
  </si>
  <si>
    <t>Check 17</t>
  </si>
  <si>
    <t>Check 18</t>
  </si>
  <si>
    <t>Check 19</t>
  </si>
  <si>
    <t>Check 20</t>
  </si>
  <si>
    <t>Check 21</t>
  </si>
  <si>
    <t>Check 22</t>
  </si>
  <si>
    <t>Check 23</t>
  </si>
  <si>
    <t>Check 24</t>
  </si>
  <si>
    <t>Check 25</t>
  </si>
  <si>
    <t>Check 26</t>
  </si>
  <si>
    <t>Check 27</t>
  </si>
  <si>
    <t>Check 28</t>
  </si>
  <si>
    <t>Check 29</t>
  </si>
  <si>
    <t>Check 30</t>
  </si>
  <si>
    <t>Check 31</t>
  </si>
  <si>
    <t>Check 32</t>
  </si>
  <si>
    <t>Check 33</t>
  </si>
  <si>
    <t>Check 34</t>
  </si>
  <si>
    <t>Check 35</t>
  </si>
  <si>
    <t>Check 36</t>
  </si>
  <si>
    <t>Check 37</t>
  </si>
  <si>
    <t>Check 38</t>
  </si>
  <si>
    <t>Row Error Sum</t>
  </si>
  <si>
    <t>CUSA</t>
  </si>
  <si>
    <t>SEC</t>
  </si>
  <si>
    <t>MWC</t>
  </si>
  <si>
    <t>MAC</t>
  </si>
  <si>
    <t>Row Error Count</t>
  </si>
  <si>
    <t>Washington State</t>
  </si>
  <si>
    <t>Coder</t>
  </si>
  <si>
    <t>MA</t>
  </si>
  <si>
    <t>PC</t>
  </si>
  <si>
    <t>DR</t>
  </si>
  <si>
    <t>First and last initial.</t>
  </si>
  <si>
    <t>Department ID number from EADA.</t>
  </si>
  <si>
    <t>Year of the report.</t>
  </si>
  <si>
    <t>1 = FBS</t>
  </si>
  <si>
    <t>Big 12</t>
  </si>
  <si>
    <t>Big East</t>
  </si>
  <si>
    <t>The rest are all self-explanatory via the reports.</t>
  </si>
  <si>
    <t>Air Force</t>
  </si>
  <si>
    <t>Alabama</t>
  </si>
  <si>
    <t>SunBelt</t>
  </si>
  <si>
    <t>Pac12</t>
  </si>
  <si>
    <t>Army</t>
  </si>
  <si>
    <t>INDEP</t>
  </si>
  <si>
    <t>Baylor</t>
  </si>
  <si>
    <t>Big12</t>
  </si>
  <si>
    <t>Boston College</t>
  </si>
  <si>
    <t>BYU</t>
  </si>
  <si>
    <t>Cincinnati</t>
  </si>
  <si>
    <t>AAC</t>
  </si>
  <si>
    <t>Duke</t>
  </si>
  <si>
    <t>East Carolina</t>
  </si>
  <si>
    <t>Eastern Michigan</t>
  </si>
  <si>
    <t>Florida</t>
  </si>
  <si>
    <t>Florida Atlantic</t>
  </si>
  <si>
    <t>BigTen</t>
  </si>
  <si>
    <t>Kansas State</t>
  </si>
  <si>
    <t>Louisiana Lafayette</t>
  </si>
  <si>
    <t>Louisiana Monroe</t>
  </si>
  <si>
    <t>LSU</t>
  </si>
  <si>
    <t>Navy</t>
  </si>
  <si>
    <t>Northwestern</t>
  </si>
  <si>
    <t>Notre Dame</t>
  </si>
  <si>
    <t>Penn State</t>
  </si>
  <si>
    <t>Pittsburgh</t>
  </si>
  <si>
    <t>Rice</t>
  </si>
  <si>
    <t>San Diego State</t>
  </si>
  <si>
    <t>SMU</t>
  </si>
  <si>
    <t>Stanford</t>
  </si>
  <si>
    <t>Syracuse</t>
  </si>
  <si>
    <t>TCU</t>
  </si>
  <si>
    <t>Temple</t>
  </si>
  <si>
    <t>Tennessee</t>
  </si>
  <si>
    <t>Tulane</t>
  </si>
  <si>
    <t>Tulsa</t>
  </si>
  <si>
    <t>USC</t>
  </si>
  <si>
    <t>Vanderbilt</t>
  </si>
  <si>
    <t>Wake Forest</t>
  </si>
  <si>
    <t>West Virginia</t>
  </si>
  <si>
    <t>NOTE: The adopted convention  is to enter zero in the non-RevExp columns if a zero really was entered in the PDF, otherwise, it's a blank.</t>
  </si>
  <si>
    <t>TotRevTot</t>
  </si>
  <si>
    <t>GS</t>
  </si>
  <si>
    <t>San Jose State</t>
  </si>
  <si>
    <t>Don't expect any report on the private programs or the service academies. But there are a few that must have simply not submitted to FOIA:</t>
  </si>
  <si>
    <t>Joh</t>
  </si>
  <si>
    <t>JOR</t>
  </si>
  <si>
    <t>BR</t>
  </si>
  <si>
    <t>BigEast</t>
  </si>
  <si>
    <t>WAC</t>
  </si>
  <si>
    <t>SM</t>
  </si>
  <si>
    <t>2012 Data file reports for June 30, 2012. That means the file is for the 2011-12 School/Sports Year (e.g., 2011 regular FB season, 2012 FB Post-Season</t>
  </si>
  <si>
    <t>2011-2012 Schools and Conferences</t>
  </si>
  <si>
    <t>No Report =</t>
  </si>
  <si>
    <t>Louisisna Monroe</t>
  </si>
  <si>
    <t>RF</t>
  </si>
  <si>
    <t>No E&amp;G</t>
  </si>
  <si>
    <t>Multiple calculations, e.g., "other sports". All of #38 calculated.</t>
  </si>
  <si>
    <t>Salaries redacted #21.</t>
  </si>
  <si>
    <t>Rounding errors, +-$1</t>
  </si>
  <si>
    <t>Imputed NPSAid; it was cut-off the form copy.</t>
  </si>
  <si>
    <t>Listed all #2 revenue as Not Related to Specific Teams; so allocated by gender but not to any men's or women's team specifically.</t>
  </si>
  <si>
    <t>#16 equally distributed revenues across separate blocks of sports, inside Men's and Women's separate categories. So, NOT actual amounts spent on any given sportl</t>
  </si>
  <si>
    <t>min</t>
  </si>
  <si>
    <t>max</t>
  </si>
  <si>
    <t>ave</t>
  </si>
  <si>
    <t>median</t>
  </si>
  <si>
    <t>mode</t>
  </si>
  <si>
    <t>sd</t>
  </si>
  <si>
    <t>How many = 0?</t>
  </si>
  <si>
    <t>Problems</t>
  </si>
  <si>
    <t>General</t>
  </si>
  <si>
    <t>Rev Exp #</t>
  </si>
  <si>
    <t>x</t>
  </si>
  <si>
    <t>DNS Survey so nothing on debt.</t>
  </si>
  <si>
    <t>DNS Survey so nothing on debt. DNS E&amp;G Spending.</t>
  </si>
  <si>
    <t>DNS #FTEs/#Posiitons; only total coaches pay is given. So can't find or calculate Ave Salaries.</t>
  </si>
  <si>
    <t>DNS E&amp;G Spending.</t>
  </si>
  <si>
    <t>X</t>
  </si>
  <si>
    <t>DNS GIA, FCOA, #teams</t>
  </si>
  <si>
    <t>Non-#</t>
  </si>
  <si>
    <t>NOTE: The adopted convention  is to enter zero in the RevExp columns if 1) the # row is there but an entry is - or 0 or blank or 2) enter zeroes if the #row is not even supplied.</t>
  </si>
  <si>
    <t>Alabama Birmingham</t>
  </si>
  <si>
    <t>Central Florida</t>
  </si>
  <si>
    <t>Florida International</t>
  </si>
  <si>
    <t>Massachusetts</t>
  </si>
  <si>
    <t>Miami (FL)</t>
  </si>
  <si>
    <t>Middle Tennessee State</t>
  </si>
  <si>
    <t>Mississippi</t>
  </si>
  <si>
    <t>South Alabama</t>
  </si>
  <si>
    <t>Texas San Antonio</t>
  </si>
  <si>
    <t>Texas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</si>
</sst>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&quot;$&quot;#,##0"/>
  </numFmts>
  <fonts count="40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6"/>
      <color theme="1"/>
      <name val="Calibri"/>
      <family val="2"/>
      <scheme val="minor"/>
    </font>
    <font>
      <u/>
      <sz val="6"/>
      <color theme="1"/>
      <name val="Calibri"/>
      <family val="2"/>
      <scheme val="minor"/>
    </font>
    <font>
      <sz val="6"/>
      <name val="Calibri"/>
      <family val="2"/>
      <scheme val="minor"/>
    </font>
    <font>
      <sz val="6"/>
      <color rgb="FF231F20"/>
      <name val="Calibri"/>
      <family val="2"/>
      <scheme val="minor"/>
    </font>
    <font>
      <sz val="6"/>
      <color rgb="FF212121"/>
      <name val="Calibri"/>
      <family val="2"/>
      <scheme val="minor"/>
    </font>
    <font>
      <sz val="6"/>
      <color rgb="FFC4C4C4"/>
      <name val="Calibri"/>
      <family val="2"/>
      <scheme val="minor"/>
    </font>
    <font>
      <sz val="6"/>
      <color rgb="FF3F3F3F"/>
      <name val="Calibri"/>
      <family val="2"/>
      <scheme val="minor"/>
    </font>
    <font>
      <sz val="6"/>
      <color rgb="FF363636"/>
      <name val="Calibri"/>
      <family val="2"/>
      <scheme val="minor"/>
    </font>
    <font>
      <sz val="6"/>
      <color rgb="FF424242"/>
      <name val="Calibri"/>
      <family val="2"/>
      <scheme val="minor"/>
    </font>
    <font>
      <sz val="6"/>
      <color rgb="FF383838"/>
      <name val="Calibri"/>
      <family val="2"/>
      <scheme val="minor"/>
    </font>
    <font>
      <sz val="6"/>
      <color rgb="FF4B4B4B"/>
      <name val="Calibri"/>
      <family val="2"/>
      <scheme val="minor"/>
    </font>
    <font>
      <sz val="6"/>
      <color rgb="FF1F1F1F"/>
      <name val="Calibri"/>
      <family val="2"/>
      <scheme val="minor"/>
    </font>
    <font>
      <sz val="6"/>
      <color rgb="FF444444"/>
      <name val="Calibri"/>
      <family val="2"/>
      <scheme val="minor"/>
    </font>
    <font>
      <sz val="6"/>
      <color rgb="FF313131"/>
      <name val="Calibri"/>
      <family val="2"/>
      <scheme val="minor"/>
    </font>
    <font>
      <sz val="6"/>
      <color rgb="FF000000"/>
      <name val="Calibri"/>
      <family val="2"/>
      <scheme val="minor"/>
    </font>
    <font>
      <sz val="6"/>
      <color rgb="FF0E0E0E"/>
      <name val="Calibri"/>
      <family val="2"/>
      <scheme val="minor"/>
    </font>
    <font>
      <sz val="6"/>
      <color rgb="FF232323"/>
      <name val="Calibri"/>
      <family val="2"/>
      <scheme val="minor"/>
    </font>
    <font>
      <sz val="6"/>
      <color rgb="FF0A0A0A"/>
      <name val="Calibri"/>
      <family val="2"/>
      <scheme val="minor"/>
    </font>
    <font>
      <sz val="6"/>
      <color rgb="FF070707"/>
      <name val="Calibri"/>
      <family val="2"/>
      <scheme val="minor"/>
    </font>
    <font>
      <sz val="6"/>
      <color rgb="FF1C1C1C"/>
      <name val="Calibri"/>
      <family val="2"/>
      <scheme val="minor"/>
    </font>
    <font>
      <sz val="6"/>
      <color rgb="FF414141"/>
      <name val="Calibri"/>
      <family val="2"/>
      <scheme val="minor"/>
    </font>
    <font>
      <sz val="6"/>
      <color rgb="FF505050"/>
      <name val="Calibri"/>
      <family val="2"/>
      <scheme val="minor"/>
    </font>
    <font>
      <sz val="6"/>
      <color rgb="FF2D2A2A"/>
      <name val="Calibri"/>
      <family val="2"/>
      <scheme val="minor"/>
    </font>
    <font>
      <sz val="6"/>
      <color rgb="FF413F3F"/>
      <name val="Calibri"/>
      <family val="2"/>
      <scheme val="minor"/>
    </font>
    <font>
      <sz val="6"/>
      <color rgb="FF181616"/>
      <name val="Calibri"/>
      <family val="2"/>
      <scheme val="minor"/>
    </font>
    <font>
      <sz val="6"/>
      <color rgb="FF3A3A3A"/>
      <name val="Calibri"/>
      <family val="2"/>
      <scheme val="minor"/>
    </font>
    <font>
      <sz val="6"/>
      <color rgb="FF545454"/>
      <name val="Calibri"/>
      <family val="2"/>
      <scheme val="minor"/>
    </font>
    <font>
      <sz val="6"/>
      <color rgb="FF59595B"/>
      <name val="Calibri"/>
      <family val="2"/>
      <scheme val="minor"/>
    </font>
    <font>
      <sz val="6"/>
      <color rgb="FF464646"/>
      <name val="Calibri"/>
      <family val="2"/>
      <scheme val="minor"/>
    </font>
    <font>
      <sz val="6"/>
      <color rgb="FF707070"/>
      <name val="Calibri"/>
      <family val="2"/>
      <scheme val="minor"/>
    </font>
    <font>
      <sz val="6"/>
      <color rgb="FF898989"/>
      <name val="Calibri"/>
      <family val="2"/>
      <scheme val="minor"/>
    </font>
    <font>
      <i/>
      <sz val="6"/>
      <color rgb="FF59595B"/>
      <name val="Calibri"/>
      <family val="2"/>
      <scheme val="minor"/>
    </font>
    <font>
      <sz val="6"/>
      <color rgb="FF080808"/>
      <name val="Calibri"/>
      <family val="2"/>
      <scheme val="minor"/>
    </font>
    <font>
      <sz val="6"/>
      <color rgb="FF343434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6">
    <xf numFmtId="0" fontId="0" fillId="0" borderId="0" xfId="0"/>
    <xf numFmtId="0" fontId="1" fillId="0" borderId="0" xfId="0" applyFont="1" applyFill="1" applyBorder="1" applyAlignment="1">
      <alignment horizontal="left"/>
    </xf>
    <xf numFmtId="0" fontId="0" fillId="2" borderId="0" xfId="0" applyFill="1"/>
    <xf numFmtId="0" fontId="0" fillId="0" borderId="0" xfId="0" applyNumberFormat="1" applyFill="1" applyAlignment="1"/>
    <xf numFmtId="0" fontId="4" fillId="0" borderId="0" xfId="0" applyFont="1" applyFill="1" applyBorder="1" applyAlignment="1">
      <alignment horizontal="right"/>
    </xf>
    <xf numFmtId="164" fontId="4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right"/>
    </xf>
    <xf numFmtId="164" fontId="5" fillId="0" borderId="0" xfId="0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164" fontId="6" fillId="0" borderId="0" xfId="0" applyNumberFormat="1" applyFont="1" applyFill="1" applyBorder="1" applyAlignment="1">
      <alignment horizontal="right"/>
    </xf>
    <xf numFmtId="164" fontId="8" fillId="0" borderId="0" xfId="0" applyNumberFormat="1" applyFont="1" applyFill="1" applyBorder="1" applyAlignment="1">
      <alignment horizontal="right" vertical="top"/>
    </xf>
    <xf numFmtId="164" fontId="6" fillId="0" borderId="0" xfId="0" applyNumberFormat="1" applyFont="1" applyFill="1" applyBorder="1" applyAlignment="1">
      <alignment horizontal="right" vertical="top"/>
    </xf>
    <xf numFmtId="0" fontId="6" fillId="0" borderId="0" xfId="0" applyFont="1" applyFill="1" applyBorder="1" applyAlignment="1">
      <alignment horizontal="right"/>
    </xf>
    <xf numFmtId="164" fontId="17" fillId="0" borderId="0" xfId="0" applyNumberFormat="1" applyFont="1" applyFill="1" applyBorder="1" applyAlignment="1">
      <alignment horizontal="right" vertical="center"/>
    </xf>
    <xf numFmtId="6" fontId="4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/>
    </xf>
    <xf numFmtId="0" fontId="0" fillId="0" borderId="0" xfId="0" applyFill="1"/>
    <xf numFmtId="0" fontId="4" fillId="0" borderId="0" xfId="0" applyFont="1" applyFill="1" applyBorder="1" applyAlignment="1">
      <alignment horizontal="left"/>
    </xf>
    <xf numFmtId="3" fontId="4" fillId="0" borderId="0" xfId="0" applyNumberFormat="1" applyFont="1" applyFill="1" applyBorder="1" applyAlignment="1">
      <alignment horizontal="right"/>
    </xf>
    <xf numFmtId="2" fontId="4" fillId="0" borderId="0" xfId="0" applyNumberFormat="1" applyFont="1" applyFill="1" applyBorder="1" applyAlignment="1">
      <alignment horizontal="right"/>
    </xf>
    <xf numFmtId="1" fontId="4" fillId="0" borderId="0" xfId="0" applyNumberFormat="1" applyFont="1" applyFill="1" applyBorder="1" applyAlignment="1">
      <alignment horizontal="right"/>
    </xf>
    <xf numFmtId="164" fontId="4" fillId="0" borderId="0" xfId="0" applyNumberFormat="1" applyFont="1" applyBorder="1" applyAlignment="1">
      <alignment horizontal="right"/>
    </xf>
    <xf numFmtId="0" fontId="4" fillId="0" borderId="0" xfId="0" applyNumberFormat="1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4" fontId="4" fillId="3" borderId="0" xfId="0" applyNumberFormat="1" applyFont="1" applyFill="1" applyBorder="1" applyAlignment="1">
      <alignment horizontal="right"/>
    </xf>
    <xf numFmtId="0" fontId="4" fillId="3" borderId="0" xfId="0" applyNumberFormat="1" applyFont="1" applyFill="1" applyBorder="1" applyAlignment="1">
      <alignment horizontal="right"/>
    </xf>
    <xf numFmtId="164" fontId="5" fillId="3" borderId="0" xfId="0" applyNumberFormat="1" applyFont="1" applyFill="1" applyBorder="1" applyAlignment="1">
      <alignment horizontal="right"/>
    </xf>
    <xf numFmtId="49" fontId="38" fillId="0" borderId="0" xfId="0" applyNumberFormat="1" applyFont="1"/>
    <xf numFmtId="49" fontId="38" fillId="2" borderId="0" xfId="0" applyNumberFormat="1" applyFont="1" applyFill="1"/>
    <xf numFmtId="49" fontId="0" fillId="0" borderId="0" xfId="0" applyNumberFormat="1" applyAlignment="1"/>
    <xf numFmtId="49" fontId="38" fillId="0" borderId="0" xfId="0" applyNumberFormat="1" applyFont="1" applyFill="1"/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38" fillId="0" borderId="0" xfId="0" applyFont="1" applyAlignment="1">
      <alignment horizontal="left"/>
    </xf>
    <xf numFmtId="1" fontId="4" fillId="0" borderId="0" xfId="0" applyNumberFormat="1" applyFont="1" applyFill="1" applyBorder="1" applyAlignment="1">
      <alignment horizontal="left"/>
    </xf>
    <xf numFmtId="3" fontId="18" fillId="0" borderId="0" xfId="0" applyNumberFormat="1" applyFont="1" applyAlignment="1">
      <alignment horizontal="right"/>
    </xf>
    <xf numFmtId="0" fontId="4" fillId="4" borderId="0" xfId="0" applyFont="1" applyFill="1" applyBorder="1" applyAlignment="1">
      <alignment horizontal="left"/>
    </xf>
    <xf numFmtId="0" fontId="6" fillId="4" borderId="0" xfId="0" applyFont="1" applyFill="1" applyBorder="1" applyAlignment="1">
      <alignment horizontal="left"/>
    </xf>
    <xf numFmtId="0" fontId="5" fillId="5" borderId="0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right"/>
    </xf>
    <xf numFmtId="3" fontId="5" fillId="5" borderId="0" xfId="0" applyNumberFormat="1" applyFont="1" applyFill="1" applyBorder="1" applyAlignment="1">
      <alignment horizontal="right"/>
    </xf>
    <xf numFmtId="164" fontId="5" fillId="5" borderId="0" xfId="0" applyNumberFormat="1" applyFont="1" applyFill="1" applyBorder="1" applyAlignment="1">
      <alignment horizontal="right"/>
    </xf>
    <xf numFmtId="0" fontId="6" fillId="5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right"/>
    </xf>
    <xf numFmtId="3" fontId="4" fillId="5" borderId="0" xfId="0" applyNumberFormat="1" applyFont="1" applyFill="1" applyBorder="1" applyAlignment="1">
      <alignment horizontal="right"/>
    </xf>
    <xf numFmtId="164" fontId="4" fillId="5" borderId="0" xfId="0" applyNumberFormat="1" applyFont="1" applyFill="1" applyBorder="1" applyAlignment="1">
      <alignment horizontal="right"/>
    </xf>
    <xf numFmtId="164" fontId="4" fillId="5" borderId="0" xfId="0" applyNumberFormat="1" applyFont="1" applyFill="1" applyBorder="1" applyAlignment="1"/>
    <xf numFmtId="3" fontId="4" fillId="5" borderId="0" xfId="0" applyNumberFormat="1" applyFont="1" applyFill="1" applyBorder="1" applyAlignment="1">
      <alignment horizontal="right" vertical="center"/>
    </xf>
    <xf numFmtId="164" fontId="4" fillId="5" borderId="0" xfId="0" applyNumberFormat="1" applyFont="1" applyFill="1" applyBorder="1" applyAlignment="1">
      <alignment horizontal="right" vertical="center"/>
    </xf>
    <xf numFmtId="3" fontId="8" fillId="5" borderId="0" xfId="0" applyNumberFormat="1" applyFont="1" applyFill="1" applyBorder="1" applyAlignment="1">
      <alignment horizontal="right"/>
    </xf>
    <xf numFmtId="164" fontId="19" fillId="5" borderId="0" xfId="0" applyNumberFormat="1" applyFont="1" applyFill="1" applyBorder="1" applyAlignment="1">
      <alignment horizontal="right"/>
    </xf>
    <xf numFmtId="164" fontId="19" fillId="5" borderId="0" xfId="0" applyNumberFormat="1" applyFont="1" applyFill="1" applyBorder="1" applyAlignment="1">
      <alignment horizontal="right" vertical="center"/>
    </xf>
    <xf numFmtId="164" fontId="20" fillId="5" borderId="0" xfId="0" applyNumberFormat="1" applyFont="1" applyFill="1" applyBorder="1" applyAlignment="1">
      <alignment horizontal="right"/>
    </xf>
    <xf numFmtId="164" fontId="21" fillId="5" borderId="0" xfId="0" applyNumberFormat="1" applyFont="1" applyFill="1" applyBorder="1" applyAlignment="1">
      <alignment horizontal="right"/>
    </xf>
    <xf numFmtId="164" fontId="21" fillId="5" borderId="0" xfId="0" applyNumberFormat="1" applyFont="1" applyFill="1" applyBorder="1" applyAlignment="1">
      <alignment horizontal="right" vertical="center"/>
    </xf>
    <xf numFmtId="164" fontId="20" fillId="5" borderId="0" xfId="0" applyNumberFormat="1" applyFont="1" applyFill="1" applyBorder="1" applyAlignment="1">
      <alignment horizontal="right" vertical="center"/>
    </xf>
    <xf numFmtId="0" fontId="18" fillId="5" borderId="0" xfId="0" applyFont="1" applyFill="1" applyBorder="1" applyAlignment="1">
      <alignment horizontal="center"/>
    </xf>
    <xf numFmtId="164" fontId="4" fillId="5" borderId="0" xfId="0" applyNumberFormat="1" applyFont="1" applyFill="1" applyBorder="1" applyAlignment="1">
      <alignment vertical="top" wrapText="1"/>
    </xf>
    <xf numFmtId="164" fontId="4" fillId="5" borderId="0" xfId="0" applyNumberFormat="1" applyFont="1" applyFill="1"/>
    <xf numFmtId="0" fontId="6" fillId="5" borderId="0" xfId="0" applyFont="1" applyFill="1" applyBorder="1" applyAlignment="1">
      <alignment horizontal="right"/>
    </xf>
    <xf numFmtId="3" fontId="6" fillId="5" borderId="0" xfId="0" applyNumberFormat="1" applyFont="1" applyFill="1" applyBorder="1" applyAlignment="1">
      <alignment horizontal="right"/>
    </xf>
    <xf numFmtId="164" fontId="6" fillId="5" borderId="0" xfId="0" applyNumberFormat="1" applyFont="1" applyFill="1" applyBorder="1" applyAlignment="1">
      <alignment horizontal="right"/>
    </xf>
    <xf numFmtId="164" fontId="6" fillId="5" borderId="0" xfId="0" applyNumberFormat="1" applyFont="1" applyFill="1" applyBorder="1" applyAlignment="1"/>
    <xf numFmtId="164" fontId="30" fillId="5" borderId="0" xfId="0" applyNumberFormat="1" applyFont="1" applyFill="1" applyBorder="1" applyAlignment="1">
      <alignment horizontal="right"/>
    </xf>
    <xf numFmtId="0" fontId="5" fillId="3" borderId="0" xfId="0" applyNumberFormat="1" applyFont="1" applyFill="1" applyBorder="1" applyAlignment="1">
      <alignment horizontal="right"/>
    </xf>
    <xf numFmtId="2" fontId="5" fillId="3" borderId="0" xfId="0" applyNumberFormat="1" applyFont="1" applyFill="1" applyBorder="1" applyAlignment="1">
      <alignment horizontal="right"/>
    </xf>
    <xf numFmtId="0" fontId="4" fillId="3" borderId="0" xfId="0" applyFont="1" applyFill="1" applyBorder="1" applyAlignment="1">
      <alignment horizontal="right"/>
    </xf>
    <xf numFmtId="2" fontId="4" fillId="3" borderId="0" xfId="0" applyNumberFormat="1" applyFont="1" applyFill="1" applyBorder="1" applyAlignment="1">
      <alignment horizontal="right"/>
    </xf>
    <xf numFmtId="1" fontId="4" fillId="3" borderId="0" xfId="0" applyNumberFormat="1" applyFont="1" applyFill="1" applyBorder="1" applyAlignment="1">
      <alignment horizontal="right"/>
    </xf>
    <xf numFmtId="1" fontId="4" fillId="3" borderId="0" xfId="0" applyNumberFormat="1" applyFont="1" applyFill="1" applyBorder="1" applyAlignment="1">
      <alignment horizontal="right" vertical="center"/>
    </xf>
    <xf numFmtId="164" fontId="4" fillId="3" borderId="0" xfId="0" applyNumberFormat="1" applyFont="1" applyFill="1" applyBorder="1" applyAlignment="1">
      <alignment horizontal="right" vertical="center"/>
    </xf>
    <xf numFmtId="164" fontId="6" fillId="3" borderId="0" xfId="0" applyNumberFormat="1" applyFont="1" applyFill="1" applyBorder="1" applyAlignment="1">
      <alignment horizontal="right" vertical="center"/>
    </xf>
    <xf numFmtId="2" fontId="4" fillId="3" borderId="0" xfId="0" applyNumberFormat="1" applyFont="1" applyFill="1" applyBorder="1" applyAlignment="1">
      <alignment horizontal="right" vertical="center"/>
    </xf>
    <xf numFmtId="164" fontId="22" fillId="3" borderId="0" xfId="0" applyNumberFormat="1" applyFont="1" applyFill="1" applyBorder="1" applyAlignment="1">
      <alignment horizontal="right" vertical="center"/>
    </xf>
    <xf numFmtId="164" fontId="22" fillId="3" borderId="0" xfId="0" applyNumberFormat="1" applyFont="1" applyFill="1" applyBorder="1" applyAlignment="1">
      <alignment horizontal="right"/>
    </xf>
    <xf numFmtId="164" fontId="23" fillId="3" borderId="0" xfId="0" applyNumberFormat="1" applyFont="1" applyFill="1" applyBorder="1" applyAlignment="1">
      <alignment horizontal="right" vertical="center"/>
    </xf>
    <xf numFmtId="164" fontId="23" fillId="3" borderId="0" xfId="0" applyNumberFormat="1" applyFont="1" applyFill="1" applyBorder="1" applyAlignment="1">
      <alignment horizontal="right"/>
    </xf>
    <xf numFmtId="2" fontId="23" fillId="3" borderId="0" xfId="0" applyNumberFormat="1" applyFont="1" applyFill="1" applyBorder="1" applyAlignment="1">
      <alignment horizontal="right" vertical="center"/>
    </xf>
    <xf numFmtId="2" fontId="22" fillId="3" borderId="0" xfId="0" applyNumberFormat="1" applyFont="1" applyFill="1" applyBorder="1" applyAlignment="1">
      <alignment horizontal="right" vertical="center"/>
    </xf>
    <xf numFmtId="0" fontId="4" fillId="3" borderId="0" xfId="0" applyFont="1" applyFill="1" applyBorder="1" applyAlignment="1">
      <alignment horizontal="right" vertical="center"/>
    </xf>
    <xf numFmtId="6" fontId="4" fillId="3" borderId="0" xfId="0" applyNumberFormat="1" applyFont="1" applyFill="1" applyBorder="1" applyAlignment="1">
      <alignment horizontal="right"/>
    </xf>
    <xf numFmtId="164" fontId="12" fillId="3" borderId="0" xfId="0" applyNumberFormat="1" applyFont="1" applyFill="1" applyBorder="1" applyAlignment="1">
      <alignment horizontal="right"/>
    </xf>
    <xf numFmtId="2" fontId="12" fillId="3" borderId="0" xfId="0" applyNumberFormat="1" applyFont="1" applyFill="1" applyBorder="1" applyAlignment="1">
      <alignment horizontal="right" vertical="center"/>
    </xf>
    <xf numFmtId="164" fontId="12" fillId="3" borderId="0" xfId="0" applyNumberFormat="1" applyFont="1" applyFill="1" applyBorder="1" applyAlignment="1">
      <alignment horizontal="right" vertical="center"/>
    </xf>
    <xf numFmtId="1" fontId="6" fillId="3" borderId="0" xfId="0" applyNumberFormat="1" applyFont="1" applyFill="1" applyBorder="1" applyAlignment="1">
      <alignment horizontal="right"/>
    </xf>
    <xf numFmtId="164" fontId="6" fillId="3" borderId="0" xfId="0" applyNumberFormat="1" applyFont="1" applyFill="1" applyBorder="1" applyAlignment="1">
      <alignment horizontal="right"/>
    </xf>
    <xf numFmtId="2" fontId="6" fillId="3" borderId="0" xfId="0" applyNumberFormat="1" applyFont="1" applyFill="1" applyBorder="1" applyAlignment="1">
      <alignment horizontal="right"/>
    </xf>
    <xf numFmtId="164" fontId="31" fillId="3" borderId="0" xfId="0" applyNumberFormat="1" applyFont="1" applyFill="1" applyBorder="1" applyAlignment="1">
      <alignment horizontal="right" vertical="center" wrapText="1"/>
    </xf>
    <xf numFmtId="2" fontId="31" fillId="3" borderId="0" xfId="0" applyNumberFormat="1" applyFont="1" applyFill="1" applyBorder="1" applyAlignment="1">
      <alignment horizontal="right" vertical="center" wrapText="1"/>
    </xf>
    <xf numFmtId="2" fontId="32" fillId="3" borderId="0" xfId="0" applyNumberFormat="1" applyFont="1" applyFill="1" applyBorder="1" applyAlignment="1">
      <alignment horizontal="right" vertical="center" wrapText="1"/>
    </xf>
    <xf numFmtId="164" fontId="5" fillId="6" borderId="0" xfId="0" applyNumberFormat="1" applyFont="1" applyFill="1" applyBorder="1" applyAlignment="1">
      <alignment horizontal="right"/>
    </xf>
    <xf numFmtId="164" fontId="4" fillId="6" borderId="0" xfId="0" applyNumberFormat="1" applyFont="1" applyFill="1" applyBorder="1" applyAlignment="1">
      <alignment horizontal="right"/>
    </xf>
    <xf numFmtId="164" fontId="6" fillId="6" borderId="0" xfId="0" applyNumberFormat="1" applyFont="1" applyFill="1" applyBorder="1" applyAlignment="1">
      <alignment horizontal="right"/>
    </xf>
    <xf numFmtId="164" fontId="18" fillId="6" borderId="0" xfId="0" applyNumberFormat="1" applyFont="1" applyFill="1" applyBorder="1" applyAlignment="1">
      <alignment horizontal="right"/>
    </xf>
    <xf numFmtId="164" fontId="4" fillId="6" borderId="0" xfId="0" applyNumberFormat="1" applyFont="1" applyFill="1" applyBorder="1" applyAlignment="1">
      <alignment horizontal="right" vertical="center"/>
    </xf>
    <xf numFmtId="164" fontId="25" fillId="6" borderId="0" xfId="0" applyNumberFormat="1" applyFont="1" applyFill="1" applyBorder="1" applyAlignment="1">
      <alignment horizontal="right" vertical="center" wrapText="1"/>
    </xf>
    <xf numFmtId="164" fontId="27" fillId="6" borderId="0" xfId="0" applyNumberFormat="1" applyFont="1" applyFill="1" applyBorder="1" applyAlignment="1">
      <alignment horizontal="right" vertical="center" wrapText="1"/>
    </xf>
    <xf numFmtId="164" fontId="28" fillId="6" borderId="0" xfId="0" applyNumberFormat="1" applyFont="1" applyFill="1" applyBorder="1" applyAlignment="1">
      <alignment horizontal="right" vertical="center" wrapText="1"/>
    </xf>
    <xf numFmtId="164" fontId="26" fillId="6" borderId="0" xfId="0" applyNumberFormat="1" applyFont="1" applyFill="1" applyBorder="1" applyAlignment="1">
      <alignment horizontal="right" vertical="center" wrapText="1"/>
    </xf>
    <xf numFmtId="164" fontId="4" fillId="6" borderId="0" xfId="0" applyNumberFormat="1" applyFont="1" applyFill="1" applyBorder="1" applyAlignment="1">
      <alignment horizontal="right" vertical="center" wrapText="1"/>
    </xf>
    <xf numFmtId="0" fontId="4" fillId="6" borderId="0" xfId="0" applyFont="1" applyFill="1" applyBorder="1" applyAlignment="1">
      <alignment horizontal="right"/>
    </xf>
    <xf numFmtId="164" fontId="17" fillId="6" borderId="0" xfId="0" applyNumberFormat="1" applyFont="1" applyFill="1" applyBorder="1" applyAlignment="1">
      <alignment horizontal="right" vertical="center" wrapText="1"/>
    </xf>
    <xf numFmtId="164" fontId="29" fillId="6" borderId="0" xfId="0" applyNumberFormat="1" applyFont="1" applyFill="1" applyBorder="1" applyAlignment="1">
      <alignment horizontal="right" vertical="center" wrapText="1"/>
    </xf>
    <xf numFmtId="164" fontId="24" fillId="6" borderId="0" xfId="0" applyNumberFormat="1" applyFont="1" applyFill="1" applyBorder="1" applyAlignment="1">
      <alignment horizontal="right" vertical="center"/>
    </xf>
    <xf numFmtId="164" fontId="10" fillId="6" borderId="0" xfId="0" applyNumberFormat="1" applyFont="1" applyFill="1" applyBorder="1" applyAlignment="1">
      <alignment horizontal="right" vertical="center"/>
    </xf>
    <xf numFmtId="164" fontId="4" fillId="6" borderId="0" xfId="0" applyNumberFormat="1" applyFont="1" applyFill="1" applyBorder="1" applyAlignment="1">
      <alignment horizontal="right" vertical="center" wrapText="1" indent="2"/>
    </xf>
    <xf numFmtId="164" fontId="18" fillId="6" borderId="0" xfId="0" applyNumberFormat="1" applyFont="1" applyFill="1" applyBorder="1" applyAlignment="1">
      <alignment horizontal="right" vertical="top"/>
    </xf>
    <xf numFmtId="164" fontId="6" fillId="6" borderId="0" xfId="0" applyNumberFormat="1" applyFont="1" applyFill="1" applyBorder="1" applyAlignment="1">
      <alignment horizontal="right" vertical="top"/>
    </xf>
    <xf numFmtId="164" fontId="6" fillId="6" borderId="0" xfId="0" applyNumberFormat="1" applyFont="1" applyFill="1" applyBorder="1" applyAlignment="1">
      <alignment horizontal="right" vertical="center"/>
    </xf>
    <xf numFmtId="164" fontId="6" fillId="6" borderId="0" xfId="0" applyNumberFormat="1" applyFont="1" applyFill="1"/>
    <xf numFmtId="164" fontId="6" fillId="6" borderId="0" xfId="0" applyNumberFormat="1" applyFont="1" applyFill="1" applyBorder="1" applyAlignment="1">
      <alignment vertical="center"/>
    </xf>
    <xf numFmtId="164" fontId="6" fillId="6" borderId="0" xfId="0" applyNumberFormat="1" applyFont="1" applyFill="1" applyBorder="1"/>
    <xf numFmtId="164" fontId="7" fillId="6" borderId="0" xfId="0" applyNumberFormat="1" applyFont="1" applyFill="1" applyBorder="1" applyAlignment="1">
      <alignment horizontal="right" vertical="top"/>
    </xf>
    <xf numFmtId="164" fontId="12" fillId="6" borderId="0" xfId="0" applyNumberFormat="1" applyFont="1" applyFill="1" applyBorder="1" applyAlignment="1">
      <alignment horizontal="right" vertical="center"/>
    </xf>
    <xf numFmtId="164" fontId="13" fillId="6" borderId="0" xfId="0" applyNumberFormat="1" applyFont="1" applyFill="1" applyBorder="1" applyAlignment="1">
      <alignment horizontal="right" vertical="center"/>
    </xf>
    <xf numFmtId="164" fontId="14" fillId="6" borderId="0" xfId="0" applyNumberFormat="1" applyFont="1" applyFill="1" applyBorder="1" applyAlignment="1">
      <alignment horizontal="right" vertical="center"/>
    </xf>
    <xf numFmtId="164" fontId="15" fillId="6" borderId="0" xfId="0" applyNumberFormat="1" applyFont="1" applyFill="1" applyBorder="1" applyAlignment="1">
      <alignment horizontal="right" vertical="center"/>
    </xf>
    <xf numFmtId="164" fontId="13" fillId="6" borderId="0" xfId="0" applyNumberFormat="1" applyFont="1" applyFill="1" applyBorder="1" applyAlignment="1">
      <alignment horizontal="right"/>
    </xf>
    <xf numFmtId="164" fontId="16" fillId="6" borderId="0" xfId="0" applyNumberFormat="1" applyFont="1" applyFill="1" applyBorder="1" applyAlignment="1">
      <alignment horizontal="right" vertical="center"/>
    </xf>
    <xf numFmtId="164" fontId="17" fillId="6" borderId="0" xfId="0" applyNumberFormat="1" applyFont="1" applyFill="1" applyBorder="1" applyAlignment="1">
      <alignment horizontal="right" vertical="center"/>
    </xf>
    <xf numFmtId="164" fontId="11" fillId="6" borderId="0" xfId="0" applyNumberFormat="1" applyFont="1" applyFill="1" applyBorder="1" applyAlignment="1">
      <alignment horizontal="right" vertical="top"/>
    </xf>
    <xf numFmtId="164" fontId="18" fillId="6" borderId="0" xfId="0" applyNumberFormat="1" applyFont="1" applyFill="1" applyBorder="1" applyAlignment="1">
      <alignment horizontal="right" vertical="center"/>
    </xf>
    <xf numFmtId="164" fontId="32" fillId="6" borderId="0" xfId="0" applyNumberFormat="1" applyFont="1" applyFill="1" applyBorder="1" applyAlignment="1">
      <alignment horizontal="right" vertical="center" wrapText="1"/>
    </xf>
    <xf numFmtId="164" fontId="33" fillId="6" borderId="0" xfId="0" applyNumberFormat="1" applyFont="1" applyFill="1" applyBorder="1" applyAlignment="1">
      <alignment horizontal="right" vertical="center" wrapText="1"/>
    </xf>
    <xf numFmtId="164" fontId="34" fillId="6" borderId="0" xfId="0" applyNumberFormat="1" applyFont="1" applyFill="1" applyBorder="1" applyAlignment="1">
      <alignment horizontal="right" vertical="center" wrapText="1"/>
    </xf>
    <xf numFmtId="164" fontId="31" fillId="6" borderId="0" xfId="0" applyNumberFormat="1" applyFont="1" applyFill="1" applyBorder="1" applyAlignment="1">
      <alignment horizontal="right" vertical="center" wrapText="1"/>
    </xf>
    <xf numFmtId="164" fontId="11" fillId="6" borderId="0" xfId="0" applyNumberFormat="1" applyFont="1" applyFill="1" applyBorder="1" applyAlignment="1">
      <alignment horizontal="right" vertical="center" wrapText="1"/>
    </xf>
    <xf numFmtId="164" fontId="35" fillId="6" borderId="0" xfId="0" applyNumberFormat="1" applyFont="1" applyFill="1" applyBorder="1" applyAlignment="1">
      <alignment horizontal="right" vertical="center" wrapText="1"/>
    </xf>
    <xf numFmtId="164" fontId="8" fillId="6" borderId="0" xfId="0" applyNumberFormat="1" applyFont="1" applyFill="1" applyBorder="1" applyAlignment="1">
      <alignment horizontal="right" vertical="top"/>
    </xf>
    <xf numFmtId="164" fontId="9" fillId="6" borderId="0" xfId="0" applyNumberFormat="1" applyFont="1" applyFill="1" applyBorder="1" applyAlignment="1">
      <alignment horizontal="right" vertical="top"/>
    </xf>
    <xf numFmtId="164" fontId="8" fillId="6" borderId="0" xfId="0" applyNumberFormat="1" applyFont="1" applyFill="1" applyBorder="1" applyAlignment="1">
      <alignment horizontal="right"/>
    </xf>
    <xf numFmtId="164" fontId="10" fillId="6" borderId="0" xfId="0" applyNumberFormat="1" applyFont="1" applyFill="1" applyBorder="1" applyAlignment="1">
      <alignment horizontal="right" vertical="top"/>
    </xf>
    <xf numFmtId="164" fontId="36" fillId="6" borderId="0" xfId="0" applyNumberFormat="1" applyFont="1" applyFill="1" applyBorder="1" applyAlignment="1">
      <alignment horizontal="right" vertical="center" wrapText="1"/>
    </xf>
    <xf numFmtId="164" fontId="37" fillId="6" borderId="0" xfId="0" applyNumberFormat="1" applyFont="1" applyFill="1" applyBorder="1" applyAlignment="1">
      <alignment horizontal="right" vertical="center" wrapText="1"/>
    </xf>
    <xf numFmtId="164" fontId="16" fillId="6" borderId="0" xfId="0" applyNumberFormat="1" applyFont="1" applyFill="1" applyBorder="1" applyAlignment="1">
      <alignment horizontal="right" vertical="center" wrapText="1"/>
    </xf>
    <xf numFmtId="164" fontId="4" fillId="6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49" fontId="38" fillId="0" borderId="0" xfId="0" applyNumberFormat="1" applyFont="1" applyAlignment="1">
      <alignment horizontal="center"/>
    </xf>
    <xf numFmtId="49" fontId="38" fillId="0" borderId="0" xfId="0" applyNumberFormat="1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0" xfId="0" applyNumberFormat="1"/>
    <xf numFmtId="0" fontId="0" fillId="0" borderId="0" xfId="0" applyAlignment="1"/>
    <xf numFmtId="49" fontId="39" fillId="0" borderId="0" xfId="0" applyNumberFormat="1" applyFont="1" applyAlignment="1"/>
    <xf numFmtId="0" fontId="39" fillId="0" borderId="0" xfId="0" applyFont="1" applyAlignment="1"/>
    <xf numFmtId="49" fontId="6" fillId="0" borderId="0" xfId="0" applyNumberFormat="1" applyFont="1" applyFill="1" applyBorder="1" applyAlignment="1">
      <alignment horizontal="left"/>
    </xf>
    <xf numFmtId="49" fontId="4" fillId="0" borderId="0" xfId="0" applyNumberFormat="1" applyFont="1" applyFill="1" applyBorder="1" applyAlignment="1">
      <alignment horizontal="left"/>
    </xf>
    <xf numFmtId="49" fontId="4" fillId="0" borderId="0" xfId="0" applyNumberFormat="1" applyFont="1" applyBorder="1" applyAlignment="1">
      <alignment horizontal="left"/>
    </xf>
    <xf numFmtId="49" fontId="4" fillId="4" borderId="0" xfId="0" applyNumberFormat="1" applyFont="1" applyFill="1" applyBorder="1" applyAlignment="1">
      <alignment horizontal="left"/>
    </xf>
    <xf numFmtId="49" fontId="6" fillId="4" borderId="0" xfId="0" applyNumberFormat="1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left"/>
    </xf>
    <xf numFmtId="49" fontId="0" fillId="0" borderId="0" xfId="0" applyNumberFormat="1" applyFont="1" applyFill="1" applyBorder="1" applyAlignment="1">
      <alignment horizontal="left"/>
    </xf>
    <xf numFmtId="49" fontId="0" fillId="0" borderId="0" xfId="0" applyNumberFormat="1" applyFont="1" applyBorder="1" applyAlignment="1">
      <alignment horizontal="left"/>
    </xf>
    <xf numFmtId="49" fontId="0" fillId="4" borderId="0" xfId="0" applyNumberFormat="1" applyFont="1" applyFill="1" applyBorder="1" applyAlignment="1">
      <alignment horizontal="left"/>
    </xf>
    <xf numFmtId="49" fontId="1" fillId="4" borderId="0" xfId="0" applyNumberFormat="1" applyFont="1" applyFill="1" applyBorder="1" applyAlignment="1">
      <alignment horizontal="left"/>
    </xf>
    <xf numFmtId="0" fontId="38" fillId="0" borderId="0" xfId="0" applyFont="1"/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1">
    <dxf>
      <font>
        <color rgb="FFFF0000"/>
      </font>
    </dxf>
  </dxfs>
  <tableStyles count="0" defaultTableStyle="TableStyleMedium9" defaultPivotStyle="PivotStyleMedium7"/>
  <colors>
    <mruColors>
      <color rgb="FF957FA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G102"/>
  <sheetViews>
    <sheetView tabSelected="1" zoomScale="200" zoomScaleNormal="200" zoomScalePageLayoutView="200" workbookViewId="0">
      <pane xSplit="16280" ySplit="2080" topLeftCell="JU92" activePane="bottomLeft"/>
      <selection activeCell="JK93" sqref="JK93"/>
      <selection pane="topRight" activeCell="C1" sqref="C1"/>
      <selection pane="bottomLeft" activeCell="A93" sqref="A93:XFD95"/>
      <selection pane="bottomRight" activeCell="JN92" sqref="JN92"/>
    </sheetView>
  </sheetViews>
  <sheetFormatPr baseColWidth="10" defaultRowHeight="10" x14ac:dyDescent="0.15"/>
  <cols>
    <col min="1" max="1" width="14.5" style="18" customWidth="1"/>
    <col min="2" max="2" width="3.1640625" style="25" bestFit="1" customWidth="1"/>
    <col min="3" max="3" width="8.1640625" style="25" bestFit="1" customWidth="1"/>
    <col min="4" max="4" width="3" style="25" bestFit="1" customWidth="1"/>
    <col min="5" max="5" width="6.33203125" style="4" bestFit="1" customWidth="1"/>
    <col min="6" max="6" width="5.5" style="4" bestFit="1" customWidth="1"/>
    <col min="7" max="7" width="4.33203125" style="19" bestFit="1" customWidth="1"/>
    <col min="8" max="8" width="5.33203125" style="19" bestFit="1" customWidth="1"/>
    <col min="9" max="9" width="7.6640625" style="5" bestFit="1" customWidth="1"/>
    <col min="10" max="11" width="7.5" style="5" bestFit="1" customWidth="1"/>
    <col min="12" max="12" width="8.83203125" style="5" bestFit="1" customWidth="1"/>
    <col min="13" max="13" width="7.83203125" style="5" bestFit="1" customWidth="1"/>
    <col min="14" max="14" width="8.83203125" style="5" bestFit="1" customWidth="1"/>
    <col min="15" max="15" width="8.1640625" style="5" bestFit="1" customWidth="1"/>
    <col min="16" max="16" width="9.5" style="5" bestFit="1" customWidth="1"/>
    <col min="17" max="17" width="9.33203125" style="5" bestFit="1" customWidth="1"/>
    <col min="18" max="18" width="10.83203125" style="5" bestFit="1" customWidth="1"/>
    <col min="19" max="19" width="8.1640625" style="5" bestFit="1" customWidth="1"/>
    <col min="20" max="20" width="9.83203125" style="5" bestFit="1" customWidth="1"/>
    <col min="21" max="21" width="8.5" style="5" bestFit="1" customWidth="1"/>
    <col min="22" max="23" width="10.1640625" style="5" bestFit="1" customWidth="1"/>
    <col min="24" max="24" width="12" style="5" bestFit="1" customWidth="1"/>
    <col min="25" max="25" width="8" style="5" bestFit="1" customWidth="1"/>
    <col min="26" max="27" width="9.6640625" style="5" bestFit="1" customWidth="1"/>
    <col min="28" max="28" width="11.33203125" style="5" bestFit="1" customWidth="1"/>
    <col min="29" max="29" width="6.33203125" style="16" bestFit="1" customWidth="1"/>
    <col min="30" max="30" width="7.6640625" style="16" bestFit="1" customWidth="1"/>
    <col min="31" max="31" width="6.6640625" style="16" bestFit="1" customWidth="1"/>
    <col min="32" max="32" width="14" style="5" bestFit="1" customWidth="1"/>
    <col min="33" max="33" width="15.33203125" style="5" bestFit="1" customWidth="1"/>
    <col min="34" max="34" width="7.33203125" style="5" bestFit="1" customWidth="1"/>
    <col min="35" max="35" width="8.6640625" style="5" bestFit="1" customWidth="1"/>
    <col min="36" max="36" width="12.5" style="5" bestFit="1" customWidth="1"/>
    <col min="37" max="37" width="6.6640625" style="20" bestFit="1" customWidth="1"/>
    <col min="38" max="38" width="14" style="5" bestFit="1" customWidth="1"/>
    <col min="39" max="39" width="8.1640625" style="20" bestFit="1" customWidth="1"/>
    <col min="40" max="40" width="13.83203125" style="5" bestFit="1" customWidth="1"/>
    <col min="41" max="41" width="8" style="20" bestFit="1" customWidth="1"/>
    <col min="42" max="42" width="15.33203125" style="5" bestFit="1" customWidth="1"/>
    <col min="43" max="43" width="9.5" style="20" bestFit="1" customWidth="1"/>
    <col min="44" max="44" width="12.5" style="5" bestFit="1" customWidth="1"/>
    <col min="45" max="45" width="6.6640625" style="20" bestFit="1" customWidth="1"/>
    <col min="46" max="46" width="14" style="5" bestFit="1" customWidth="1"/>
    <col min="47" max="47" width="8.1640625" style="20" bestFit="1" customWidth="1"/>
    <col min="48" max="48" width="13.83203125" style="5" bestFit="1" customWidth="1"/>
    <col min="49" max="49" width="8" style="20" bestFit="1" customWidth="1"/>
    <col min="50" max="50" width="15.33203125" style="5" bestFit="1" customWidth="1"/>
    <col min="51" max="51" width="9.5" style="20" bestFit="1" customWidth="1"/>
    <col min="52" max="52" width="8.1640625" style="5" bestFit="1" customWidth="1"/>
    <col min="53" max="54" width="8.5" style="5" bestFit="1" customWidth="1"/>
    <col min="55" max="55" width="10.33203125" style="5" bestFit="1" customWidth="1"/>
    <col min="56" max="56" width="7.33203125" style="5" bestFit="1" customWidth="1"/>
    <col min="57" max="57" width="8.1640625" style="5" customWidth="1"/>
    <col min="58" max="58" width="9.6640625" style="5" bestFit="1" customWidth="1"/>
    <col min="59" max="60" width="9.33203125" style="5" bestFit="1" customWidth="1"/>
    <col min="61" max="61" width="11.33203125" style="5" bestFit="1" customWidth="1"/>
    <col min="62" max="62" width="9.33203125" style="5" bestFit="1" customWidth="1"/>
    <col min="63" max="64" width="9.6640625" style="5" bestFit="1" customWidth="1"/>
    <col min="65" max="65" width="8.1640625" style="5" bestFit="1" customWidth="1"/>
    <col min="66" max="66" width="7.33203125" style="5" bestFit="1" customWidth="1"/>
    <col min="67" max="67" width="8.33203125" style="5" bestFit="1" customWidth="1"/>
    <col min="68" max="68" width="5.33203125" style="5" bestFit="1" customWidth="1"/>
    <col min="69" max="69" width="9.6640625" style="5" bestFit="1" customWidth="1"/>
    <col min="70" max="70" width="7.33203125" style="5" bestFit="1" customWidth="1"/>
    <col min="71" max="72" width="7.83203125" style="5" bestFit="1" customWidth="1"/>
    <col min="73" max="73" width="9.6640625" style="5" bestFit="1" customWidth="1"/>
    <col min="74" max="74" width="7.33203125" style="5" bestFit="1" customWidth="1"/>
    <col min="75" max="75" width="8.1640625" style="5" bestFit="1" customWidth="1"/>
    <col min="76" max="76" width="6.5" style="5" bestFit="1" customWidth="1"/>
    <col min="77" max="78" width="7.83203125" style="5" bestFit="1" customWidth="1"/>
    <col min="79" max="79" width="9.6640625" style="5" bestFit="1" customWidth="1"/>
    <col min="80" max="80" width="6.6640625" style="5" bestFit="1" customWidth="1"/>
    <col min="81" max="81" width="6.5" style="5" bestFit="1" customWidth="1"/>
    <col min="82" max="82" width="6" style="5" bestFit="1" customWidth="1"/>
    <col min="83" max="84" width="7.6640625" style="5" bestFit="1" customWidth="1"/>
    <col min="85" max="85" width="9.6640625" style="5" bestFit="1" customWidth="1"/>
    <col min="86" max="86" width="6.6640625" style="5" bestFit="1" customWidth="1"/>
    <col min="87" max="87" width="6.5" style="5" bestFit="1" customWidth="1"/>
    <col min="88" max="92" width="9.6640625" style="5" bestFit="1" customWidth="1"/>
    <col min="93" max="93" width="10.5" style="5" bestFit="1" customWidth="1"/>
    <col min="94" max="94" width="9.6640625" style="5" bestFit="1" customWidth="1"/>
    <col min="95" max="96" width="8.1640625" style="5" bestFit="1" customWidth="1"/>
    <col min="97" max="97" width="9.6640625" style="5" bestFit="1" customWidth="1"/>
    <col min="98" max="99" width="10" style="5" bestFit="1" customWidth="1"/>
    <col min="100" max="100" width="8.1640625" style="5" bestFit="1" customWidth="1"/>
    <col min="101" max="101" width="7.5" style="5" bestFit="1" customWidth="1"/>
    <col min="102" max="102" width="7.6640625" style="5" bestFit="1" customWidth="1"/>
    <col min="103" max="103" width="9.5" style="5" bestFit="1" customWidth="1"/>
    <col min="104" max="104" width="9.6640625" style="5" bestFit="1" customWidth="1"/>
    <col min="105" max="105" width="11.33203125" style="5" bestFit="1" customWidth="1"/>
    <col min="106" max="106" width="6.5" style="5" bestFit="1" customWidth="1"/>
    <col min="107" max="108" width="7" style="5" bestFit="1" customWidth="1"/>
    <col min="109" max="109" width="8.83203125" style="5" bestFit="1" customWidth="1"/>
    <col min="110" max="112" width="6.5" style="5" bestFit="1" customWidth="1"/>
    <col min="113" max="114" width="7.6640625" style="5" bestFit="1" customWidth="1"/>
    <col min="115" max="115" width="9.5" style="5" bestFit="1" customWidth="1"/>
    <col min="116" max="116" width="6.6640625" style="5" bestFit="1" customWidth="1"/>
    <col min="117" max="118" width="6.5" style="5" bestFit="1" customWidth="1"/>
    <col min="119" max="120" width="6.83203125" style="5" bestFit="1" customWidth="1"/>
    <col min="121" max="121" width="8.6640625" style="5" bestFit="1" customWidth="1"/>
    <col min="122" max="123" width="7" style="5" bestFit="1" customWidth="1"/>
    <col min="124" max="126" width="7.33203125" style="5" bestFit="1" customWidth="1"/>
    <col min="127" max="127" width="9" style="5" bestFit="1" customWidth="1"/>
    <col min="128" max="128" width="6" style="5" bestFit="1" customWidth="1"/>
    <col min="129" max="129" width="8.1640625" style="5" bestFit="1" customWidth="1"/>
    <col min="130" max="130" width="6.33203125" style="5" bestFit="1" customWidth="1"/>
    <col min="131" max="132" width="7.1640625" style="5" bestFit="1" customWidth="1"/>
    <col min="133" max="133" width="9" style="5" bestFit="1" customWidth="1"/>
    <col min="134" max="135" width="7.33203125" style="5" bestFit="1" customWidth="1"/>
    <col min="136" max="136" width="6.33203125" style="5" bestFit="1" customWidth="1"/>
    <col min="137" max="138" width="6.6640625" style="5" bestFit="1" customWidth="1"/>
    <col min="139" max="139" width="8.6640625" style="5" bestFit="1" customWidth="1"/>
    <col min="140" max="141" width="8.1640625" style="5" bestFit="1" customWidth="1"/>
    <col min="142" max="146" width="9.6640625" style="5" bestFit="1" customWidth="1"/>
    <col min="147" max="147" width="10.5" style="5" bestFit="1" customWidth="1"/>
    <col min="148" max="148" width="9.6640625" style="5" bestFit="1" customWidth="1"/>
    <col min="149" max="150" width="8.1640625" style="5" bestFit="1" customWidth="1"/>
    <col min="151" max="151" width="9.6640625" style="5" bestFit="1" customWidth="1"/>
    <col min="152" max="152" width="6.5" style="5" bestFit="1" customWidth="1"/>
    <col min="153" max="153" width="9.6640625" style="5" bestFit="1" customWidth="1"/>
    <col min="154" max="155" width="8.1640625" style="5" bestFit="1" customWidth="1"/>
    <col min="156" max="156" width="8" style="5" bestFit="1" customWidth="1"/>
    <col min="157" max="157" width="9.83203125" style="5" bestFit="1" customWidth="1"/>
    <col min="158" max="158" width="6.83203125" style="5" bestFit="1" customWidth="1"/>
    <col min="159" max="159" width="8.1640625" style="5" bestFit="1" customWidth="1"/>
    <col min="160" max="160" width="9.6640625" style="5" bestFit="1" customWidth="1"/>
    <col min="161" max="162" width="9.83203125" style="5" bestFit="1" customWidth="1"/>
    <col min="163" max="163" width="11.6640625" style="5" bestFit="1" customWidth="1"/>
    <col min="164" max="164" width="8.6640625" style="5" bestFit="1" customWidth="1"/>
    <col min="165" max="165" width="9.6640625" style="5" bestFit="1" customWidth="1"/>
    <col min="166" max="166" width="7.5" style="5" bestFit="1" customWidth="1"/>
    <col min="167" max="168" width="9.1640625" style="5" bestFit="1" customWidth="1"/>
    <col min="169" max="169" width="11.1640625" style="5" bestFit="1" customWidth="1"/>
    <col min="170" max="170" width="8" style="5" bestFit="1" customWidth="1"/>
    <col min="171" max="171" width="7.6640625" style="5" bestFit="1" customWidth="1"/>
    <col min="172" max="172" width="8.1640625" style="5" bestFit="1" customWidth="1"/>
    <col min="173" max="174" width="9.1640625" style="5" bestFit="1" customWidth="1"/>
    <col min="175" max="175" width="11" style="5" bestFit="1" customWidth="1"/>
    <col min="176" max="177" width="9.6640625" style="5" bestFit="1" customWidth="1"/>
    <col min="178" max="178" width="6.83203125" style="5" bestFit="1" customWidth="1"/>
    <col min="179" max="179" width="8.5" style="5" bestFit="1" customWidth="1"/>
    <col min="180" max="180" width="8.6640625" style="5" bestFit="1" customWidth="1"/>
    <col min="181" max="181" width="10.5" style="5" bestFit="1" customWidth="1"/>
    <col min="182" max="182" width="7.5" style="5" bestFit="1" customWidth="1"/>
    <col min="183" max="183" width="7" style="5" bestFit="1" customWidth="1"/>
    <col min="184" max="184" width="6.6640625" style="5" bestFit="1" customWidth="1"/>
    <col min="185" max="186" width="8.5" style="5" bestFit="1" customWidth="1"/>
    <col min="187" max="187" width="10.5" style="5" bestFit="1" customWidth="1"/>
    <col min="188" max="188" width="7.33203125" style="5" bestFit="1" customWidth="1"/>
    <col min="189" max="189" width="6.83203125" style="5" bestFit="1" customWidth="1"/>
    <col min="190" max="190" width="8.1640625" style="5" bestFit="1" customWidth="1"/>
    <col min="191" max="192" width="7.33203125" style="5" bestFit="1" customWidth="1"/>
    <col min="193" max="193" width="9.1640625" style="5" bestFit="1" customWidth="1"/>
    <col min="194" max="194" width="6.1640625" style="5" bestFit="1" customWidth="1"/>
    <col min="195" max="197" width="8.1640625" style="5" bestFit="1" customWidth="1"/>
    <col min="198" max="198" width="7.33203125" style="5" bestFit="1" customWidth="1"/>
    <col min="199" max="199" width="8.83203125" style="5" bestFit="1" customWidth="1"/>
    <col min="200" max="200" width="8.1640625" style="5" bestFit="1" customWidth="1"/>
    <col min="201" max="201" width="9.6640625" style="5" bestFit="1" customWidth="1"/>
    <col min="202" max="202" width="8.1640625" style="5" bestFit="1" customWidth="1"/>
    <col min="203" max="204" width="7.33203125" style="5" bestFit="1" customWidth="1"/>
    <col min="205" max="205" width="8.6640625" style="5" bestFit="1" customWidth="1"/>
    <col min="206" max="206" width="8.1640625" style="5" bestFit="1" customWidth="1"/>
    <col min="207" max="207" width="9.6640625" style="5" bestFit="1" customWidth="1"/>
    <col min="208" max="208" width="8.1640625" style="5" bestFit="1" customWidth="1"/>
    <col min="209" max="210" width="7.33203125" style="5" bestFit="1" customWidth="1"/>
    <col min="211" max="211" width="8.6640625" style="5" bestFit="1" customWidth="1"/>
    <col min="212" max="212" width="6.5" style="5" bestFit="1" customWidth="1"/>
    <col min="213" max="213" width="8.1640625" style="5" bestFit="1" customWidth="1"/>
    <col min="214" max="216" width="7.33203125" style="5" bestFit="1" customWidth="1"/>
    <col min="217" max="217" width="8.5" style="5" bestFit="1" customWidth="1"/>
    <col min="218" max="219" width="8.1640625" style="5" bestFit="1" customWidth="1"/>
    <col min="220" max="220" width="6.6640625" style="5" bestFit="1" customWidth="1"/>
    <col min="221" max="222" width="8.33203125" style="5" bestFit="1" customWidth="1"/>
    <col min="223" max="223" width="10.1640625" style="5" bestFit="1" customWidth="1"/>
    <col min="224" max="225" width="7.33203125" style="5" bestFit="1" customWidth="1"/>
    <col min="226" max="226" width="7.6640625" style="5" bestFit="1" customWidth="1"/>
    <col min="227" max="228" width="9.33203125" style="5" bestFit="1" customWidth="1"/>
    <col min="229" max="229" width="11.1640625" style="5" bestFit="1" customWidth="1"/>
    <col min="230" max="230" width="8.33203125" style="5" bestFit="1" customWidth="1"/>
    <col min="231" max="231" width="8.1640625" style="5" bestFit="1" customWidth="1"/>
    <col min="232" max="232" width="6" style="5" bestFit="1" customWidth="1"/>
    <col min="233" max="234" width="6.6640625" style="5" bestFit="1" customWidth="1"/>
    <col min="235" max="235" width="8.5" style="5" bestFit="1" customWidth="1"/>
    <col min="236" max="237" width="7.33203125" style="5" bestFit="1" customWidth="1"/>
    <col min="238" max="238" width="9.6640625" style="5" bestFit="1" customWidth="1"/>
    <col min="239" max="240" width="10" style="5" bestFit="1" customWidth="1"/>
    <col min="241" max="241" width="11.83203125" style="5" bestFit="1" customWidth="1"/>
    <col min="242" max="243" width="9.6640625" style="5" bestFit="1" customWidth="1"/>
    <col min="244" max="244" width="8.6640625" style="5" bestFit="1" customWidth="1"/>
    <col min="245" max="246" width="10.5" style="5" bestFit="1" customWidth="1"/>
    <col min="247" max="247" width="12.33203125" style="5" bestFit="1" customWidth="1"/>
    <col min="248" max="248" width="9.33203125" style="5" bestFit="1" customWidth="1"/>
    <col min="249" max="249" width="8.83203125" style="5" bestFit="1" customWidth="1"/>
    <col min="250" max="250" width="6.33203125" style="5" bestFit="1" customWidth="1"/>
    <col min="251" max="252" width="6.5" style="5" bestFit="1" customWidth="1"/>
    <col min="253" max="253" width="8.33203125" style="5" bestFit="1" customWidth="1"/>
    <col min="254" max="257" width="8.1640625" style="5" bestFit="1" customWidth="1"/>
    <col min="258" max="258" width="8.33203125" style="5" bestFit="1" customWidth="1"/>
    <col min="259" max="259" width="10.1640625" style="5" bestFit="1" customWidth="1"/>
    <col min="260" max="260" width="8.1640625" style="5" bestFit="1" customWidth="1"/>
    <col min="261" max="266" width="9.6640625" style="5" bestFit="1" customWidth="1"/>
    <col min="267" max="267" width="10.5" style="5" bestFit="1" customWidth="1"/>
    <col min="268" max="268" width="6.33203125" style="5" bestFit="1" customWidth="1"/>
    <col min="269" max="270" width="8.1640625" style="5" bestFit="1" customWidth="1"/>
    <col min="271" max="271" width="10" style="5" bestFit="1" customWidth="1"/>
    <col min="272" max="272" width="7" style="5" bestFit="1" customWidth="1"/>
    <col min="273" max="273" width="6.5" style="5" bestFit="1" customWidth="1"/>
    <col min="274" max="274" width="9.6640625" style="5" bestFit="1" customWidth="1"/>
    <col min="275" max="276" width="9.83203125" style="5" bestFit="1" customWidth="1"/>
    <col min="277" max="277" width="11.6640625" style="5" bestFit="1" customWidth="1"/>
    <col min="278" max="278" width="9.6640625" style="5" bestFit="1" customWidth="1"/>
    <col min="279" max="279" width="10.5" style="5" bestFit="1" customWidth="1"/>
    <col min="280" max="280" width="16.83203125" style="5" customWidth="1"/>
    <col min="281" max="281" width="6" style="5" bestFit="1" customWidth="1"/>
    <col min="282" max="282" width="7" style="29" bestFit="1" customWidth="1"/>
    <col min="283" max="283" width="6.5" style="5" customWidth="1"/>
    <col min="284" max="284" width="7" style="29" bestFit="1" customWidth="1"/>
    <col min="285" max="285" width="6" style="5" customWidth="1"/>
    <col min="286" max="286" width="7" style="29" bestFit="1" customWidth="1"/>
    <col min="287" max="287" width="6" style="5" bestFit="1" customWidth="1"/>
    <col min="288" max="288" width="7" style="29" bestFit="1" customWidth="1"/>
    <col min="289" max="289" width="5.5" style="5" customWidth="1"/>
    <col min="290" max="290" width="7" style="29" bestFit="1" customWidth="1"/>
    <col min="291" max="291" width="6.1640625" style="5" customWidth="1"/>
    <col min="292" max="292" width="7" style="29" bestFit="1" customWidth="1"/>
    <col min="293" max="293" width="6.33203125" style="5" customWidth="1"/>
    <col min="294" max="294" width="7" style="29" bestFit="1" customWidth="1"/>
    <col min="295" max="295" width="5.33203125" style="5" customWidth="1"/>
    <col min="296" max="296" width="7" style="29" bestFit="1" customWidth="1"/>
    <col min="297" max="297" width="6" style="5" bestFit="1" customWidth="1"/>
    <col min="298" max="298" width="7" style="29" bestFit="1" customWidth="1"/>
    <col min="299" max="299" width="5.83203125" style="5" customWidth="1"/>
    <col min="300" max="300" width="7" style="29" bestFit="1" customWidth="1"/>
    <col min="301" max="301" width="5.5" style="5" bestFit="1" customWidth="1"/>
    <col min="302" max="302" width="7" style="29" bestFit="1" customWidth="1"/>
    <col min="303" max="303" width="6.6640625" style="5" customWidth="1"/>
    <col min="304" max="304" width="7" style="29" bestFit="1" customWidth="1"/>
    <col min="305" max="305" width="5.5" style="5" bestFit="1" customWidth="1"/>
    <col min="306" max="306" width="7" style="29" bestFit="1" customWidth="1"/>
    <col min="307" max="307" width="6" style="5" bestFit="1" customWidth="1"/>
    <col min="308" max="308" width="7" style="29" bestFit="1" customWidth="1"/>
    <col min="309" max="309" width="6.33203125" style="5" customWidth="1"/>
    <col min="310" max="310" width="7" style="29" bestFit="1" customWidth="1"/>
    <col min="311" max="311" width="6.6640625" style="5" customWidth="1"/>
    <col min="312" max="312" width="7" style="29" bestFit="1" customWidth="1"/>
    <col min="313" max="313" width="6" style="5" bestFit="1" customWidth="1"/>
    <col min="314" max="314" width="7" style="29" bestFit="1" customWidth="1"/>
    <col min="315" max="315" width="5.5" style="5" bestFit="1" customWidth="1"/>
    <col min="316" max="316" width="7" style="29" bestFit="1" customWidth="1"/>
    <col min="317" max="317" width="6" style="5" bestFit="1" customWidth="1"/>
    <col min="318" max="318" width="7" style="29" bestFit="1" customWidth="1"/>
    <col min="319" max="319" width="5.33203125" style="5" customWidth="1"/>
    <col min="320" max="320" width="7" style="29" bestFit="1" customWidth="1"/>
    <col min="321" max="321" width="6" style="5" bestFit="1" customWidth="1"/>
    <col min="322" max="322" width="7" style="29" bestFit="1" customWidth="1"/>
    <col min="323" max="323" width="4.6640625" style="5" bestFit="1" customWidth="1"/>
    <col min="324" max="324" width="7" style="29" bestFit="1" customWidth="1"/>
    <col min="325" max="325" width="5.5" style="5" bestFit="1" customWidth="1"/>
    <col min="326" max="326" width="7" style="29" bestFit="1" customWidth="1"/>
    <col min="327" max="327" width="6.33203125" style="5" customWidth="1"/>
    <col min="328" max="328" width="7" style="29" bestFit="1" customWidth="1"/>
    <col min="329" max="329" width="5.5" style="5" bestFit="1" customWidth="1"/>
    <col min="330" max="330" width="7" style="29" bestFit="1" customWidth="1"/>
    <col min="331" max="331" width="5.5" style="5" bestFit="1" customWidth="1"/>
    <col min="332" max="332" width="7" style="29" bestFit="1" customWidth="1"/>
    <col min="333" max="333" width="6.6640625" style="5" customWidth="1"/>
    <col min="334" max="334" width="7" style="29" bestFit="1" customWidth="1"/>
    <col min="335" max="335" width="5.83203125" style="5" bestFit="1" customWidth="1"/>
    <col min="336" max="336" width="7" style="29" bestFit="1" customWidth="1"/>
    <col min="337" max="337" width="5.6640625" style="5" customWidth="1"/>
    <col min="338" max="338" width="7" style="29" bestFit="1" customWidth="1"/>
    <col min="339" max="339" width="6" style="5" customWidth="1"/>
    <col min="340" max="340" width="7" style="29" bestFit="1" customWidth="1"/>
    <col min="341" max="341" width="5.5" style="5" customWidth="1"/>
    <col min="342" max="342" width="7" style="29" bestFit="1" customWidth="1"/>
    <col min="343" max="343" width="6.33203125" style="5" customWidth="1"/>
    <col min="344" max="344" width="7" style="29" bestFit="1" customWidth="1"/>
    <col min="345" max="345" width="5.5" style="5" bestFit="1" customWidth="1"/>
    <col min="346" max="346" width="7" style="29" bestFit="1" customWidth="1"/>
    <col min="347" max="347" width="5.83203125" style="5" customWidth="1"/>
    <col min="348" max="348" width="7" style="29" bestFit="1" customWidth="1"/>
    <col min="349" max="349" width="6" style="5" bestFit="1" customWidth="1"/>
    <col min="350" max="350" width="7" style="29" bestFit="1" customWidth="1"/>
    <col min="351" max="351" width="6.83203125" style="5" customWidth="1"/>
    <col min="352" max="352" width="7" style="29" bestFit="1" customWidth="1"/>
    <col min="353" max="353" width="5.5" style="5" bestFit="1" customWidth="1"/>
    <col min="354" max="354" width="7" style="29" bestFit="1" customWidth="1"/>
    <col min="355" max="355" width="6.83203125" style="5" customWidth="1"/>
    <col min="356" max="356" width="7" style="29" bestFit="1" customWidth="1"/>
    <col min="357" max="357" width="12.1640625" style="5" customWidth="1"/>
    <col min="358" max="358" width="7.1640625" style="5" bestFit="1" customWidth="1"/>
    <col min="359" max="359" width="10.83203125" style="4"/>
    <col min="360" max="360" width="7.83203125" style="4" bestFit="1" customWidth="1"/>
    <col min="361" max="370" width="10.83203125" style="4"/>
    <col min="371" max="371" width="15" style="4" customWidth="1"/>
    <col min="372" max="16384" width="10.83203125" style="4"/>
  </cols>
  <sheetData>
    <row r="1" spans="1:360" s="16" customFormat="1" x14ac:dyDescent="0.15">
      <c r="A1" s="23"/>
      <c r="B1" s="26"/>
      <c r="C1" s="26"/>
      <c r="D1" s="26"/>
      <c r="AZ1" s="16">
        <v>1</v>
      </c>
      <c r="BA1" s="16">
        <v>1</v>
      </c>
      <c r="BB1" s="16">
        <v>1</v>
      </c>
      <c r="BC1" s="16">
        <v>1</v>
      </c>
      <c r="BD1" s="16">
        <v>1</v>
      </c>
      <c r="BE1" s="16">
        <v>1</v>
      </c>
      <c r="BF1" s="16">
        <v>2</v>
      </c>
      <c r="BG1" s="16">
        <v>2</v>
      </c>
      <c r="BH1" s="16">
        <v>2</v>
      </c>
      <c r="BI1" s="16">
        <v>2</v>
      </c>
      <c r="BJ1" s="16">
        <v>2</v>
      </c>
      <c r="BK1" s="16">
        <v>2</v>
      </c>
      <c r="BL1" s="16">
        <v>3</v>
      </c>
      <c r="BM1" s="16">
        <v>3</v>
      </c>
      <c r="BN1" s="16">
        <v>3</v>
      </c>
      <c r="BO1" s="16">
        <v>3</v>
      </c>
      <c r="BP1" s="16">
        <v>3</v>
      </c>
      <c r="BQ1" s="16">
        <v>3</v>
      </c>
      <c r="BR1" s="16">
        <v>4</v>
      </c>
      <c r="BS1" s="16">
        <v>4</v>
      </c>
      <c r="BT1" s="16">
        <v>4</v>
      </c>
      <c r="BU1" s="16">
        <v>4</v>
      </c>
      <c r="BV1" s="16">
        <v>4</v>
      </c>
      <c r="BW1" s="16">
        <v>4</v>
      </c>
      <c r="BX1" s="16">
        <v>5</v>
      </c>
      <c r="BY1" s="16">
        <v>5</v>
      </c>
      <c r="BZ1" s="16">
        <v>5</v>
      </c>
      <c r="CA1" s="16">
        <v>5</v>
      </c>
      <c r="CB1" s="16">
        <v>5</v>
      </c>
      <c r="CC1" s="16">
        <v>5</v>
      </c>
      <c r="CD1" s="16">
        <v>6</v>
      </c>
      <c r="CE1" s="16">
        <v>6</v>
      </c>
      <c r="CF1" s="16">
        <v>6</v>
      </c>
      <c r="CG1" s="16">
        <v>6</v>
      </c>
      <c r="CH1" s="16">
        <v>6</v>
      </c>
      <c r="CI1" s="16">
        <v>6</v>
      </c>
      <c r="CJ1" s="16">
        <v>7</v>
      </c>
      <c r="CK1" s="16">
        <v>7</v>
      </c>
      <c r="CL1" s="16">
        <v>7</v>
      </c>
      <c r="CM1" s="16">
        <v>7</v>
      </c>
      <c r="CN1" s="16">
        <v>7</v>
      </c>
      <c r="CO1" s="16">
        <v>7</v>
      </c>
      <c r="CP1" s="16">
        <v>8</v>
      </c>
      <c r="CQ1" s="16">
        <v>8</v>
      </c>
      <c r="CR1" s="16">
        <v>8</v>
      </c>
      <c r="CS1" s="16">
        <v>8</v>
      </c>
      <c r="CT1" s="16">
        <v>8</v>
      </c>
      <c r="CU1" s="16">
        <v>8</v>
      </c>
      <c r="CV1" s="16">
        <v>9</v>
      </c>
      <c r="CW1" s="16">
        <v>9</v>
      </c>
      <c r="CX1" s="16">
        <v>9</v>
      </c>
      <c r="CY1" s="16">
        <v>9</v>
      </c>
      <c r="CZ1" s="16">
        <v>9</v>
      </c>
      <c r="DA1" s="16">
        <v>9</v>
      </c>
      <c r="DB1" s="16">
        <v>10</v>
      </c>
      <c r="DC1" s="16">
        <v>10</v>
      </c>
      <c r="DD1" s="16">
        <v>10</v>
      </c>
      <c r="DE1" s="16">
        <v>10</v>
      </c>
      <c r="DF1" s="16">
        <v>10</v>
      </c>
      <c r="DG1" s="16">
        <v>10</v>
      </c>
      <c r="DH1" s="16">
        <v>11</v>
      </c>
      <c r="DI1" s="16">
        <v>11</v>
      </c>
      <c r="DJ1" s="16">
        <v>11</v>
      </c>
      <c r="DK1" s="16">
        <v>11</v>
      </c>
      <c r="DL1" s="16">
        <v>11</v>
      </c>
      <c r="DM1" s="16">
        <v>11</v>
      </c>
      <c r="DN1" s="16">
        <v>12</v>
      </c>
      <c r="DO1" s="16">
        <v>12</v>
      </c>
      <c r="DP1" s="16">
        <v>12</v>
      </c>
      <c r="DQ1" s="16">
        <v>12</v>
      </c>
      <c r="DR1" s="16">
        <v>12</v>
      </c>
      <c r="DS1" s="16">
        <v>12</v>
      </c>
      <c r="DT1" s="16">
        <v>13</v>
      </c>
      <c r="DU1" s="16">
        <v>13</v>
      </c>
      <c r="DV1" s="16">
        <v>13</v>
      </c>
      <c r="DW1" s="16">
        <v>13</v>
      </c>
      <c r="DX1" s="16">
        <v>13</v>
      </c>
      <c r="DY1" s="16">
        <v>13</v>
      </c>
      <c r="DZ1" s="16">
        <v>14</v>
      </c>
      <c r="EA1" s="16">
        <v>14</v>
      </c>
      <c r="EB1" s="16">
        <v>14</v>
      </c>
      <c r="EC1" s="16">
        <v>14</v>
      </c>
      <c r="ED1" s="16">
        <v>14</v>
      </c>
      <c r="EE1" s="16">
        <v>14</v>
      </c>
      <c r="EF1" s="16">
        <v>15</v>
      </c>
      <c r="EG1" s="16">
        <v>15</v>
      </c>
      <c r="EH1" s="16">
        <v>15</v>
      </c>
      <c r="EI1" s="16">
        <v>15</v>
      </c>
      <c r="EJ1" s="16">
        <v>15</v>
      </c>
      <c r="EK1" s="16">
        <v>15</v>
      </c>
      <c r="EL1" s="16">
        <v>16</v>
      </c>
      <c r="EM1" s="16">
        <v>16</v>
      </c>
      <c r="EN1" s="16">
        <v>16</v>
      </c>
      <c r="EO1" s="16">
        <v>16</v>
      </c>
      <c r="EP1" s="16">
        <v>16</v>
      </c>
      <c r="EQ1" s="16">
        <v>16</v>
      </c>
      <c r="ER1" s="16">
        <v>17</v>
      </c>
      <c r="ES1" s="16">
        <v>17</v>
      </c>
      <c r="ET1" s="16">
        <v>17</v>
      </c>
      <c r="EU1" s="16">
        <v>17</v>
      </c>
      <c r="EV1" s="16">
        <v>17</v>
      </c>
      <c r="EW1" s="16">
        <v>17</v>
      </c>
      <c r="EX1" s="16">
        <v>18</v>
      </c>
      <c r="EY1" s="16">
        <v>18</v>
      </c>
      <c r="EZ1" s="16">
        <v>18</v>
      </c>
      <c r="FA1" s="16">
        <v>18</v>
      </c>
      <c r="FB1" s="16">
        <v>18</v>
      </c>
      <c r="FC1" s="16">
        <v>18</v>
      </c>
      <c r="FD1" s="16">
        <v>19</v>
      </c>
      <c r="FE1" s="16">
        <v>19</v>
      </c>
      <c r="FF1" s="16">
        <v>19</v>
      </c>
      <c r="FG1" s="16">
        <v>19</v>
      </c>
      <c r="FH1" s="16">
        <v>19</v>
      </c>
      <c r="FI1" s="16">
        <v>19</v>
      </c>
      <c r="FJ1" s="16">
        <v>20</v>
      </c>
      <c r="FK1" s="16">
        <v>20</v>
      </c>
      <c r="FL1" s="16">
        <v>20</v>
      </c>
      <c r="FM1" s="16">
        <v>20</v>
      </c>
      <c r="FN1" s="16">
        <v>20</v>
      </c>
      <c r="FO1" s="16">
        <v>20</v>
      </c>
      <c r="FP1" s="16">
        <v>21</v>
      </c>
      <c r="FQ1" s="16">
        <v>21</v>
      </c>
      <c r="FR1" s="16">
        <v>21</v>
      </c>
      <c r="FS1" s="16">
        <v>21</v>
      </c>
      <c r="FT1" s="16">
        <v>21</v>
      </c>
      <c r="FU1" s="16">
        <v>21</v>
      </c>
      <c r="FV1" s="16">
        <v>22</v>
      </c>
      <c r="FW1" s="16">
        <v>22</v>
      </c>
      <c r="FX1" s="16">
        <v>22</v>
      </c>
      <c r="FY1" s="16">
        <v>22</v>
      </c>
      <c r="FZ1" s="16">
        <v>22</v>
      </c>
      <c r="GA1" s="16">
        <v>22</v>
      </c>
      <c r="GB1" s="16">
        <v>23</v>
      </c>
      <c r="GC1" s="16">
        <v>23</v>
      </c>
      <c r="GD1" s="16">
        <v>23</v>
      </c>
      <c r="GE1" s="16">
        <v>23</v>
      </c>
      <c r="GF1" s="16">
        <v>23</v>
      </c>
      <c r="GG1" s="16">
        <v>23</v>
      </c>
      <c r="GH1" s="16">
        <v>24</v>
      </c>
      <c r="GI1" s="16">
        <v>24</v>
      </c>
      <c r="GJ1" s="16">
        <v>24</v>
      </c>
      <c r="GK1" s="16">
        <v>24</v>
      </c>
      <c r="GL1" s="16">
        <v>24</v>
      </c>
      <c r="GM1" s="16">
        <v>24</v>
      </c>
      <c r="GN1" s="16">
        <v>25</v>
      </c>
      <c r="GO1" s="16">
        <v>25</v>
      </c>
      <c r="GP1" s="16">
        <v>25</v>
      </c>
      <c r="GQ1" s="16">
        <v>25</v>
      </c>
      <c r="GR1" s="16">
        <v>25</v>
      </c>
      <c r="GS1" s="16">
        <v>25</v>
      </c>
      <c r="GT1" s="16">
        <v>26</v>
      </c>
      <c r="GU1" s="16">
        <v>26</v>
      </c>
      <c r="GV1" s="16">
        <v>26</v>
      </c>
      <c r="GW1" s="16">
        <v>26</v>
      </c>
      <c r="GX1" s="16">
        <v>26</v>
      </c>
      <c r="GY1" s="16">
        <v>26</v>
      </c>
      <c r="GZ1" s="16">
        <v>27</v>
      </c>
      <c r="HA1" s="16">
        <v>27</v>
      </c>
      <c r="HB1" s="16">
        <v>27</v>
      </c>
      <c r="HC1" s="16">
        <v>27</v>
      </c>
      <c r="HD1" s="16">
        <v>27</v>
      </c>
      <c r="HE1" s="16">
        <v>27</v>
      </c>
      <c r="HF1" s="16">
        <v>28</v>
      </c>
      <c r="HG1" s="16">
        <v>28</v>
      </c>
      <c r="HH1" s="16">
        <v>28</v>
      </c>
      <c r="HI1" s="16">
        <v>28</v>
      </c>
      <c r="HJ1" s="16">
        <v>28</v>
      </c>
      <c r="HK1" s="16">
        <v>28</v>
      </c>
      <c r="HL1" s="16">
        <v>29</v>
      </c>
      <c r="HM1" s="16">
        <v>29</v>
      </c>
      <c r="HN1" s="16">
        <v>29</v>
      </c>
      <c r="HO1" s="16">
        <v>29</v>
      </c>
      <c r="HP1" s="16">
        <v>29</v>
      </c>
      <c r="HQ1" s="16">
        <v>29</v>
      </c>
      <c r="HR1" s="16">
        <v>30</v>
      </c>
      <c r="HS1" s="16">
        <v>30</v>
      </c>
      <c r="HT1" s="16">
        <v>30</v>
      </c>
      <c r="HU1" s="16">
        <v>30</v>
      </c>
      <c r="HV1" s="16">
        <v>30</v>
      </c>
      <c r="HW1" s="16">
        <v>30</v>
      </c>
      <c r="HX1" s="16">
        <v>31</v>
      </c>
      <c r="HY1" s="16">
        <v>31</v>
      </c>
      <c r="HZ1" s="16">
        <v>31</v>
      </c>
      <c r="IA1" s="16">
        <v>31</v>
      </c>
      <c r="IB1" s="16">
        <v>31</v>
      </c>
      <c r="IC1" s="16">
        <v>31</v>
      </c>
      <c r="ID1" s="16">
        <v>32</v>
      </c>
      <c r="IE1" s="16">
        <v>32</v>
      </c>
      <c r="IF1" s="16">
        <v>32</v>
      </c>
      <c r="IG1" s="16">
        <v>32</v>
      </c>
      <c r="IH1" s="16">
        <v>32</v>
      </c>
      <c r="II1" s="16">
        <v>32</v>
      </c>
      <c r="IJ1" s="16">
        <v>33</v>
      </c>
      <c r="IK1" s="16">
        <v>33</v>
      </c>
      <c r="IL1" s="16">
        <v>33</v>
      </c>
      <c r="IM1" s="16">
        <v>33</v>
      </c>
      <c r="IN1" s="16">
        <v>33</v>
      </c>
      <c r="IO1" s="16">
        <v>33</v>
      </c>
      <c r="IP1" s="16">
        <v>34</v>
      </c>
      <c r="IQ1" s="16">
        <v>34</v>
      </c>
      <c r="IR1" s="16">
        <v>34</v>
      </c>
      <c r="IS1" s="16">
        <v>34</v>
      </c>
      <c r="IT1" s="16">
        <v>34</v>
      </c>
      <c r="IU1" s="16">
        <v>34</v>
      </c>
      <c r="IV1" s="16">
        <v>35</v>
      </c>
      <c r="IW1" s="16">
        <v>35</v>
      </c>
      <c r="IX1" s="16">
        <v>35</v>
      </c>
      <c r="IY1" s="16">
        <v>35</v>
      </c>
      <c r="IZ1" s="16">
        <v>35</v>
      </c>
      <c r="JA1" s="16">
        <v>35</v>
      </c>
      <c r="JB1" s="16">
        <v>36</v>
      </c>
      <c r="JC1" s="16">
        <v>36</v>
      </c>
      <c r="JD1" s="16">
        <v>36</v>
      </c>
      <c r="JE1" s="16">
        <v>36</v>
      </c>
      <c r="JF1" s="16">
        <v>36</v>
      </c>
      <c r="JG1" s="16">
        <v>36</v>
      </c>
      <c r="JH1" s="16">
        <v>37</v>
      </c>
      <c r="JI1" s="16">
        <v>37</v>
      </c>
      <c r="JJ1" s="16">
        <v>37</v>
      </c>
      <c r="JK1" s="16">
        <v>37</v>
      </c>
      <c r="JL1" s="16">
        <v>37</v>
      </c>
      <c r="JM1" s="16">
        <v>37</v>
      </c>
      <c r="JN1" s="16">
        <v>38</v>
      </c>
      <c r="JO1" s="16">
        <v>38</v>
      </c>
      <c r="JP1" s="16">
        <v>38</v>
      </c>
      <c r="JQ1" s="16">
        <v>38</v>
      </c>
      <c r="JR1" s="16">
        <v>38</v>
      </c>
      <c r="JS1" s="16">
        <v>38</v>
      </c>
      <c r="JV1" s="30"/>
      <c r="JX1" s="30"/>
      <c r="JZ1" s="30"/>
      <c r="KB1" s="30"/>
      <c r="KD1" s="30"/>
      <c r="KF1" s="30"/>
      <c r="KH1" s="30"/>
      <c r="KJ1" s="30"/>
      <c r="KL1" s="30"/>
      <c r="KN1" s="30"/>
      <c r="KP1" s="30"/>
      <c r="KR1" s="30"/>
      <c r="KT1" s="30"/>
      <c r="KV1" s="30"/>
      <c r="KX1" s="30"/>
      <c r="KZ1" s="30"/>
      <c r="LB1" s="30"/>
      <c r="LD1" s="30"/>
      <c r="LF1" s="30"/>
      <c r="LH1" s="30"/>
      <c r="LJ1" s="30"/>
      <c r="LL1" s="30"/>
      <c r="LN1" s="30"/>
      <c r="LP1" s="30"/>
      <c r="LR1" s="30"/>
      <c r="LT1" s="30"/>
      <c r="LV1" s="30"/>
      <c r="LX1" s="30"/>
      <c r="LZ1" s="30"/>
      <c r="MB1" s="30"/>
      <c r="MD1" s="30"/>
      <c r="MF1" s="30"/>
      <c r="MH1" s="30"/>
      <c r="MJ1" s="30"/>
      <c r="ML1" s="30"/>
      <c r="MN1" s="30"/>
      <c r="MP1" s="30"/>
      <c r="MR1" s="30"/>
    </row>
    <row r="2" spans="1:360" s="7" customFormat="1" x14ac:dyDescent="0.15">
      <c r="A2" s="6" t="s">
        <v>0</v>
      </c>
      <c r="B2" s="27" t="s">
        <v>404</v>
      </c>
      <c r="C2" s="43" t="s">
        <v>1</v>
      </c>
      <c r="D2" s="43" t="s">
        <v>2</v>
      </c>
      <c r="E2" s="44" t="s">
        <v>3</v>
      </c>
      <c r="F2" s="44" t="s">
        <v>4</v>
      </c>
      <c r="G2" s="45" t="s">
        <v>5</v>
      </c>
      <c r="H2" s="45" t="s">
        <v>6</v>
      </c>
      <c r="I2" s="46" t="s">
        <v>7</v>
      </c>
      <c r="J2" s="46" t="s">
        <v>8</v>
      </c>
      <c r="K2" s="46" t="s">
        <v>9</v>
      </c>
      <c r="L2" s="46" t="s">
        <v>10</v>
      </c>
      <c r="M2" s="46" t="s">
        <v>11</v>
      </c>
      <c r="N2" s="46" t="s">
        <v>12</v>
      </c>
      <c r="O2" s="46" t="s">
        <v>13</v>
      </c>
      <c r="P2" s="46" t="s">
        <v>14</v>
      </c>
      <c r="Q2" s="46" t="s">
        <v>15</v>
      </c>
      <c r="R2" s="46" t="s">
        <v>16</v>
      </c>
      <c r="S2" s="46" t="s">
        <v>17</v>
      </c>
      <c r="T2" s="46" t="s">
        <v>18</v>
      </c>
      <c r="U2" s="46" t="s">
        <v>19</v>
      </c>
      <c r="V2" s="46" t="s">
        <v>20</v>
      </c>
      <c r="W2" s="46" t="s">
        <v>21</v>
      </c>
      <c r="X2" s="46" t="s">
        <v>22</v>
      </c>
      <c r="Y2" s="46" t="s">
        <v>23</v>
      </c>
      <c r="Z2" s="46" t="s">
        <v>24</v>
      </c>
      <c r="AA2" s="46" t="s">
        <v>25</v>
      </c>
      <c r="AB2" s="46" t="s">
        <v>26</v>
      </c>
      <c r="AC2" s="70" t="s">
        <v>27</v>
      </c>
      <c r="AD2" s="70" t="s">
        <v>28</v>
      </c>
      <c r="AE2" s="70" t="s">
        <v>29</v>
      </c>
      <c r="AF2" s="31" t="s">
        <v>30</v>
      </c>
      <c r="AG2" s="31" t="s">
        <v>31</v>
      </c>
      <c r="AH2" s="31" t="s">
        <v>32</v>
      </c>
      <c r="AI2" s="31" t="s">
        <v>33</v>
      </c>
      <c r="AJ2" s="31" t="s">
        <v>34</v>
      </c>
      <c r="AK2" s="71" t="s">
        <v>35</v>
      </c>
      <c r="AL2" s="31" t="s">
        <v>36</v>
      </c>
      <c r="AM2" s="71" t="s">
        <v>37</v>
      </c>
      <c r="AN2" s="31" t="s">
        <v>38</v>
      </c>
      <c r="AO2" s="71" t="s">
        <v>39</v>
      </c>
      <c r="AP2" s="31" t="s">
        <v>40</v>
      </c>
      <c r="AQ2" s="71" t="s">
        <v>41</v>
      </c>
      <c r="AR2" s="31" t="s">
        <v>42</v>
      </c>
      <c r="AS2" s="71" t="s">
        <v>43</v>
      </c>
      <c r="AT2" s="31" t="s">
        <v>44</v>
      </c>
      <c r="AU2" s="71" t="s">
        <v>45</v>
      </c>
      <c r="AV2" s="31" t="s">
        <v>46</v>
      </c>
      <c r="AW2" s="71" t="s">
        <v>47</v>
      </c>
      <c r="AX2" s="31" t="s">
        <v>48</v>
      </c>
      <c r="AY2" s="71" t="s">
        <v>49</v>
      </c>
      <c r="AZ2" s="96" t="s">
        <v>50</v>
      </c>
      <c r="BA2" s="96" t="s">
        <v>51</v>
      </c>
      <c r="BB2" s="96" t="s">
        <v>52</v>
      </c>
      <c r="BC2" s="96" t="s">
        <v>53</v>
      </c>
      <c r="BD2" s="96" t="s">
        <v>54</v>
      </c>
      <c r="BE2" s="96" t="s">
        <v>55</v>
      </c>
      <c r="BF2" s="96" t="s">
        <v>56</v>
      </c>
      <c r="BG2" s="96" t="s">
        <v>57</v>
      </c>
      <c r="BH2" s="96" t="s">
        <v>58</v>
      </c>
      <c r="BI2" s="96" t="s">
        <v>59</v>
      </c>
      <c r="BJ2" s="96" t="s">
        <v>60</v>
      </c>
      <c r="BK2" s="96" t="s">
        <v>61</v>
      </c>
      <c r="BL2" s="96" t="s">
        <v>62</v>
      </c>
      <c r="BM2" s="96" t="s">
        <v>63</v>
      </c>
      <c r="BN2" s="96" t="s">
        <v>64</v>
      </c>
      <c r="BO2" s="96" t="s">
        <v>65</v>
      </c>
      <c r="BP2" s="96" t="s">
        <v>66</v>
      </c>
      <c r="BQ2" s="96" t="s">
        <v>67</v>
      </c>
      <c r="BR2" s="96" t="s">
        <v>68</v>
      </c>
      <c r="BS2" s="96" t="s">
        <v>69</v>
      </c>
      <c r="BT2" s="96" t="s">
        <v>70</v>
      </c>
      <c r="BU2" s="96" t="s">
        <v>71</v>
      </c>
      <c r="BV2" s="96" t="s">
        <v>72</v>
      </c>
      <c r="BW2" s="96" t="s">
        <v>73</v>
      </c>
      <c r="BX2" s="96" t="s">
        <v>74</v>
      </c>
      <c r="BY2" s="96" t="s">
        <v>75</v>
      </c>
      <c r="BZ2" s="96" t="s">
        <v>76</v>
      </c>
      <c r="CA2" s="96" t="s">
        <v>77</v>
      </c>
      <c r="CB2" s="96" t="s">
        <v>78</v>
      </c>
      <c r="CC2" s="96" t="s">
        <v>79</v>
      </c>
      <c r="CD2" s="96" t="s">
        <v>80</v>
      </c>
      <c r="CE2" s="96" t="s">
        <v>81</v>
      </c>
      <c r="CF2" s="96" t="s">
        <v>82</v>
      </c>
      <c r="CG2" s="96" t="s">
        <v>83</v>
      </c>
      <c r="CH2" s="96" t="s">
        <v>84</v>
      </c>
      <c r="CI2" s="96" t="s">
        <v>85</v>
      </c>
      <c r="CJ2" s="96" t="s">
        <v>86</v>
      </c>
      <c r="CK2" s="96" t="s">
        <v>87</v>
      </c>
      <c r="CL2" s="96" t="s">
        <v>88</v>
      </c>
      <c r="CM2" s="96" t="s">
        <v>89</v>
      </c>
      <c r="CN2" s="96" t="s">
        <v>90</v>
      </c>
      <c r="CO2" s="96" t="s">
        <v>91</v>
      </c>
      <c r="CP2" s="96" t="s">
        <v>92</v>
      </c>
      <c r="CQ2" s="96" t="s">
        <v>93</v>
      </c>
      <c r="CR2" s="96" t="s">
        <v>94</v>
      </c>
      <c r="CS2" s="96" t="s">
        <v>95</v>
      </c>
      <c r="CT2" s="96" t="s">
        <v>96</v>
      </c>
      <c r="CU2" s="96" t="s">
        <v>97</v>
      </c>
      <c r="CV2" s="96" t="s">
        <v>98</v>
      </c>
      <c r="CW2" s="96" t="s">
        <v>99</v>
      </c>
      <c r="CX2" s="96" t="s">
        <v>100</v>
      </c>
      <c r="CY2" s="96" t="s">
        <v>101</v>
      </c>
      <c r="CZ2" s="96" t="s">
        <v>102</v>
      </c>
      <c r="DA2" s="96" t="s">
        <v>103</v>
      </c>
      <c r="DB2" s="96" t="s">
        <v>104</v>
      </c>
      <c r="DC2" s="96" t="s">
        <v>105</v>
      </c>
      <c r="DD2" s="96" t="s">
        <v>106</v>
      </c>
      <c r="DE2" s="96" t="s">
        <v>107</v>
      </c>
      <c r="DF2" s="96" t="s">
        <v>108</v>
      </c>
      <c r="DG2" s="96" t="s">
        <v>109</v>
      </c>
      <c r="DH2" s="96" t="s">
        <v>110</v>
      </c>
      <c r="DI2" s="96" t="s">
        <v>111</v>
      </c>
      <c r="DJ2" s="96" t="s">
        <v>112</v>
      </c>
      <c r="DK2" s="96" t="s">
        <v>113</v>
      </c>
      <c r="DL2" s="96" t="s">
        <v>114</v>
      </c>
      <c r="DM2" s="96" t="s">
        <v>115</v>
      </c>
      <c r="DN2" s="96" t="s">
        <v>116</v>
      </c>
      <c r="DO2" s="96" t="s">
        <v>117</v>
      </c>
      <c r="DP2" s="96" t="s">
        <v>118</v>
      </c>
      <c r="DQ2" s="96" t="s">
        <v>119</v>
      </c>
      <c r="DR2" s="96" t="s">
        <v>120</v>
      </c>
      <c r="DS2" s="96" t="s">
        <v>121</v>
      </c>
      <c r="DT2" s="96" t="s">
        <v>122</v>
      </c>
      <c r="DU2" s="96" t="s">
        <v>123</v>
      </c>
      <c r="DV2" s="96" t="s">
        <v>124</v>
      </c>
      <c r="DW2" s="96" t="s">
        <v>125</v>
      </c>
      <c r="DX2" s="96" t="s">
        <v>126</v>
      </c>
      <c r="DY2" s="96" t="s">
        <v>127</v>
      </c>
      <c r="DZ2" s="96" t="s">
        <v>128</v>
      </c>
      <c r="EA2" s="96" t="s">
        <v>129</v>
      </c>
      <c r="EB2" s="96" t="s">
        <v>130</v>
      </c>
      <c r="EC2" s="96" t="s">
        <v>131</v>
      </c>
      <c r="ED2" s="96" t="s">
        <v>132</v>
      </c>
      <c r="EE2" s="96" t="s">
        <v>133</v>
      </c>
      <c r="EF2" s="96" t="s">
        <v>134</v>
      </c>
      <c r="EG2" s="96" t="s">
        <v>135</v>
      </c>
      <c r="EH2" s="96" t="s">
        <v>136</v>
      </c>
      <c r="EI2" s="96" t="s">
        <v>137</v>
      </c>
      <c r="EJ2" s="96" t="s">
        <v>138</v>
      </c>
      <c r="EK2" s="96" t="s">
        <v>139</v>
      </c>
      <c r="EL2" s="96" t="s">
        <v>140</v>
      </c>
      <c r="EM2" s="96" t="s">
        <v>141</v>
      </c>
      <c r="EN2" s="96" t="s">
        <v>142</v>
      </c>
      <c r="EO2" s="96" t="s">
        <v>143</v>
      </c>
      <c r="EP2" s="96" t="s">
        <v>144</v>
      </c>
      <c r="EQ2" s="96" t="s">
        <v>457</v>
      </c>
      <c r="ER2" s="96" t="s">
        <v>145</v>
      </c>
      <c r="ES2" s="96" t="s">
        <v>146</v>
      </c>
      <c r="ET2" s="96" t="s">
        <v>147</v>
      </c>
      <c r="EU2" s="96" t="s">
        <v>148</v>
      </c>
      <c r="EV2" s="96" t="s">
        <v>149</v>
      </c>
      <c r="EW2" s="96" t="s">
        <v>150</v>
      </c>
      <c r="EX2" s="96" t="s">
        <v>151</v>
      </c>
      <c r="EY2" s="96" t="s">
        <v>152</v>
      </c>
      <c r="EZ2" s="96" t="s">
        <v>153</v>
      </c>
      <c r="FA2" s="96" t="s">
        <v>154</v>
      </c>
      <c r="FB2" s="96" t="s">
        <v>155</v>
      </c>
      <c r="FC2" s="96" t="s">
        <v>156</v>
      </c>
      <c r="FD2" s="96" t="s">
        <v>157</v>
      </c>
      <c r="FE2" s="96" t="s">
        <v>158</v>
      </c>
      <c r="FF2" s="96" t="s">
        <v>159</v>
      </c>
      <c r="FG2" s="96" t="s">
        <v>160</v>
      </c>
      <c r="FH2" s="96" t="s">
        <v>161</v>
      </c>
      <c r="FI2" s="96" t="s">
        <v>162</v>
      </c>
      <c r="FJ2" s="96" t="s">
        <v>163</v>
      </c>
      <c r="FK2" s="96" t="s">
        <v>164</v>
      </c>
      <c r="FL2" s="96" t="s">
        <v>165</v>
      </c>
      <c r="FM2" s="96" t="s">
        <v>166</v>
      </c>
      <c r="FN2" s="96" t="s">
        <v>167</v>
      </c>
      <c r="FO2" s="96" t="s">
        <v>168</v>
      </c>
      <c r="FP2" s="96" t="s">
        <v>169</v>
      </c>
      <c r="FQ2" s="96" t="s">
        <v>170</v>
      </c>
      <c r="FR2" s="96" t="s">
        <v>171</v>
      </c>
      <c r="FS2" s="96" t="s">
        <v>172</v>
      </c>
      <c r="FT2" s="96" t="s">
        <v>173</v>
      </c>
      <c r="FU2" s="96" t="s">
        <v>174</v>
      </c>
      <c r="FV2" s="96" t="s">
        <v>175</v>
      </c>
      <c r="FW2" s="96" t="s">
        <v>176</v>
      </c>
      <c r="FX2" s="96" t="s">
        <v>177</v>
      </c>
      <c r="FY2" s="96" t="s">
        <v>178</v>
      </c>
      <c r="FZ2" s="96" t="s">
        <v>179</v>
      </c>
      <c r="GA2" s="96" t="s">
        <v>180</v>
      </c>
      <c r="GB2" s="96" t="s">
        <v>181</v>
      </c>
      <c r="GC2" s="96" t="s">
        <v>182</v>
      </c>
      <c r="GD2" s="96" t="s">
        <v>183</v>
      </c>
      <c r="GE2" s="96" t="s">
        <v>184</v>
      </c>
      <c r="GF2" s="96" t="s">
        <v>185</v>
      </c>
      <c r="GG2" s="96" t="s">
        <v>186</v>
      </c>
      <c r="GH2" s="96" t="s">
        <v>187</v>
      </c>
      <c r="GI2" s="96" t="s">
        <v>188</v>
      </c>
      <c r="GJ2" s="96" t="s">
        <v>189</v>
      </c>
      <c r="GK2" s="96" t="s">
        <v>190</v>
      </c>
      <c r="GL2" s="96" t="s">
        <v>191</v>
      </c>
      <c r="GM2" s="96" t="s">
        <v>192</v>
      </c>
      <c r="GN2" s="96" t="s">
        <v>193</v>
      </c>
      <c r="GO2" s="96" t="s">
        <v>194</v>
      </c>
      <c r="GP2" s="96" t="s">
        <v>195</v>
      </c>
      <c r="GQ2" s="96" t="s">
        <v>196</v>
      </c>
      <c r="GR2" s="96" t="s">
        <v>197</v>
      </c>
      <c r="GS2" s="96" t="s">
        <v>198</v>
      </c>
      <c r="GT2" s="96" t="s">
        <v>199</v>
      </c>
      <c r="GU2" s="96" t="s">
        <v>200</v>
      </c>
      <c r="GV2" s="96" t="s">
        <v>201</v>
      </c>
      <c r="GW2" s="96" t="s">
        <v>202</v>
      </c>
      <c r="GX2" s="96" t="s">
        <v>203</v>
      </c>
      <c r="GY2" s="96" t="s">
        <v>204</v>
      </c>
      <c r="GZ2" s="96" t="s">
        <v>205</v>
      </c>
      <c r="HA2" s="96" t="s">
        <v>206</v>
      </c>
      <c r="HB2" s="96" t="s">
        <v>207</v>
      </c>
      <c r="HC2" s="96" t="s">
        <v>208</v>
      </c>
      <c r="HD2" s="96" t="s">
        <v>209</v>
      </c>
      <c r="HE2" s="96" t="s">
        <v>210</v>
      </c>
      <c r="HF2" s="96" t="s">
        <v>211</v>
      </c>
      <c r="HG2" s="96" t="s">
        <v>212</v>
      </c>
      <c r="HH2" s="96" t="s">
        <v>213</v>
      </c>
      <c r="HI2" s="96" t="s">
        <v>214</v>
      </c>
      <c r="HJ2" s="96" t="s">
        <v>215</v>
      </c>
      <c r="HK2" s="96" t="s">
        <v>216</v>
      </c>
      <c r="HL2" s="96" t="s">
        <v>217</v>
      </c>
      <c r="HM2" s="96" t="s">
        <v>218</v>
      </c>
      <c r="HN2" s="96" t="s">
        <v>219</v>
      </c>
      <c r="HO2" s="96" t="s">
        <v>220</v>
      </c>
      <c r="HP2" s="96" t="s">
        <v>221</v>
      </c>
      <c r="HQ2" s="96" t="s">
        <v>222</v>
      </c>
      <c r="HR2" s="96" t="s">
        <v>223</v>
      </c>
      <c r="HS2" s="96" t="s">
        <v>224</v>
      </c>
      <c r="HT2" s="96" t="s">
        <v>225</v>
      </c>
      <c r="HU2" s="96" t="s">
        <v>226</v>
      </c>
      <c r="HV2" s="96" t="s">
        <v>227</v>
      </c>
      <c r="HW2" s="96" t="s">
        <v>228</v>
      </c>
      <c r="HX2" s="96" t="s">
        <v>229</v>
      </c>
      <c r="HY2" s="96" t="s">
        <v>230</v>
      </c>
      <c r="HZ2" s="96" t="s">
        <v>231</v>
      </c>
      <c r="IA2" s="96" t="s">
        <v>232</v>
      </c>
      <c r="IB2" s="96" t="s">
        <v>233</v>
      </c>
      <c r="IC2" s="96" t="s">
        <v>234</v>
      </c>
      <c r="ID2" s="96" t="s">
        <v>235</v>
      </c>
      <c r="IE2" s="96" t="s">
        <v>236</v>
      </c>
      <c r="IF2" s="96" t="s">
        <v>237</v>
      </c>
      <c r="IG2" s="96" t="s">
        <v>238</v>
      </c>
      <c r="IH2" s="96" t="s">
        <v>239</v>
      </c>
      <c r="II2" s="96" t="s">
        <v>240</v>
      </c>
      <c r="IJ2" s="96" t="s">
        <v>241</v>
      </c>
      <c r="IK2" s="96" t="s">
        <v>242</v>
      </c>
      <c r="IL2" s="96" t="s">
        <v>243</v>
      </c>
      <c r="IM2" s="96" t="s">
        <v>244</v>
      </c>
      <c r="IN2" s="96" t="s">
        <v>245</v>
      </c>
      <c r="IO2" s="96" t="s">
        <v>246</v>
      </c>
      <c r="IP2" s="96" t="s">
        <v>247</v>
      </c>
      <c r="IQ2" s="96" t="s">
        <v>248</v>
      </c>
      <c r="IR2" s="96" t="s">
        <v>249</v>
      </c>
      <c r="IS2" s="96" t="s">
        <v>250</v>
      </c>
      <c r="IT2" s="96" t="s">
        <v>251</v>
      </c>
      <c r="IU2" s="96" t="s">
        <v>252</v>
      </c>
      <c r="IV2" s="96" t="s">
        <v>253</v>
      </c>
      <c r="IW2" s="96" t="s">
        <v>254</v>
      </c>
      <c r="IX2" s="96" t="s">
        <v>255</v>
      </c>
      <c r="IY2" s="96" t="s">
        <v>256</v>
      </c>
      <c r="IZ2" s="96" t="s">
        <v>257</v>
      </c>
      <c r="JA2" s="96" t="s">
        <v>258</v>
      </c>
      <c r="JB2" s="96" t="s">
        <v>259</v>
      </c>
      <c r="JC2" s="96" t="s">
        <v>260</v>
      </c>
      <c r="JD2" s="96" t="s">
        <v>261</v>
      </c>
      <c r="JE2" s="96" t="s">
        <v>262</v>
      </c>
      <c r="JF2" s="96" t="s">
        <v>263</v>
      </c>
      <c r="JG2" s="96" t="s">
        <v>264</v>
      </c>
      <c r="JH2" s="96" t="s">
        <v>265</v>
      </c>
      <c r="JI2" s="96" t="s">
        <v>266</v>
      </c>
      <c r="JJ2" s="96" t="s">
        <v>267</v>
      </c>
      <c r="JK2" s="96" t="s">
        <v>268</v>
      </c>
      <c r="JL2" s="96" t="s">
        <v>269</v>
      </c>
      <c r="JM2" s="96" t="s">
        <v>270</v>
      </c>
      <c r="JN2" s="96" t="s">
        <v>271</v>
      </c>
      <c r="JO2" s="96" t="s">
        <v>272</v>
      </c>
      <c r="JP2" s="96" t="s">
        <v>273</v>
      </c>
      <c r="JQ2" s="96" t="s">
        <v>274</v>
      </c>
      <c r="JR2" s="96" t="s">
        <v>275</v>
      </c>
      <c r="JS2" s="96" t="s">
        <v>276</v>
      </c>
      <c r="JT2" s="8"/>
      <c r="JU2" s="8" t="s">
        <v>358</v>
      </c>
      <c r="JV2" s="31" t="s">
        <v>359</v>
      </c>
      <c r="JW2" s="8" t="s">
        <v>360</v>
      </c>
      <c r="JX2" s="31" t="s">
        <v>359</v>
      </c>
      <c r="JY2" s="8" t="s">
        <v>361</v>
      </c>
      <c r="JZ2" s="31" t="s">
        <v>359</v>
      </c>
      <c r="KA2" s="8" t="s">
        <v>362</v>
      </c>
      <c r="KB2" s="31" t="s">
        <v>359</v>
      </c>
      <c r="KC2" s="8" t="s">
        <v>363</v>
      </c>
      <c r="KD2" s="31" t="s">
        <v>359</v>
      </c>
      <c r="KE2" s="5" t="s">
        <v>364</v>
      </c>
      <c r="KF2" s="29" t="s">
        <v>359</v>
      </c>
      <c r="KG2" s="8" t="s">
        <v>365</v>
      </c>
      <c r="KH2" s="31" t="s">
        <v>359</v>
      </c>
      <c r="KI2" s="8" t="s">
        <v>366</v>
      </c>
      <c r="KJ2" s="31" t="s">
        <v>359</v>
      </c>
      <c r="KK2" s="8" t="s">
        <v>367</v>
      </c>
      <c r="KL2" s="31" t="s">
        <v>359</v>
      </c>
      <c r="KM2" s="8" t="s">
        <v>368</v>
      </c>
      <c r="KN2" s="31" t="s">
        <v>359</v>
      </c>
      <c r="KO2" s="8" t="s">
        <v>369</v>
      </c>
      <c r="KP2" s="31" t="s">
        <v>359</v>
      </c>
      <c r="KQ2" s="8" t="s">
        <v>370</v>
      </c>
      <c r="KR2" s="31" t="s">
        <v>359</v>
      </c>
      <c r="KS2" s="8" t="s">
        <v>371</v>
      </c>
      <c r="KT2" s="31" t="s">
        <v>359</v>
      </c>
      <c r="KU2" s="8" t="s">
        <v>372</v>
      </c>
      <c r="KV2" s="31" t="s">
        <v>359</v>
      </c>
      <c r="KW2" s="8" t="s">
        <v>373</v>
      </c>
      <c r="KX2" s="31" t="s">
        <v>359</v>
      </c>
      <c r="KY2" s="8" t="s">
        <v>374</v>
      </c>
      <c r="KZ2" s="31" t="s">
        <v>359</v>
      </c>
      <c r="LA2" s="8" t="s">
        <v>375</v>
      </c>
      <c r="LB2" s="31" t="s">
        <v>359</v>
      </c>
      <c r="LC2" s="8" t="s">
        <v>376</v>
      </c>
      <c r="LD2" s="31" t="s">
        <v>359</v>
      </c>
      <c r="LE2" s="8" t="s">
        <v>377</v>
      </c>
      <c r="LF2" s="31" t="s">
        <v>359</v>
      </c>
      <c r="LG2" s="8" t="s">
        <v>378</v>
      </c>
      <c r="LH2" s="31" t="s">
        <v>359</v>
      </c>
      <c r="LI2" s="8" t="s">
        <v>379</v>
      </c>
      <c r="LJ2" s="31" t="s">
        <v>359</v>
      </c>
      <c r="LK2" s="5" t="s">
        <v>380</v>
      </c>
      <c r="LL2" s="29" t="s">
        <v>359</v>
      </c>
      <c r="LM2" s="8" t="s">
        <v>381</v>
      </c>
      <c r="LN2" s="31" t="s">
        <v>359</v>
      </c>
      <c r="LO2" s="8" t="s">
        <v>382</v>
      </c>
      <c r="LP2" s="31" t="s">
        <v>359</v>
      </c>
      <c r="LQ2" s="8" t="s">
        <v>383</v>
      </c>
      <c r="LR2" s="31" t="s">
        <v>359</v>
      </c>
      <c r="LS2" s="8" t="s">
        <v>384</v>
      </c>
      <c r="LT2" s="31" t="s">
        <v>359</v>
      </c>
      <c r="LU2" s="8" t="s">
        <v>385</v>
      </c>
      <c r="LV2" s="31" t="s">
        <v>359</v>
      </c>
      <c r="LW2" s="8" t="s">
        <v>386</v>
      </c>
      <c r="LX2" s="31" t="s">
        <v>359</v>
      </c>
      <c r="LY2" s="8" t="s">
        <v>387</v>
      </c>
      <c r="LZ2" s="31" t="s">
        <v>359</v>
      </c>
      <c r="MA2" s="8" t="s">
        <v>388</v>
      </c>
      <c r="MB2" s="31" t="s">
        <v>359</v>
      </c>
      <c r="MC2" s="8" t="s">
        <v>389</v>
      </c>
      <c r="MD2" s="31" t="s">
        <v>359</v>
      </c>
      <c r="ME2" s="8" t="s">
        <v>390</v>
      </c>
      <c r="MF2" s="31" t="s">
        <v>359</v>
      </c>
      <c r="MG2" s="8" t="s">
        <v>391</v>
      </c>
      <c r="MH2" s="31" t="s">
        <v>359</v>
      </c>
      <c r="MI2" s="8" t="s">
        <v>392</v>
      </c>
      <c r="MJ2" s="31" t="s">
        <v>359</v>
      </c>
      <c r="MK2" s="8" t="s">
        <v>393</v>
      </c>
      <c r="ML2" s="31" t="s">
        <v>359</v>
      </c>
      <c r="MM2" s="8" t="s">
        <v>394</v>
      </c>
      <c r="MN2" s="31" t="s">
        <v>359</v>
      </c>
      <c r="MO2" s="8" t="s">
        <v>395</v>
      </c>
      <c r="MP2" s="31" t="s">
        <v>359</v>
      </c>
      <c r="MQ2" s="8" t="s">
        <v>396</v>
      </c>
      <c r="MR2" s="31" t="s">
        <v>359</v>
      </c>
      <c r="MS2" s="8"/>
      <c r="MT2" s="8" t="s">
        <v>397</v>
      </c>
      <c r="MV2" s="7" t="s">
        <v>402</v>
      </c>
    </row>
    <row r="3" spans="1:360" x14ac:dyDescent="0.15">
      <c r="A3" s="156" t="s">
        <v>284</v>
      </c>
      <c r="B3" s="28" t="s">
        <v>405</v>
      </c>
      <c r="C3" s="48">
        <v>200800</v>
      </c>
      <c r="D3" s="48">
        <v>2012</v>
      </c>
      <c r="E3" s="49">
        <v>1</v>
      </c>
      <c r="F3" s="49">
        <v>9</v>
      </c>
      <c r="G3" s="50">
        <v>9884</v>
      </c>
      <c r="H3" s="50">
        <v>9096</v>
      </c>
      <c r="I3" s="51">
        <v>475757815</v>
      </c>
      <c r="J3" s="51"/>
      <c r="K3" s="51">
        <v>5166146</v>
      </c>
      <c r="L3" s="51"/>
      <c r="M3" s="51">
        <v>31413075</v>
      </c>
      <c r="N3" s="51"/>
      <c r="O3" s="51">
        <v>74967783</v>
      </c>
      <c r="P3" s="51"/>
      <c r="Q3" s="51">
        <v>446171962</v>
      </c>
      <c r="R3" s="51"/>
      <c r="S3" s="69">
        <v>369884234</v>
      </c>
      <c r="T3" s="51"/>
      <c r="U3" s="51">
        <v>21097</v>
      </c>
      <c r="V3" s="51"/>
      <c r="W3" s="51">
        <v>29568</v>
      </c>
      <c r="X3" s="51"/>
      <c r="Y3" s="51">
        <v>22678</v>
      </c>
      <c r="Z3" s="51"/>
      <c r="AA3" s="51">
        <v>30760</v>
      </c>
      <c r="AB3" s="51"/>
      <c r="AC3" s="74">
        <v>8</v>
      </c>
      <c r="AD3" s="74">
        <v>10</v>
      </c>
      <c r="AE3" s="74">
        <v>1</v>
      </c>
      <c r="AF3" s="29">
        <v>3553847</v>
      </c>
      <c r="AG3" s="29">
        <v>2446158</v>
      </c>
      <c r="AH3" s="29">
        <v>268219</v>
      </c>
      <c r="AI3" s="29">
        <v>147341</v>
      </c>
      <c r="AJ3" s="29">
        <v>338156.67</v>
      </c>
      <c r="AK3" s="73">
        <v>5</v>
      </c>
      <c r="AL3" s="29">
        <v>289848.57</v>
      </c>
      <c r="AM3" s="73">
        <v>7</v>
      </c>
      <c r="AN3" s="93">
        <v>104865.25</v>
      </c>
      <c r="AO3" s="94">
        <v>8</v>
      </c>
      <c r="AP3" s="93">
        <v>93213.56</v>
      </c>
      <c r="AQ3" s="94">
        <v>9</v>
      </c>
      <c r="AR3" s="93">
        <v>92870.19</v>
      </c>
      <c r="AS3" s="94">
        <v>21</v>
      </c>
      <c r="AT3" s="93">
        <v>81261.42</v>
      </c>
      <c r="AU3" s="94">
        <v>24</v>
      </c>
      <c r="AV3" s="93">
        <v>60843.86</v>
      </c>
      <c r="AW3" s="95">
        <v>14.5</v>
      </c>
      <c r="AX3" s="93">
        <v>55139.75</v>
      </c>
      <c r="AY3" s="95">
        <v>16</v>
      </c>
      <c r="AZ3" s="128">
        <v>1006864</v>
      </c>
      <c r="BA3" s="129">
        <v>313509</v>
      </c>
      <c r="BB3" s="129">
        <v>9925</v>
      </c>
      <c r="BC3" s="130">
        <v>210087</v>
      </c>
      <c r="BD3" s="131">
        <v>82911</v>
      </c>
      <c r="BE3" s="131">
        <v>1623296</v>
      </c>
      <c r="BF3" s="131">
        <v>0</v>
      </c>
      <c r="BG3" s="131">
        <v>0</v>
      </c>
      <c r="BH3" s="131">
        <v>0</v>
      </c>
      <c r="BI3" s="131">
        <v>0</v>
      </c>
      <c r="BJ3" s="128">
        <v>17698300</v>
      </c>
      <c r="BK3" s="132">
        <v>17698300</v>
      </c>
      <c r="BL3" s="128">
        <v>1300000</v>
      </c>
      <c r="BM3" s="128">
        <v>100089</v>
      </c>
      <c r="BN3" s="128">
        <v>15000</v>
      </c>
      <c r="BO3" s="129">
        <v>26500</v>
      </c>
      <c r="BP3" s="131">
        <v>0</v>
      </c>
      <c r="BQ3" s="131">
        <v>1441589</v>
      </c>
      <c r="BR3" s="129">
        <v>95117</v>
      </c>
      <c r="BS3" s="131">
        <v>45780</v>
      </c>
      <c r="BT3" s="128">
        <v>10267</v>
      </c>
      <c r="BU3" s="131">
        <v>177561</v>
      </c>
      <c r="BV3" s="129">
        <v>714569</v>
      </c>
      <c r="BW3" s="128">
        <v>1043294</v>
      </c>
      <c r="BX3" s="97">
        <v>0</v>
      </c>
      <c r="BY3" s="97">
        <v>0</v>
      </c>
      <c r="BZ3" s="97">
        <v>0</v>
      </c>
      <c r="CA3" s="97">
        <v>0</v>
      </c>
      <c r="CB3" s="97">
        <v>0</v>
      </c>
      <c r="CC3" s="97">
        <v>0</v>
      </c>
      <c r="CD3" s="131">
        <v>0</v>
      </c>
      <c r="CE3" s="131">
        <v>0</v>
      </c>
      <c r="CF3" s="131">
        <v>0</v>
      </c>
      <c r="CG3" s="131">
        <v>0</v>
      </c>
      <c r="CH3" s="128">
        <v>15988</v>
      </c>
      <c r="CI3" s="131">
        <v>15988</v>
      </c>
      <c r="CJ3" s="131">
        <v>0</v>
      </c>
      <c r="CK3" s="131">
        <v>0</v>
      </c>
      <c r="CL3" s="131">
        <v>0</v>
      </c>
      <c r="CM3" s="131">
        <v>0</v>
      </c>
      <c r="CN3" s="128">
        <v>1631677</v>
      </c>
      <c r="CO3" s="128">
        <v>1631677</v>
      </c>
      <c r="CP3" s="97">
        <v>0</v>
      </c>
      <c r="CQ3" s="97">
        <v>0</v>
      </c>
      <c r="CR3" s="97">
        <v>0</v>
      </c>
      <c r="CS3" s="97">
        <v>0</v>
      </c>
      <c r="CT3" s="97">
        <v>0</v>
      </c>
      <c r="CU3" s="97">
        <v>0</v>
      </c>
      <c r="CV3" s="131">
        <v>0</v>
      </c>
      <c r="CW3" s="129">
        <v>0</v>
      </c>
      <c r="CX3" s="131">
        <v>0</v>
      </c>
      <c r="CY3" s="131">
        <v>0</v>
      </c>
      <c r="CZ3" s="132">
        <v>1470334</v>
      </c>
      <c r="DA3" s="128">
        <v>1470334</v>
      </c>
      <c r="DB3" s="97">
        <v>0</v>
      </c>
      <c r="DC3" s="97">
        <v>0</v>
      </c>
      <c r="DD3" s="97">
        <v>0</v>
      </c>
      <c r="DE3" s="97">
        <v>0</v>
      </c>
      <c r="DF3" s="97">
        <v>0</v>
      </c>
      <c r="DG3" s="97">
        <v>0</v>
      </c>
      <c r="DH3" s="129">
        <v>0</v>
      </c>
      <c r="DI3" s="129">
        <v>0</v>
      </c>
      <c r="DJ3" s="129">
        <v>0</v>
      </c>
      <c r="DK3" s="131">
        <v>0</v>
      </c>
      <c r="DL3" s="132">
        <v>114752</v>
      </c>
      <c r="DM3" s="132">
        <v>114752</v>
      </c>
      <c r="DN3" s="97">
        <v>0</v>
      </c>
      <c r="DO3" s="97">
        <v>0</v>
      </c>
      <c r="DP3" s="97">
        <v>0</v>
      </c>
      <c r="DQ3" s="97">
        <v>0</v>
      </c>
      <c r="DR3" s="97">
        <v>639079</v>
      </c>
      <c r="DS3" s="97">
        <v>639079</v>
      </c>
      <c r="DT3" s="129">
        <v>21395</v>
      </c>
      <c r="DU3" s="129">
        <v>66398</v>
      </c>
      <c r="DV3" s="128">
        <v>17392</v>
      </c>
      <c r="DW3" s="129">
        <v>662992</v>
      </c>
      <c r="DX3" s="131">
        <v>9646</v>
      </c>
      <c r="DY3" s="129">
        <v>777823</v>
      </c>
      <c r="DZ3" s="131">
        <v>22712</v>
      </c>
      <c r="EA3" s="129">
        <v>20608</v>
      </c>
      <c r="EB3" s="129">
        <v>2012</v>
      </c>
      <c r="EC3" s="129">
        <v>28558</v>
      </c>
      <c r="ED3" s="128">
        <v>142303</v>
      </c>
      <c r="EE3" s="129">
        <v>216193</v>
      </c>
      <c r="EF3" s="129">
        <v>-2480</v>
      </c>
      <c r="EG3" s="131">
        <v>0</v>
      </c>
      <c r="EH3" s="129">
        <v>3700</v>
      </c>
      <c r="EI3" s="128">
        <v>131727</v>
      </c>
      <c r="EJ3" s="128">
        <v>412201</v>
      </c>
      <c r="EK3" s="129">
        <v>545148</v>
      </c>
      <c r="EL3" s="129">
        <v>2443608</v>
      </c>
      <c r="EM3" s="129">
        <v>546384</v>
      </c>
      <c r="EN3" s="133">
        <v>58296</v>
      </c>
      <c r="EO3" s="128">
        <v>1237425</v>
      </c>
      <c r="EP3" s="129">
        <v>22931760</v>
      </c>
      <c r="EQ3" s="131">
        <v>27217473</v>
      </c>
      <c r="ER3" s="131">
        <v>2103818</v>
      </c>
      <c r="ES3" s="131">
        <v>421695</v>
      </c>
      <c r="ET3" s="129">
        <v>380227</v>
      </c>
      <c r="EU3" s="129">
        <v>3196974</v>
      </c>
      <c r="EV3" s="129">
        <v>2100</v>
      </c>
      <c r="EW3" s="131">
        <v>6104814</v>
      </c>
      <c r="EX3" s="105">
        <v>400000</v>
      </c>
      <c r="EY3" s="105">
        <v>292000</v>
      </c>
      <c r="EZ3" s="105">
        <v>11500</v>
      </c>
      <c r="FA3" s="105">
        <v>19620</v>
      </c>
      <c r="FB3" s="105">
        <v>0</v>
      </c>
      <c r="FC3" s="105">
        <v>723120</v>
      </c>
      <c r="FD3" s="105">
        <v>2003255</v>
      </c>
      <c r="FE3" s="105">
        <v>830831</v>
      </c>
      <c r="FF3" s="105">
        <v>428915</v>
      </c>
      <c r="FG3" s="105">
        <v>2437371</v>
      </c>
      <c r="FH3" s="105">
        <v>0</v>
      </c>
      <c r="FI3" s="105">
        <v>5700372</v>
      </c>
      <c r="FJ3" s="97">
        <v>0</v>
      </c>
      <c r="FK3" s="97">
        <v>0</v>
      </c>
      <c r="FL3" s="97">
        <v>0</v>
      </c>
      <c r="FM3" s="97">
        <v>0</v>
      </c>
      <c r="FN3" s="97">
        <v>0</v>
      </c>
      <c r="FO3" s="97">
        <v>0</v>
      </c>
      <c r="FP3" s="105">
        <v>298497</v>
      </c>
      <c r="FQ3" s="105">
        <v>192179</v>
      </c>
      <c r="FR3" s="105">
        <v>86995</v>
      </c>
      <c r="FS3" s="105">
        <v>271098</v>
      </c>
      <c r="FT3" s="105">
        <v>3626362</v>
      </c>
      <c r="FU3" s="105">
        <v>4475131</v>
      </c>
      <c r="FV3" s="97">
        <v>0</v>
      </c>
      <c r="FW3" s="97">
        <v>0</v>
      </c>
      <c r="FX3" s="97">
        <v>0</v>
      </c>
      <c r="FY3" s="97">
        <v>0</v>
      </c>
      <c r="FZ3" s="97">
        <v>0</v>
      </c>
      <c r="GA3" s="97">
        <v>0</v>
      </c>
      <c r="GB3" s="97">
        <v>0</v>
      </c>
      <c r="GC3" s="97">
        <v>0</v>
      </c>
      <c r="GD3" s="97">
        <v>0</v>
      </c>
      <c r="GE3" s="97">
        <v>0</v>
      </c>
      <c r="GF3" s="97">
        <v>0</v>
      </c>
      <c r="GG3" s="97">
        <v>0</v>
      </c>
      <c r="GH3" s="105">
        <v>153806</v>
      </c>
      <c r="GI3" s="105">
        <v>71095</v>
      </c>
      <c r="GJ3" s="105">
        <v>55574</v>
      </c>
      <c r="GK3" s="105">
        <v>136975</v>
      </c>
      <c r="GL3" s="105">
        <v>15090</v>
      </c>
      <c r="GM3" s="105">
        <v>432540</v>
      </c>
      <c r="GN3" s="105">
        <v>424417</v>
      </c>
      <c r="GO3" s="105">
        <v>188031</v>
      </c>
      <c r="GP3" s="105">
        <v>115611</v>
      </c>
      <c r="GQ3" s="105">
        <v>855536</v>
      </c>
      <c r="GR3" s="105">
        <v>99821</v>
      </c>
      <c r="GS3" s="105">
        <v>1683416</v>
      </c>
      <c r="GT3" s="105">
        <v>236782</v>
      </c>
      <c r="GU3" s="105">
        <v>63638</v>
      </c>
      <c r="GV3" s="105">
        <v>46377</v>
      </c>
      <c r="GW3" s="105">
        <v>321663</v>
      </c>
      <c r="GX3" s="105">
        <v>253184</v>
      </c>
      <c r="GY3" s="105">
        <v>921644</v>
      </c>
      <c r="GZ3" s="105">
        <v>281801</v>
      </c>
      <c r="HA3" s="105">
        <v>170618</v>
      </c>
      <c r="HB3" s="105">
        <v>55958</v>
      </c>
      <c r="HC3" s="105">
        <v>103500</v>
      </c>
      <c r="HD3" s="105">
        <v>4171</v>
      </c>
      <c r="HE3" s="105">
        <v>616048</v>
      </c>
      <c r="HF3" s="105">
        <v>7916</v>
      </c>
      <c r="HG3" s="105">
        <v>4838</v>
      </c>
      <c r="HH3" s="105">
        <v>5138</v>
      </c>
      <c r="HI3" s="105">
        <v>5962</v>
      </c>
      <c r="HJ3" s="105">
        <v>523643</v>
      </c>
      <c r="HK3" s="105">
        <v>547497</v>
      </c>
      <c r="HL3" s="105">
        <v>23448</v>
      </c>
      <c r="HM3" s="105">
        <v>23347</v>
      </c>
      <c r="HN3" s="105">
        <v>10490</v>
      </c>
      <c r="HO3" s="105">
        <v>309293</v>
      </c>
      <c r="HP3" s="105">
        <v>14865</v>
      </c>
      <c r="HQ3" s="105">
        <v>381443</v>
      </c>
      <c r="HR3" s="105">
        <v>500769</v>
      </c>
      <c r="HS3" s="105">
        <v>4541</v>
      </c>
      <c r="HT3" s="105">
        <v>9630</v>
      </c>
      <c r="HU3" s="105">
        <v>28119</v>
      </c>
      <c r="HV3" s="105">
        <v>1829064</v>
      </c>
      <c r="HW3" s="105">
        <v>2372123</v>
      </c>
      <c r="HX3" s="105">
        <v>0</v>
      </c>
      <c r="HY3" s="105">
        <v>0</v>
      </c>
      <c r="HZ3" s="105">
        <v>0</v>
      </c>
      <c r="IA3" s="105">
        <v>0</v>
      </c>
      <c r="IB3" s="105">
        <v>89081</v>
      </c>
      <c r="IC3" s="105">
        <v>89081</v>
      </c>
      <c r="ID3" s="97">
        <v>0</v>
      </c>
      <c r="IE3" s="97">
        <v>0</v>
      </c>
      <c r="IF3" s="97">
        <v>0</v>
      </c>
      <c r="IG3" s="97">
        <v>0</v>
      </c>
      <c r="IH3" s="97">
        <v>0</v>
      </c>
      <c r="II3" s="97">
        <v>0</v>
      </c>
      <c r="IJ3" s="105">
        <v>192</v>
      </c>
      <c r="IK3" s="105">
        <v>5154</v>
      </c>
      <c r="IL3" s="105">
        <v>1588</v>
      </c>
      <c r="IM3" s="105">
        <v>1411</v>
      </c>
      <c r="IN3" s="105">
        <v>518333</v>
      </c>
      <c r="IO3" s="105">
        <v>526678</v>
      </c>
      <c r="IP3" s="105">
        <v>1694</v>
      </c>
      <c r="IQ3" s="105">
        <v>1766</v>
      </c>
      <c r="IR3" s="105">
        <v>2928</v>
      </c>
      <c r="IS3" s="105">
        <v>15092</v>
      </c>
      <c r="IT3" s="105">
        <v>252497</v>
      </c>
      <c r="IU3" s="105">
        <v>273977</v>
      </c>
      <c r="IV3" s="105">
        <v>256568</v>
      </c>
      <c r="IW3" s="105">
        <v>113987</v>
      </c>
      <c r="IX3" s="105">
        <v>84121</v>
      </c>
      <c r="IY3" s="105">
        <v>281145</v>
      </c>
      <c r="IZ3" s="105">
        <v>1642025</v>
      </c>
      <c r="JA3" s="105">
        <v>2377846</v>
      </c>
      <c r="JB3" s="105">
        <v>6692963</v>
      </c>
      <c r="JC3" s="105">
        <v>2383720</v>
      </c>
      <c r="JD3" s="105">
        <v>1295052</v>
      </c>
      <c r="JE3" s="105">
        <v>7983759</v>
      </c>
      <c r="JF3" s="105">
        <v>8870236</v>
      </c>
      <c r="JG3" s="105">
        <v>27225730</v>
      </c>
      <c r="JH3" s="97">
        <v>0</v>
      </c>
      <c r="JI3" s="97">
        <v>0</v>
      </c>
      <c r="JJ3" s="97">
        <v>0</v>
      </c>
      <c r="JK3" s="97">
        <v>0</v>
      </c>
      <c r="JL3" s="97">
        <v>0</v>
      </c>
      <c r="JM3" s="97">
        <v>0</v>
      </c>
      <c r="JN3" s="105">
        <v>6692963</v>
      </c>
      <c r="JO3" s="105">
        <v>2383720</v>
      </c>
      <c r="JP3" s="105">
        <v>1295052</v>
      </c>
      <c r="JQ3" s="105">
        <v>7983759</v>
      </c>
      <c r="JR3" s="105">
        <v>8870236</v>
      </c>
      <c r="JS3" s="105">
        <v>27225730</v>
      </c>
      <c r="JU3" s="5">
        <f t="shared" ref="JU3:JU12" si="0">SUM(AZ3:BD3)</f>
        <v>1623296</v>
      </c>
      <c r="JV3" s="29">
        <f t="shared" ref="JV3:JV12" si="1">BE3-JU3</f>
        <v>0</v>
      </c>
      <c r="JW3" s="5">
        <f t="shared" ref="JW3:JW12" si="2">SUM(BF3:BJ3)</f>
        <v>17698300</v>
      </c>
      <c r="JX3" s="29">
        <f t="shared" ref="JX3:JX12" si="3">BK3-JW3</f>
        <v>0</v>
      </c>
      <c r="JY3" s="5">
        <f t="shared" ref="JY3:JY12" si="4">SUM(BL3:BP3)</f>
        <v>1441589</v>
      </c>
      <c r="JZ3" s="29">
        <f t="shared" ref="JZ3:JZ12" si="5">BQ3-JY3</f>
        <v>0</v>
      </c>
      <c r="KA3" s="5">
        <f t="shared" ref="KA3:KA12" si="6">SUM(BR3:BV3)</f>
        <v>1043294</v>
      </c>
      <c r="KB3" s="29">
        <f t="shared" ref="KB3:KB12" si="7">BW3-KA3</f>
        <v>0</v>
      </c>
      <c r="KC3" s="5">
        <f t="shared" ref="KC3:KC12" si="8">SUM(BX3:CB3)</f>
        <v>0</v>
      </c>
      <c r="KD3" s="29">
        <f t="shared" ref="KD3:KD12" si="9">CC3-KC3</f>
        <v>0</v>
      </c>
      <c r="KE3" s="5">
        <f t="shared" ref="KE3:KE12" si="10">SUM(CD3:CH3)</f>
        <v>15988</v>
      </c>
      <c r="KF3" s="29">
        <f t="shared" ref="KF3:KF12" si="11">CI3-KE3</f>
        <v>0</v>
      </c>
      <c r="KG3" s="5">
        <f t="shared" ref="KG3:KG12" si="12">SUM(CJ3:CN3)</f>
        <v>1631677</v>
      </c>
      <c r="KH3" s="29">
        <f t="shared" ref="KH3:KH12" si="13">CO3-KG3</f>
        <v>0</v>
      </c>
      <c r="KI3" s="5">
        <f t="shared" ref="KI3:KI12" si="14">SUM(CP3:CT3)</f>
        <v>0</v>
      </c>
      <c r="KJ3" s="29">
        <f t="shared" ref="KJ3:KJ12" si="15">CU3-KI3</f>
        <v>0</v>
      </c>
      <c r="KK3" s="5">
        <f t="shared" ref="KK3:KK12" si="16">SUM(CV3:CZ3)</f>
        <v>1470334</v>
      </c>
      <c r="KL3" s="29">
        <f t="shared" ref="KL3:KL12" si="17">DA3-KK3</f>
        <v>0</v>
      </c>
      <c r="KM3" s="5">
        <f t="shared" ref="KM3:KM12" si="18">SUM(DB3:DF3)</f>
        <v>0</v>
      </c>
      <c r="KN3" s="29">
        <f t="shared" ref="KN3:KN12" si="19">DG3-KM3</f>
        <v>0</v>
      </c>
      <c r="KO3" s="5">
        <f t="shared" ref="KO3:KO12" si="20">SUM(DH3:DL3)</f>
        <v>114752</v>
      </c>
      <c r="KP3" s="29">
        <f t="shared" ref="KP3:KP12" si="21">DM3-KO3</f>
        <v>0</v>
      </c>
      <c r="KQ3" s="5">
        <f t="shared" ref="KQ3:KQ12" si="22">SUM(DN3:DR3)</f>
        <v>639079</v>
      </c>
      <c r="KR3" s="29">
        <f t="shared" ref="KR3:KR12" si="23">DS3-KQ3</f>
        <v>0</v>
      </c>
      <c r="KS3" s="5">
        <f t="shared" ref="KS3:KS12" si="24">SUM(DT3:DX3)</f>
        <v>777823</v>
      </c>
      <c r="KT3" s="29">
        <f t="shared" ref="KT3:KT12" si="25">DY3-KS3</f>
        <v>0</v>
      </c>
      <c r="KU3" s="5">
        <f t="shared" ref="KU3:KU12" si="26">SUM(DZ3:ED3)</f>
        <v>216193</v>
      </c>
      <c r="KV3" s="29">
        <f t="shared" ref="KV3:KV12" si="27">EE3-KU3</f>
        <v>0</v>
      </c>
      <c r="KW3" s="5">
        <f t="shared" ref="KW3:KW12" si="28">SUM(EF3:EJ3)</f>
        <v>545148</v>
      </c>
      <c r="KX3" s="29">
        <f t="shared" ref="KX3:KX12" si="29">EK3-KW3</f>
        <v>0</v>
      </c>
      <c r="KY3" s="5">
        <f t="shared" ref="KY3:KY12" si="30">SUM(EL3:EP3)</f>
        <v>27217473</v>
      </c>
      <c r="KZ3" s="29">
        <f t="shared" ref="KZ3:KZ12" si="31">EQ3-KY3</f>
        <v>0</v>
      </c>
      <c r="LA3" s="5">
        <f t="shared" ref="LA3:LA12" si="32">SUM(ER3:EV3)</f>
        <v>6104814</v>
      </c>
      <c r="LB3" s="29">
        <f t="shared" ref="LB3:LB12" si="33">EW3-LA3</f>
        <v>0</v>
      </c>
      <c r="LC3" s="5">
        <f t="shared" ref="LC3:LC12" si="34">SUM(EX3:FB3)</f>
        <v>723120</v>
      </c>
      <c r="LD3" s="29">
        <f t="shared" ref="LD3:LD12" si="35">FC3-LC3</f>
        <v>0</v>
      </c>
      <c r="LE3" s="5">
        <f t="shared" ref="LE3:LE12" si="36">SUM(FD3:FH3)</f>
        <v>5700372</v>
      </c>
      <c r="LF3" s="29">
        <f t="shared" ref="LF3:LF12" si="37">FI3-LE3</f>
        <v>0</v>
      </c>
      <c r="LG3" s="5">
        <f t="shared" ref="LG3:LG12" si="38">SUM(FJ3:FN3)</f>
        <v>0</v>
      </c>
      <c r="LH3" s="29">
        <f t="shared" ref="LH3:LH12" si="39">FO3-LG3</f>
        <v>0</v>
      </c>
      <c r="LI3" s="5">
        <f t="shared" ref="LI3:LI12" si="40">SUM(FP3:FT3)</f>
        <v>4475131</v>
      </c>
      <c r="LJ3" s="29">
        <f t="shared" ref="LJ3:LJ12" si="41">FU3-LI3</f>
        <v>0</v>
      </c>
      <c r="LK3" s="5">
        <f t="shared" ref="LK3:LK12" si="42">SUM(FV3:FZ3)</f>
        <v>0</v>
      </c>
      <c r="LL3" s="29">
        <f t="shared" ref="LL3:LL12" si="43">GA3-LK3</f>
        <v>0</v>
      </c>
      <c r="LM3" s="5">
        <f t="shared" ref="LM3:LM12" si="44">SUM(GB3:GF3)</f>
        <v>0</v>
      </c>
      <c r="LN3" s="29">
        <f t="shared" ref="LN3:LN12" si="45">GG3-LM3</f>
        <v>0</v>
      </c>
      <c r="LO3" s="5">
        <f t="shared" ref="LO3:LO12" si="46">SUM(GH3:GL3)</f>
        <v>432540</v>
      </c>
      <c r="LP3" s="29">
        <f t="shared" ref="LP3:LP12" si="47">GM3-LO3</f>
        <v>0</v>
      </c>
      <c r="LQ3" s="5">
        <f t="shared" ref="LQ3:LQ12" si="48">SUM(GN3:GR3)</f>
        <v>1683416</v>
      </c>
      <c r="LR3" s="29">
        <f t="shared" ref="LR3:LR12" si="49">GS3-LQ3</f>
        <v>0</v>
      </c>
      <c r="LS3" s="5">
        <f t="shared" ref="LS3:LS12" si="50">SUM(GT3:GX3)</f>
        <v>921644</v>
      </c>
      <c r="LT3" s="29">
        <f t="shared" ref="LT3:LT12" si="51">GY3-LS3</f>
        <v>0</v>
      </c>
      <c r="LU3" s="5">
        <f t="shared" ref="LU3:LU12" si="52">SUM(GZ3:HD3)</f>
        <v>616048</v>
      </c>
      <c r="LV3" s="29">
        <f t="shared" ref="LV3:LV12" si="53">HE3-LU3</f>
        <v>0</v>
      </c>
      <c r="LW3" s="5">
        <f t="shared" ref="LW3:LW12" si="54">SUM(HF3:HJ3)</f>
        <v>547497</v>
      </c>
      <c r="LX3" s="29">
        <f t="shared" ref="LX3:LX12" si="55">HK3-LW3</f>
        <v>0</v>
      </c>
      <c r="LY3" s="5">
        <f t="shared" ref="LY3:LY12" si="56">SUM(HL3:HP3)</f>
        <v>381443</v>
      </c>
      <c r="LZ3" s="29">
        <f t="shared" ref="LZ3:LZ12" si="57">HQ3-LY3</f>
        <v>0</v>
      </c>
      <c r="MA3" s="5">
        <f t="shared" ref="MA3:MA12" si="58">SUM(HR3:HV3)</f>
        <v>2372123</v>
      </c>
      <c r="MB3" s="29">
        <f t="shared" ref="MB3:MB12" si="59">HW3-MA3</f>
        <v>0</v>
      </c>
      <c r="MC3" s="5">
        <f t="shared" ref="MC3:MC12" si="60">SUM(HX3:IB3)</f>
        <v>89081</v>
      </c>
      <c r="MD3" s="29">
        <f t="shared" ref="MD3:MD12" si="61">IC3-MC3</f>
        <v>0</v>
      </c>
      <c r="ME3" s="5">
        <f t="shared" ref="ME3:ME12" si="62">SUM(ID3:IH3)</f>
        <v>0</v>
      </c>
      <c r="MF3" s="29">
        <f t="shared" ref="MF3:MF12" si="63">II3-ME3</f>
        <v>0</v>
      </c>
      <c r="MG3" s="5">
        <f t="shared" ref="MG3:MG12" si="64">SUM(IJ3:IN3)</f>
        <v>526678</v>
      </c>
      <c r="MH3" s="29">
        <f t="shared" ref="MH3:MH12" si="65">IO3-MG3</f>
        <v>0</v>
      </c>
      <c r="MI3" s="5">
        <f t="shared" ref="MI3:MI12" si="66">SUM(IP3:IT3)</f>
        <v>273977</v>
      </c>
      <c r="MJ3" s="29">
        <f t="shared" ref="MJ3:MJ12" si="67">IU3-MI3</f>
        <v>0</v>
      </c>
      <c r="MK3" s="5">
        <f t="shared" ref="MK3:MK12" si="68">SUM(IV3:IZ3)</f>
        <v>2377846</v>
      </c>
      <c r="ML3" s="29">
        <f t="shared" ref="ML3:ML12" si="69">JA3-MK3</f>
        <v>0</v>
      </c>
      <c r="MM3" s="5">
        <f t="shared" ref="MM3:MM12" si="70">SUM(JB3:JF3)</f>
        <v>27225730</v>
      </c>
      <c r="MN3" s="29">
        <f t="shared" ref="MN3:MN12" si="71">JG3-MM3</f>
        <v>0</v>
      </c>
      <c r="MO3" s="5">
        <f t="shared" ref="MO3:MO12" si="72">SUM(JH3:JL3)</f>
        <v>0</v>
      </c>
      <c r="MP3" s="29">
        <f t="shared" ref="MP3:MP12" si="73">JM3-MO3</f>
        <v>0</v>
      </c>
      <c r="MQ3" s="5">
        <f>SUM(JN3:JR3)</f>
        <v>27225730</v>
      </c>
      <c r="MR3" s="29">
        <f>JS3-MQ3</f>
        <v>0</v>
      </c>
      <c r="MT3" s="5">
        <f>SUM(JV3,JX3,JZ3,KD3,KF3,KH3,KJ3,KL3,KN3,KP3,KR3,KT3,KV3,KX3,KZ3,LB3,LD3,LF3,LJ3,LL3,LN3,LP3,LR3,LT3,LV3,LX3,LZ3,MB3,MD3,MF3,MH3,MJ3,ML3,MN3,MP3,MR3)</f>
        <v>0</v>
      </c>
      <c r="MV3" s="4">
        <f>IF(MT3=0,0,1)</f>
        <v>0</v>
      </c>
    </row>
    <row r="4" spans="1:360" x14ac:dyDescent="0.15">
      <c r="A4" s="155" t="s">
        <v>416</v>
      </c>
      <c r="B4" s="28" t="s">
        <v>466</v>
      </c>
      <c r="C4" s="47">
        <v>100751</v>
      </c>
      <c r="D4" s="48">
        <v>2012</v>
      </c>
      <c r="E4" s="49">
        <v>1</v>
      </c>
      <c r="F4" s="49">
        <v>5</v>
      </c>
      <c r="G4" s="50">
        <v>12275</v>
      </c>
      <c r="H4" s="50">
        <v>13959</v>
      </c>
      <c r="I4" s="51">
        <v>758226578</v>
      </c>
      <c r="J4" s="51"/>
      <c r="K4" s="51">
        <v>13443210</v>
      </c>
      <c r="L4" s="51"/>
      <c r="M4" s="51">
        <v>54096080</v>
      </c>
      <c r="N4" s="51"/>
      <c r="O4" s="51">
        <v>204745518</v>
      </c>
      <c r="P4" s="51"/>
      <c r="Q4" s="51">
        <v>669328631</v>
      </c>
      <c r="R4" s="51"/>
      <c r="S4" s="52">
        <v>514904828</v>
      </c>
      <c r="T4" s="52"/>
      <c r="U4" s="52">
        <v>20511</v>
      </c>
      <c r="V4" s="52"/>
      <c r="W4" s="52">
        <v>33811</v>
      </c>
      <c r="X4" s="52"/>
      <c r="Y4" s="52">
        <v>24669</v>
      </c>
      <c r="Z4" s="52"/>
      <c r="AA4" s="52">
        <v>38979</v>
      </c>
      <c r="AB4" s="49"/>
      <c r="AC4" s="72">
        <v>9</v>
      </c>
      <c r="AD4" s="72">
        <v>12</v>
      </c>
      <c r="AE4" s="72">
        <v>0</v>
      </c>
      <c r="AF4" s="29">
        <v>5604727</v>
      </c>
      <c r="AG4" s="29">
        <v>4865199</v>
      </c>
      <c r="AH4" s="29">
        <v>1402041</v>
      </c>
      <c r="AI4" s="29">
        <v>382563</v>
      </c>
      <c r="AJ4" s="29">
        <v>1437346.83</v>
      </c>
      <c r="AK4" s="73">
        <v>6</v>
      </c>
      <c r="AL4" s="29">
        <v>1232011.57</v>
      </c>
      <c r="AM4" s="73">
        <v>7</v>
      </c>
      <c r="AN4" s="29">
        <v>247270.44</v>
      </c>
      <c r="AO4" s="73">
        <v>9</v>
      </c>
      <c r="AP4" s="29">
        <v>222543.4</v>
      </c>
      <c r="AQ4" s="73">
        <v>10</v>
      </c>
      <c r="AR4" s="29">
        <v>319854.83</v>
      </c>
      <c r="AS4" s="73">
        <v>20.5</v>
      </c>
      <c r="AT4" s="29">
        <v>262280.96000000002</v>
      </c>
      <c r="AU4" s="73">
        <v>25</v>
      </c>
      <c r="AV4" s="29">
        <v>98005.03</v>
      </c>
      <c r="AW4" s="73">
        <v>19.5</v>
      </c>
      <c r="AX4" s="29">
        <v>79629.08</v>
      </c>
      <c r="AY4" s="73">
        <v>24</v>
      </c>
      <c r="AZ4" s="97">
        <v>30294245</v>
      </c>
      <c r="BA4" s="97">
        <v>1874509</v>
      </c>
      <c r="BB4" s="97">
        <v>27128</v>
      </c>
      <c r="BC4" s="97">
        <v>847371</v>
      </c>
      <c r="BD4" s="97">
        <v>0</v>
      </c>
      <c r="BE4" s="97">
        <v>33043253</v>
      </c>
      <c r="BF4" s="97">
        <v>0</v>
      </c>
      <c r="BG4" s="97">
        <v>0</v>
      </c>
      <c r="BH4" s="97">
        <v>0</v>
      </c>
      <c r="BI4" s="97">
        <v>0</v>
      </c>
      <c r="BJ4" s="97">
        <v>0</v>
      </c>
      <c r="BK4" s="97">
        <v>0</v>
      </c>
      <c r="BL4" s="97">
        <v>700000</v>
      </c>
      <c r="BM4" s="97">
        <v>0</v>
      </c>
      <c r="BN4" s="97">
        <v>0</v>
      </c>
      <c r="BO4" s="97">
        <v>37575</v>
      </c>
      <c r="BP4" s="97">
        <v>0</v>
      </c>
      <c r="BQ4" s="97">
        <v>737575</v>
      </c>
      <c r="BR4" s="97">
        <v>18679937</v>
      </c>
      <c r="BS4" s="97">
        <v>645136</v>
      </c>
      <c r="BT4" s="97">
        <v>0</v>
      </c>
      <c r="BU4" s="97">
        <v>469636</v>
      </c>
      <c r="BV4" s="97">
        <v>10595889</v>
      </c>
      <c r="BW4" s="97">
        <v>30390598</v>
      </c>
      <c r="BX4" s="97">
        <v>190041</v>
      </c>
      <c r="BY4" s="97">
        <v>36725</v>
      </c>
      <c r="BZ4" s="97">
        <v>2700</v>
      </c>
      <c r="CA4" s="97">
        <v>153346</v>
      </c>
      <c r="CB4" s="97">
        <v>77800</v>
      </c>
      <c r="CC4" s="97">
        <v>460612</v>
      </c>
      <c r="CD4" s="97">
        <v>0</v>
      </c>
      <c r="CE4" s="97">
        <v>0</v>
      </c>
      <c r="CF4" s="97">
        <v>0</v>
      </c>
      <c r="CG4" s="97">
        <v>0</v>
      </c>
      <c r="CH4" s="97">
        <v>0</v>
      </c>
      <c r="CI4" s="97">
        <v>0</v>
      </c>
      <c r="CJ4" s="97">
        <v>0</v>
      </c>
      <c r="CK4" s="97">
        <v>0</v>
      </c>
      <c r="CL4" s="97">
        <v>357078</v>
      </c>
      <c r="CM4" s="97">
        <v>5104122</v>
      </c>
      <c r="CN4" s="97">
        <v>0</v>
      </c>
      <c r="CO4" s="97">
        <v>5461200</v>
      </c>
      <c r="CP4" s="97">
        <v>0</v>
      </c>
      <c r="CQ4" s="97">
        <v>0</v>
      </c>
      <c r="CR4" s="97">
        <v>0</v>
      </c>
      <c r="CS4" s="97">
        <v>0</v>
      </c>
      <c r="CT4" s="97">
        <v>0</v>
      </c>
      <c r="CU4" s="97">
        <v>0</v>
      </c>
      <c r="CV4" s="97">
        <v>15788146</v>
      </c>
      <c r="CW4" s="97">
        <v>5178905</v>
      </c>
      <c r="CX4" s="97">
        <v>20172</v>
      </c>
      <c r="CY4" s="97">
        <v>34560</v>
      </c>
      <c r="CZ4" s="97">
        <v>1560203</v>
      </c>
      <c r="DA4" s="97">
        <v>22581986</v>
      </c>
      <c r="DB4" s="97">
        <v>6605465</v>
      </c>
      <c r="DC4" s="97">
        <v>3253438</v>
      </c>
      <c r="DD4" s="97">
        <v>0</v>
      </c>
      <c r="DE4" s="97">
        <v>0</v>
      </c>
      <c r="DF4" s="97">
        <v>96066</v>
      </c>
      <c r="DG4" s="97">
        <v>9954969</v>
      </c>
      <c r="DH4" s="97">
        <v>70645</v>
      </c>
      <c r="DI4" s="97">
        <v>50</v>
      </c>
      <c r="DJ4" s="97">
        <v>25</v>
      </c>
      <c r="DK4" s="97">
        <v>15</v>
      </c>
      <c r="DL4" s="97">
        <v>0</v>
      </c>
      <c r="DM4" s="97">
        <v>70735</v>
      </c>
      <c r="DN4" s="97">
        <v>1302500</v>
      </c>
      <c r="DO4" s="97">
        <v>327500</v>
      </c>
      <c r="DP4" s="97">
        <v>80000</v>
      </c>
      <c r="DQ4" s="97">
        <v>369068</v>
      </c>
      <c r="DR4" s="97">
        <v>7910715</v>
      </c>
      <c r="DS4" s="97">
        <v>9989783</v>
      </c>
      <c r="DT4" s="97">
        <v>603200</v>
      </c>
      <c r="DU4" s="97">
        <v>0</v>
      </c>
      <c r="DV4" s="97">
        <v>695</v>
      </c>
      <c r="DW4" s="97">
        <v>41420</v>
      </c>
      <c r="DX4" s="97">
        <v>1072951</v>
      </c>
      <c r="DY4" s="98">
        <v>1718266</v>
      </c>
      <c r="DZ4" s="97">
        <v>267427</v>
      </c>
      <c r="EA4" s="97">
        <v>15056</v>
      </c>
      <c r="EB4" s="97">
        <v>5543</v>
      </c>
      <c r="EC4" s="97">
        <v>86889</v>
      </c>
      <c r="ED4" s="97">
        <v>23744</v>
      </c>
      <c r="EE4" s="97">
        <v>398659</v>
      </c>
      <c r="EF4" s="97">
        <v>7801250</v>
      </c>
      <c r="EG4" s="97">
        <v>618943</v>
      </c>
      <c r="EH4" s="97">
        <v>402</v>
      </c>
      <c r="EI4" s="97">
        <v>304300</v>
      </c>
      <c r="EJ4" s="97">
        <v>1367414</v>
      </c>
      <c r="EK4" s="97">
        <v>10092309</v>
      </c>
      <c r="EL4" s="97">
        <v>82302856</v>
      </c>
      <c r="EM4" s="97">
        <v>11950262</v>
      </c>
      <c r="EN4" s="97">
        <v>493743</v>
      </c>
      <c r="EO4" s="97">
        <v>7448302</v>
      </c>
      <c r="EP4" s="97">
        <v>22704782</v>
      </c>
      <c r="EQ4" s="97">
        <v>124899945</v>
      </c>
      <c r="ER4" s="97">
        <v>3458357</v>
      </c>
      <c r="ES4" s="97">
        <v>495079</v>
      </c>
      <c r="ET4" s="97">
        <v>529072</v>
      </c>
      <c r="EU4" s="97">
        <v>5987418</v>
      </c>
      <c r="EV4" s="97">
        <v>2070066</v>
      </c>
      <c r="EW4" s="97">
        <v>12539992</v>
      </c>
      <c r="EX4" s="97">
        <v>2850000</v>
      </c>
      <c r="EY4" s="97">
        <v>455000</v>
      </c>
      <c r="EZ4" s="97">
        <v>75000</v>
      </c>
      <c r="FA4" s="97">
        <v>38691</v>
      </c>
      <c r="FB4" s="97">
        <v>0</v>
      </c>
      <c r="FC4" s="97">
        <v>3418691</v>
      </c>
      <c r="FD4" s="97">
        <v>10678891</v>
      </c>
      <c r="FE4" s="97">
        <v>2705771</v>
      </c>
      <c r="FF4" s="97">
        <v>786190</v>
      </c>
      <c r="FG4" s="97">
        <v>5146785</v>
      </c>
      <c r="FH4" s="97">
        <v>0</v>
      </c>
      <c r="FI4" s="97">
        <v>19317637</v>
      </c>
      <c r="FJ4" s="97">
        <v>180921</v>
      </c>
      <c r="FK4" s="97">
        <v>36725</v>
      </c>
      <c r="FL4" s="97">
        <v>2700</v>
      </c>
      <c r="FM4" s="97">
        <v>149796</v>
      </c>
      <c r="FN4" s="97">
        <v>0</v>
      </c>
      <c r="FO4" s="97">
        <v>370142</v>
      </c>
      <c r="FP4" s="97">
        <v>2242383</v>
      </c>
      <c r="FQ4" s="97">
        <v>272633</v>
      </c>
      <c r="FR4" s="97">
        <v>202486</v>
      </c>
      <c r="FS4" s="97">
        <v>537857</v>
      </c>
      <c r="FT4" s="97">
        <v>16280591</v>
      </c>
      <c r="FU4" s="97">
        <v>19535950</v>
      </c>
      <c r="FV4" s="97">
        <v>9120</v>
      </c>
      <c r="FW4" s="97">
        <v>0</v>
      </c>
      <c r="FX4" s="97">
        <v>0</v>
      </c>
      <c r="FY4" s="97">
        <v>3550</v>
      </c>
      <c r="FZ4" s="97">
        <v>77800</v>
      </c>
      <c r="GA4" s="97">
        <v>90470</v>
      </c>
      <c r="GB4" s="97">
        <v>381231</v>
      </c>
      <c r="GC4" s="97">
        <v>2695</v>
      </c>
      <c r="GD4" s="97">
        <v>44055</v>
      </c>
      <c r="GE4" s="97">
        <v>69488</v>
      </c>
      <c r="GF4" s="97">
        <v>135959</v>
      </c>
      <c r="GG4" s="97">
        <v>633428</v>
      </c>
      <c r="GH4" s="97">
        <v>930997</v>
      </c>
      <c r="GI4" s="97">
        <v>263266</v>
      </c>
      <c r="GJ4" s="97">
        <v>66162</v>
      </c>
      <c r="GK4" s="97">
        <v>524179</v>
      </c>
      <c r="GL4" s="97">
        <v>0</v>
      </c>
      <c r="GM4" s="97">
        <v>1784604</v>
      </c>
      <c r="GN4" s="97">
        <v>2097022</v>
      </c>
      <c r="GO4" s="97">
        <v>631697</v>
      </c>
      <c r="GP4" s="97">
        <v>517669</v>
      </c>
      <c r="GQ4" s="97">
        <v>2235360</v>
      </c>
      <c r="GR4" s="97">
        <v>0</v>
      </c>
      <c r="GS4" s="97">
        <v>5481748</v>
      </c>
      <c r="GT4" s="97">
        <v>1284943</v>
      </c>
      <c r="GU4" s="97">
        <v>180351</v>
      </c>
      <c r="GV4" s="97">
        <v>142355</v>
      </c>
      <c r="GW4" s="97">
        <v>968200</v>
      </c>
      <c r="GX4" s="97">
        <v>0</v>
      </c>
      <c r="GY4" s="97">
        <v>2575849</v>
      </c>
      <c r="GZ4" s="97">
        <v>2194743</v>
      </c>
      <c r="HA4" s="97">
        <v>266345</v>
      </c>
      <c r="HB4" s="97">
        <v>146590</v>
      </c>
      <c r="HC4" s="97">
        <v>591334</v>
      </c>
      <c r="HD4" s="97">
        <v>0</v>
      </c>
      <c r="HE4" s="97">
        <v>3199012</v>
      </c>
      <c r="HF4" s="97">
        <v>3957331</v>
      </c>
      <c r="HG4" s="97">
        <v>196968</v>
      </c>
      <c r="HH4" s="97">
        <v>29449</v>
      </c>
      <c r="HI4" s="97">
        <v>216199</v>
      </c>
      <c r="HJ4" s="97">
        <v>1511167</v>
      </c>
      <c r="HK4" s="97">
        <v>5911114</v>
      </c>
      <c r="HL4" s="97">
        <v>431404</v>
      </c>
      <c r="HM4" s="97">
        <v>0</v>
      </c>
      <c r="HN4" s="97">
        <v>56693</v>
      </c>
      <c r="HO4" s="97">
        <v>25496</v>
      </c>
      <c r="HP4" s="97">
        <v>611872</v>
      </c>
      <c r="HQ4" s="97">
        <v>1125465</v>
      </c>
      <c r="HR4" s="97">
        <v>2548861</v>
      </c>
      <c r="HS4" s="97">
        <v>187277</v>
      </c>
      <c r="HT4" s="97">
        <v>24703</v>
      </c>
      <c r="HU4" s="97">
        <v>450994</v>
      </c>
      <c r="HV4" s="97">
        <v>18307237</v>
      </c>
      <c r="HW4" s="97">
        <v>21519072</v>
      </c>
      <c r="HX4" s="97">
        <v>254451</v>
      </c>
      <c r="HY4" s="97">
        <v>123567</v>
      </c>
      <c r="HZ4" s="97">
        <v>67104</v>
      </c>
      <c r="IA4" s="97">
        <v>113596</v>
      </c>
      <c r="IB4" s="97">
        <v>0</v>
      </c>
      <c r="IC4" s="97">
        <v>558718</v>
      </c>
      <c r="ID4" s="97">
        <v>0</v>
      </c>
      <c r="IE4" s="97">
        <v>0</v>
      </c>
      <c r="IF4" s="97">
        <v>0</v>
      </c>
      <c r="IG4" s="97">
        <v>0</v>
      </c>
      <c r="IH4" s="97">
        <v>0</v>
      </c>
      <c r="II4" s="97">
        <v>0</v>
      </c>
      <c r="IJ4" s="97">
        <v>1450572</v>
      </c>
      <c r="IK4" s="97">
        <v>71525</v>
      </c>
      <c r="IL4" s="97">
        <v>91507</v>
      </c>
      <c r="IM4" s="97">
        <v>860501</v>
      </c>
      <c r="IN4" s="97">
        <v>0</v>
      </c>
      <c r="IO4" s="97">
        <v>2474105</v>
      </c>
      <c r="IP4" s="97">
        <v>3118</v>
      </c>
      <c r="IQ4" s="97">
        <v>795</v>
      </c>
      <c r="IR4" s="97">
        <v>853</v>
      </c>
      <c r="IS4" s="97">
        <v>9477</v>
      </c>
      <c r="IT4" s="97">
        <v>94417</v>
      </c>
      <c r="IU4" s="97">
        <v>108660</v>
      </c>
      <c r="IV4" s="97">
        <v>2820041</v>
      </c>
      <c r="IW4" s="97">
        <v>308760</v>
      </c>
      <c r="IX4" s="97">
        <v>118383</v>
      </c>
      <c r="IY4" s="97">
        <v>794214</v>
      </c>
      <c r="IZ4" s="97">
        <v>3518812</v>
      </c>
      <c r="JA4" s="97">
        <v>7560210</v>
      </c>
      <c r="JB4" s="97">
        <v>37774386</v>
      </c>
      <c r="JC4" s="97">
        <v>6198454</v>
      </c>
      <c r="JD4" s="97">
        <v>2900971</v>
      </c>
      <c r="JE4" s="97">
        <v>18723135</v>
      </c>
      <c r="JF4" s="97">
        <v>42607921</v>
      </c>
      <c r="JG4" s="97">
        <v>108204867</v>
      </c>
      <c r="JH4" s="97">
        <v>0</v>
      </c>
      <c r="JI4" s="97">
        <v>0</v>
      </c>
      <c r="JJ4" s="97">
        <v>0</v>
      </c>
      <c r="JK4" s="97">
        <v>0</v>
      </c>
      <c r="JL4" s="97">
        <v>4364451</v>
      </c>
      <c r="JM4" s="97">
        <v>4364451</v>
      </c>
      <c r="JN4" s="97">
        <v>37774386</v>
      </c>
      <c r="JO4" s="97">
        <v>6198454</v>
      </c>
      <c r="JP4" s="97">
        <v>2900971</v>
      </c>
      <c r="JQ4" s="97">
        <v>18723135</v>
      </c>
      <c r="JR4" s="97">
        <v>46972372</v>
      </c>
      <c r="JS4" s="97">
        <v>112569318</v>
      </c>
      <c r="JU4" s="5">
        <f t="shared" si="0"/>
        <v>33043253</v>
      </c>
      <c r="JV4" s="29">
        <f t="shared" si="1"/>
        <v>0</v>
      </c>
      <c r="JW4" s="5">
        <f t="shared" si="2"/>
        <v>0</v>
      </c>
      <c r="JX4" s="29">
        <f t="shared" si="3"/>
        <v>0</v>
      </c>
      <c r="JY4" s="5">
        <f t="shared" si="4"/>
        <v>737575</v>
      </c>
      <c r="JZ4" s="29">
        <f t="shared" si="5"/>
        <v>0</v>
      </c>
      <c r="KA4" s="5">
        <f t="shared" si="6"/>
        <v>30390598</v>
      </c>
      <c r="KB4" s="29">
        <f t="shared" si="7"/>
        <v>0</v>
      </c>
      <c r="KC4" s="5">
        <f t="shared" si="8"/>
        <v>460612</v>
      </c>
      <c r="KD4" s="29">
        <f t="shared" si="9"/>
        <v>0</v>
      </c>
      <c r="KE4" s="5">
        <f t="shared" si="10"/>
        <v>0</v>
      </c>
      <c r="KF4" s="29">
        <f t="shared" si="11"/>
        <v>0</v>
      </c>
      <c r="KG4" s="5">
        <f t="shared" si="12"/>
        <v>5461200</v>
      </c>
      <c r="KH4" s="29">
        <f t="shared" si="13"/>
        <v>0</v>
      </c>
      <c r="KI4" s="5">
        <f t="shared" si="14"/>
        <v>0</v>
      </c>
      <c r="KJ4" s="29">
        <f t="shared" si="15"/>
        <v>0</v>
      </c>
      <c r="KK4" s="5">
        <f t="shared" si="16"/>
        <v>22581986</v>
      </c>
      <c r="KL4" s="29">
        <f t="shared" si="17"/>
        <v>0</v>
      </c>
      <c r="KM4" s="5">
        <f t="shared" si="18"/>
        <v>9954969</v>
      </c>
      <c r="KN4" s="29">
        <f t="shared" si="19"/>
        <v>0</v>
      </c>
      <c r="KO4" s="5">
        <f t="shared" si="20"/>
        <v>70735</v>
      </c>
      <c r="KP4" s="29">
        <f t="shared" si="21"/>
        <v>0</v>
      </c>
      <c r="KQ4" s="5">
        <f t="shared" si="22"/>
        <v>9989783</v>
      </c>
      <c r="KR4" s="29">
        <f t="shared" si="23"/>
        <v>0</v>
      </c>
      <c r="KS4" s="5">
        <f t="shared" si="24"/>
        <v>1718266</v>
      </c>
      <c r="KT4" s="29">
        <f t="shared" si="25"/>
        <v>0</v>
      </c>
      <c r="KU4" s="5">
        <f t="shared" si="26"/>
        <v>398659</v>
      </c>
      <c r="KV4" s="29">
        <f t="shared" si="27"/>
        <v>0</v>
      </c>
      <c r="KW4" s="5">
        <f t="shared" si="28"/>
        <v>10092309</v>
      </c>
      <c r="KX4" s="29">
        <f t="shared" si="29"/>
        <v>0</v>
      </c>
      <c r="KY4" s="5">
        <f t="shared" si="30"/>
        <v>124899945</v>
      </c>
      <c r="KZ4" s="29">
        <f t="shared" si="31"/>
        <v>0</v>
      </c>
      <c r="LA4" s="5">
        <f t="shared" si="32"/>
        <v>12539992</v>
      </c>
      <c r="LB4" s="29">
        <f t="shared" si="33"/>
        <v>0</v>
      </c>
      <c r="LC4" s="5">
        <f t="shared" si="34"/>
        <v>3418691</v>
      </c>
      <c r="LD4" s="29">
        <f t="shared" si="35"/>
        <v>0</v>
      </c>
      <c r="LE4" s="5">
        <f t="shared" si="36"/>
        <v>19317637</v>
      </c>
      <c r="LF4" s="29">
        <f t="shared" si="37"/>
        <v>0</v>
      </c>
      <c r="LG4" s="5">
        <f t="shared" si="38"/>
        <v>370142</v>
      </c>
      <c r="LH4" s="29">
        <f t="shared" si="39"/>
        <v>0</v>
      </c>
      <c r="LI4" s="5">
        <f t="shared" si="40"/>
        <v>19535950</v>
      </c>
      <c r="LJ4" s="29">
        <f t="shared" si="41"/>
        <v>0</v>
      </c>
      <c r="LK4" s="5">
        <f t="shared" si="42"/>
        <v>90470</v>
      </c>
      <c r="LL4" s="29">
        <f t="shared" si="43"/>
        <v>0</v>
      </c>
      <c r="LM4" s="5">
        <f t="shared" si="44"/>
        <v>633428</v>
      </c>
      <c r="LN4" s="29">
        <f t="shared" si="45"/>
        <v>0</v>
      </c>
      <c r="LO4" s="5">
        <f t="shared" si="46"/>
        <v>1784604</v>
      </c>
      <c r="LP4" s="29">
        <f t="shared" si="47"/>
        <v>0</v>
      </c>
      <c r="LQ4" s="5">
        <f t="shared" si="48"/>
        <v>5481748</v>
      </c>
      <c r="LR4" s="29">
        <f t="shared" si="49"/>
        <v>0</v>
      </c>
      <c r="LS4" s="5">
        <f t="shared" si="50"/>
        <v>2575849</v>
      </c>
      <c r="LT4" s="29">
        <f t="shared" si="51"/>
        <v>0</v>
      </c>
      <c r="LU4" s="5">
        <f t="shared" si="52"/>
        <v>3199012</v>
      </c>
      <c r="LV4" s="29">
        <f t="shared" si="53"/>
        <v>0</v>
      </c>
      <c r="LW4" s="5">
        <f t="shared" si="54"/>
        <v>5911114</v>
      </c>
      <c r="LX4" s="29">
        <f t="shared" si="55"/>
        <v>0</v>
      </c>
      <c r="LY4" s="5">
        <f t="shared" si="56"/>
        <v>1125465</v>
      </c>
      <c r="LZ4" s="29">
        <f t="shared" si="57"/>
        <v>0</v>
      </c>
      <c r="MA4" s="5">
        <f t="shared" si="58"/>
        <v>21519072</v>
      </c>
      <c r="MB4" s="29">
        <f t="shared" si="59"/>
        <v>0</v>
      </c>
      <c r="MC4" s="5">
        <f t="shared" si="60"/>
        <v>558718</v>
      </c>
      <c r="MD4" s="29">
        <f t="shared" si="61"/>
        <v>0</v>
      </c>
      <c r="ME4" s="5">
        <f t="shared" si="62"/>
        <v>0</v>
      </c>
      <c r="MF4" s="29">
        <f t="shared" si="63"/>
        <v>0</v>
      </c>
      <c r="MG4" s="5">
        <f t="shared" si="64"/>
        <v>2474105</v>
      </c>
      <c r="MH4" s="29">
        <f t="shared" si="65"/>
        <v>0</v>
      </c>
      <c r="MI4" s="5">
        <f t="shared" si="66"/>
        <v>108660</v>
      </c>
      <c r="MJ4" s="29">
        <f t="shared" si="67"/>
        <v>0</v>
      </c>
      <c r="MK4" s="5">
        <f t="shared" si="68"/>
        <v>7560210</v>
      </c>
      <c r="ML4" s="29">
        <f t="shared" si="69"/>
        <v>0</v>
      </c>
      <c r="MM4" s="5">
        <f t="shared" si="70"/>
        <v>108204867</v>
      </c>
      <c r="MN4" s="29">
        <f t="shared" si="71"/>
        <v>0</v>
      </c>
      <c r="MO4" s="5">
        <f t="shared" si="72"/>
        <v>4364451</v>
      </c>
      <c r="MP4" s="29">
        <f t="shared" si="73"/>
        <v>0</v>
      </c>
      <c r="MQ4" s="5">
        <f t="shared" ref="MQ4:MQ12" si="74">SUM(JN4:JR4)</f>
        <v>112569318</v>
      </c>
      <c r="MR4" s="29">
        <f t="shared" ref="MR4:MR12" si="75">JS4-MQ4</f>
        <v>0</v>
      </c>
      <c r="MT4" s="5">
        <f t="shared" ref="MT4:MT65" si="76">SUM(JV4,JX4,JZ4,KD4,KF4,KH4,KJ4,KL4,KN4,KP4,KR4,KT4,KV4,KX4,KZ4,LB4,LD4,LF4,LJ4,LL4,LN4,LP4,LR4,LT4,LV4,LX4,LZ4,MB4,MD4,MF4,MH4,MJ4,ML4,MN4,MP4,MR4)</f>
        <v>0</v>
      </c>
      <c r="MV4" s="4">
        <f t="shared" ref="MV4:MV64" si="77">IF(MT4=0,0,1)</f>
        <v>0</v>
      </c>
    </row>
    <row r="5" spans="1:360" x14ac:dyDescent="0.15">
      <c r="A5" s="156" t="s">
        <v>498</v>
      </c>
      <c r="B5" s="28" t="s">
        <v>461</v>
      </c>
      <c r="C5" s="47">
        <v>178396</v>
      </c>
      <c r="D5" s="48">
        <v>2012</v>
      </c>
      <c r="E5" s="49">
        <v>1</v>
      </c>
      <c r="F5" s="49">
        <v>8</v>
      </c>
      <c r="G5" s="50">
        <v>3444</v>
      </c>
      <c r="H5" s="50">
        <v>4630</v>
      </c>
      <c r="I5" s="51">
        <v>1017318085</v>
      </c>
      <c r="J5" s="51"/>
      <c r="K5" s="51">
        <v>0</v>
      </c>
      <c r="L5" s="51"/>
      <c r="M5" s="51">
        <v>15516849</v>
      </c>
      <c r="N5" s="51"/>
      <c r="O5" s="51">
        <v>0</v>
      </c>
      <c r="P5" s="51"/>
      <c r="Q5" s="51">
        <v>275081948</v>
      </c>
      <c r="R5" s="51"/>
      <c r="S5" s="51">
        <v>853104685</v>
      </c>
      <c r="T5" s="51"/>
      <c r="U5" s="51">
        <v>17029</v>
      </c>
      <c r="V5" s="51"/>
      <c r="W5" s="51">
        <v>25340</v>
      </c>
      <c r="X5" s="51"/>
      <c r="Y5" s="51">
        <v>21494</v>
      </c>
      <c r="Z5" s="51"/>
      <c r="AA5" s="51">
        <v>30215</v>
      </c>
      <c r="AB5" s="51"/>
      <c r="AC5" s="72">
        <v>6</v>
      </c>
      <c r="AD5" s="72">
        <v>13</v>
      </c>
      <c r="AE5" s="72">
        <v>0</v>
      </c>
      <c r="AF5" s="29">
        <v>3406598</v>
      </c>
      <c r="AG5" s="29">
        <v>2482185</v>
      </c>
      <c r="AH5" s="29">
        <v>252752</v>
      </c>
      <c r="AI5" s="29">
        <v>191294</v>
      </c>
      <c r="AJ5" s="29">
        <v>334663.67</v>
      </c>
      <c r="AK5" s="73">
        <v>6</v>
      </c>
      <c r="AL5" s="29">
        <v>334663.67</v>
      </c>
      <c r="AM5" s="73">
        <v>6</v>
      </c>
      <c r="AN5" s="29">
        <v>101627.14</v>
      </c>
      <c r="AO5" s="73">
        <v>8.51</v>
      </c>
      <c r="AP5" s="29">
        <v>86484.7</v>
      </c>
      <c r="AQ5" s="73">
        <v>10</v>
      </c>
      <c r="AR5" s="29">
        <v>141845.76000000001</v>
      </c>
      <c r="AS5" s="73">
        <v>17</v>
      </c>
      <c r="AT5" s="29">
        <v>133965.44</v>
      </c>
      <c r="AU5" s="73">
        <v>18</v>
      </c>
      <c r="AV5" s="29">
        <v>58650.62</v>
      </c>
      <c r="AW5" s="73">
        <v>12.82</v>
      </c>
      <c r="AX5" s="29">
        <v>53707.21</v>
      </c>
      <c r="AY5" s="73">
        <v>14</v>
      </c>
      <c r="AZ5" s="97">
        <v>548599</v>
      </c>
      <c r="BA5" s="97">
        <v>522883</v>
      </c>
      <c r="BB5" s="97">
        <v>5681</v>
      </c>
      <c r="BC5" s="97">
        <v>50419</v>
      </c>
      <c r="BD5" s="97">
        <v>0</v>
      </c>
      <c r="BE5" s="97">
        <v>1127582</v>
      </c>
      <c r="BF5" s="97">
        <v>0</v>
      </c>
      <c r="BG5" s="97">
        <v>0</v>
      </c>
      <c r="BH5" s="97">
        <v>0</v>
      </c>
      <c r="BI5" s="97">
        <v>0</v>
      </c>
      <c r="BJ5" s="97">
        <v>4205801</v>
      </c>
      <c r="BK5" s="97">
        <v>4205801</v>
      </c>
      <c r="BL5" s="97">
        <v>1100000</v>
      </c>
      <c r="BM5" s="97">
        <v>170000</v>
      </c>
      <c r="BN5" s="97">
        <v>0</v>
      </c>
      <c r="BO5" s="97">
        <v>1000</v>
      </c>
      <c r="BP5" s="97">
        <v>0</v>
      </c>
      <c r="BQ5" s="97">
        <v>1271000</v>
      </c>
      <c r="BR5" s="97">
        <v>1253944</v>
      </c>
      <c r="BS5" s="97">
        <v>829984</v>
      </c>
      <c r="BT5" s="97">
        <v>137021</v>
      </c>
      <c r="BU5" s="97">
        <v>382552</v>
      </c>
      <c r="BV5" s="97">
        <v>392282</v>
      </c>
      <c r="BW5" s="97">
        <v>2995783</v>
      </c>
      <c r="BX5" s="97">
        <v>0</v>
      </c>
      <c r="BY5" s="97">
        <v>0</v>
      </c>
      <c r="BZ5" s="97">
        <v>0</v>
      </c>
      <c r="CA5" s="97">
        <v>0</v>
      </c>
      <c r="CB5" s="97">
        <v>0</v>
      </c>
      <c r="CC5" s="97">
        <v>0</v>
      </c>
      <c r="CD5" s="97">
        <v>0</v>
      </c>
      <c r="CE5" s="97">
        <v>0</v>
      </c>
      <c r="CF5" s="97">
        <v>0</v>
      </c>
      <c r="CG5" s="97">
        <v>0</v>
      </c>
      <c r="CH5" s="97">
        <v>0</v>
      </c>
      <c r="CI5" s="97">
        <v>0</v>
      </c>
      <c r="CJ5" s="97">
        <v>3438991</v>
      </c>
      <c r="CK5" s="97">
        <v>1421197</v>
      </c>
      <c r="CL5" s="97">
        <v>1454278</v>
      </c>
      <c r="CM5" s="97">
        <v>6464986</v>
      </c>
      <c r="CN5" s="97">
        <v>1308064</v>
      </c>
      <c r="CO5" s="97">
        <v>14087516</v>
      </c>
      <c r="CP5" s="97">
        <v>8027</v>
      </c>
      <c r="CQ5" s="97">
        <v>0</v>
      </c>
      <c r="CR5" s="97">
        <v>0</v>
      </c>
      <c r="CS5" s="97">
        <v>147292</v>
      </c>
      <c r="CT5" s="97">
        <v>290170</v>
      </c>
      <c r="CU5" s="97">
        <v>445489</v>
      </c>
      <c r="CV5" s="97">
        <v>1168223</v>
      </c>
      <c r="CW5" s="97">
        <v>435687</v>
      </c>
      <c r="CX5" s="97">
        <v>14810</v>
      </c>
      <c r="CY5" s="97">
        <v>0</v>
      </c>
      <c r="CZ5" s="97">
        <v>1110308</v>
      </c>
      <c r="DA5" s="97">
        <v>2729028</v>
      </c>
      <c r="DB5" s="97">
        <v>0</v>
      </c>
      <c r="DC5" s="97">
        <v>0</v>
      </c>
      <c r="DD5" s="97">
        <v>0</v>
      </c>
      <c r="DE5" s="97">
        <v>0</v>
      </c>
      <c r="DF5" s="97">
        <v>0</v>
      </c>
      <c r="DG5" s="97">
        <v>0</v>
      </c>
      <c r="DH5" s="97">
        <v>0</v>
      </c>
      <c r="DI5" s="97">
        <v>0</v>
      </c>
      <c r="DJ5" s="97">
        <v>0</v>
      </c>
      <c r="DK5" s="97">
        <v>0</v>
      </c>
      <c r="DL5" s="97">
        <v>2924</v>
      </c>
      <c r="DM5" s="97">
        <v>2924</v>
      </c>
      <c r="DN5" s="97">
        <v>227600</v>
      </c>
      <c r="DO5" s="97">
        <v>341400</v>
      </c>
      <c r="DP5" s="97">
        <v>0</v>
      </c>
      <c r="DQ5" s="97">
        <v>0</v>
      </c>
      <c r="DR5" s="97">
        <v>321502</v>
      </c>
      <c r="DS5" s="97">
        <v>890502</v>
      </c>
      <c r="DT5" s="97">
        <v>0</v>
      </c>
      <c r="DU5" s="97">
        <v>0</v>
      </c>
      <c r="DV5" s="97">
        <v>0</v>
      </c>
      <c r="DW5" s="97">
        <v>0</v>
      </c>
      <c r="DX5" s="97">
        <v>0</v>
      </c>
      <c r="DY5" s="97">
        <v>0</v>
      </c>
      <c r="DZ5" s="97">
        <v>2811</v>
      </c>
      <c r="EA5" s="97">
        <v>2955</v>
      </c>
      <c r="EB5" s="97">
        <v>1402</v>
      </c>
      <c r="EC5" s="97">
        <v>3995</v>
      </c>
      <c r="ED5" s="97">
        <v>19806</v>
      </c>
      <c r="EE5" s="97">
        <v>30969</v>
      </c>
      <c r="EF5" s="97">
        <v>0</v>
      </c>
      <c r="EG5" s="97">
        <v>70000</v>
      </c>
      <c r="EH5" s="97">
        <v>0</v>
      </c>
      <c r="EI5" s="97">
        <v>43194</v>
      </c>
      <c r="EJ5" s="97">
        <v>214391</v>
      </c>
      <c r="EK5" s="97">
        <v>327585</v>
      </c>
      <c r="EL5" s="97">
        <v>7748195</v>
      </c>
      <c r="EM5" s="97">
        <v>3794106</v>
      </c>
      <c r="EN5" s="97">
        <v>1613192</v>
      </c>
      <c r="EO5" s="97">
        <v>7093438</v>
      </c>
      <c r="EP5" s="97">
        <v>7865248</v>
      </c>
      <c r="EQ5" s="97">
        <v>28114179</v>
      </c>
      <c r="ER5" s="97">
        <v>2176565</v>
      </c>
      <c r="ES5" s="97">
        <v>362307</v>
      </c>
      <c r="ET5" s="97">
        <v>425516</v>
      </c>
      <c r="EU5" s="97">
        <v>2924395</v>
      </c>
      <c r="EV5" s="97">
        <v>196648</v>
      </c>
      <c r="EW5" s="97">
        <v>6085431</v>
      </c>
      <c r="EX5" s="97">
        <v>231112</v>
      </c>
      <c r="EY5" s="97">
        <v>340140</v>
      </c>
      <c r="EZ5" s="97">
        <v>14396</v>
      </c>
      <c r="FA5" s="97">
        <v>34996</v>
      </c>
      <c r="FB5" s="97">
        <v>0</v>
      </c>
      <c r="FC5" s="97">
        <v>620644</v>
      </c>
      <c r="FD5" s="97">
        <v>2356723</v>
      </c>
      <c r="FE5" s="97">
        <v>1303283</v>
      </c>
      <c r="FF5" s="97">
        <v>580583</v>
      </c>
      <c r="FG5" s="97">
        <v>1795519</v>
      </c>
      <c r="FH5" s="97">
        <v>0</v>
      </c>
      <c r="FI5" s="97">
        <v>6036108</v>
      </c>
      <c r="FJ5" s="97">
        <v>0</v>
      </c>
      <c r="FK5" s="97">
        <v>0</v>
      </c>
      <c r="FL5" s="97">
        <v>0</v>
      </c>
      <c r="FM5" s="97">
        <v>0</v>
      </c>
      <c r="FN5" s="97">
        <v>0</v>
      </c>
      <c r="FO5" s="97">
        <v>0</v>
      </c>
      <c r="FP5" s="97">
        <v>120426</v>
      </c>
      <c r="FQ5" s="97">
        <v>79920</v>
      </c>
      <c r="FR5" s="97">
        <v>48070</v>
      </c>
      <c r="FS5" s="97">
        <v>67781</v>
      </c>
      <c r="FT5" s="97">
        <v>4159066</v>
      </c>
      <c r="FU5" s="97">
        <v>4475263</v>
      </c>
      <c r="FV5" s="97">
        <v>0</v>
      </c>
      <c r="FW5" s="97">
        <v>0</v>
      </c>
      <c r="FX5" s="97">
        <v>0</v>
      </c>
      <c r="FY5" s="97">
        <v>0</v>
      </c>
      <c r="FZ5" s="97">
        <v>0</v>
      </c>
      <c r="GA5" s="97">
        <v>0</v>
      </c>
      <c r="GB5" s="97">
        <v>698480</v>
      </c>
      <c r="GC5" s="97">
        <v>435768</v>
      </c>
      <c r="GD5" s="97">
        <v>0</v>
      </c>
      <c r="GE5" s="97">
        <v>0</v>
      </c>
      <c r="GF5" s="97">
        <v>0</v>
      </c>
      <c r="GG5" s="97">
        <v>1134248</v>
      </c>
      <c r="GH5" s="97">
        <v>108885</v>
      </c>
      <c r="GI5" s="97">
        <v>88091</v>
      </c>
      <c r="GJ5" s="97">
        <v>69927</v>
      </c>
      <c r="GK5" s="97">
        <v>177143</v>
      </c>
      <c r="GL5" s="97">
        <v>11743</v>
      </c>
      <c r="GM5" s="97">
        <v>455789</v>
      </c>
      <c r="GN5" s="97">
        <v>624240</v>
      </c>
      <c r="GO5" s="97">
        <v>371295</v>
      </c>
      <c r="GP5" s="97">
        <v>245116</v>
      </c>
      <c r="GQ5" s="97">
        <v>1001260</v>
      </c>
      <c r="GR5" s="97">
        <v>1412</v>
      </c>
      <c r="GS5" s="97">
        <v>2243323</v>
      </c>
      <c r="GT5" s="97">
        <v>207534</v>
      </c>
      <c r="GU5" s="97">
        <v>39332</v>
      </c>
      <c r="GV5" s="97">
        <v>36010</v>
      </c>
      <c r="GW5" s="97">
        <v>353479</v>
      </c>
      <c r="GX5" s="97">
        <v>283894</v>
      </c>
      <c r="GY5" s="97">
        <v>920249</v>
      </c>
      <c r="GZ5" s="97">
        <v>70106</v>
      </c>
      <c r="HA5" s="97">
        <v>104218</v>
      </c>
      <c r="HB5" s="97">
        <v>44901</v>
      </c>
      <c r="HC5" s="97">
        <v>114481</v>
      </c>
      <c r="HD5" s="97">
        <v>117937</v>
      </c>
      <c r="HE5" s="97">
        <v>451643</v>
      </c>
      <c r="HF5" s="97">
        <v>1764</v>
      </c>
      <c r="HG5" s="97">
        <v>365</v>
      </c>
      <c r="HH5" s="97">
        <v>0</v>
      </c>
      <c r="HI5" s="97">
        <v>4975</v>
      </c>
      <c r="HJ5" s="97">
        <v>539769</v>
      </c>
      <c r="HK5" s="97">
        <v>546873</v>
      </c>
      <c r="HL5" s="97">
        <v>0</v>
      </c>
      <c r="HM5" s="97">
        <v>0</v>
      </c>
      <c r="HN5" s="97">
        <v>0</v>
      </c>
      <c r="HO5" s="97">
        <v>0</v>
      </c>
      <c r="HP5" s="97">
        <v>0</v>
      </c>
      <c r="HQ5" s="97">
        <v>0</v>
      </c>
      <c r="HR5" s="97">
        <v>65814</v>
      </c>
      <c r="HS5" s="97">
        <v>47078</v>
      </c>
      <c r="HT5" s="97">
        <v>40548</v>
      </c>
      <c r="HU5" s="97">
        <v>166175</v>
      </c>
      <c r="HV5" s="97">
        <v>611594</v>
      </c>
      <c r="HW5" s="97">
        <v>931209</v>
      </c>
      <c r="HX5" s="97">
        <v>442807</v>
      </c>
      <c r="HY5" s="97">
        <v>0</v>
      </c>
      <c r="HZ5" s="97">
        <v>0</v>
      </c>
      <c r="IA5" s="97">
        <v>0</v>
      </c>
      <c r="IB5" s="97">
        <v>308748</v>
      </c>
      <c r="IC5" s="97">
        <v>751555</v>
      </c>
      <c r="ID5" s="97">
        <v>8027</v>
      </c>
      <c r="IE5" s="97">
        <v>0</v>
      </c>
      <c r="IF5" s="97">
        <v>0</v>
      </c>
      <c r="IG5" s="97">
        <v>147292</v>
      </c>
      <c r="IH5" s="97">
        <v>290170</v>
      </c>
      <c r="II5" s="97">
        <v>445489</v>
      </c>
      <c r="IJ5" s="97">
        <v>0</v>
      </c>
      <c r="IK5" s="97">
        <v>50</v>
      </c>
      <c r="IL5" s="97">
        <v>0</v>
      </c>
      <c r="IM5" s="97">
        <v>1475</v>
      </c>
      <c r="IN5" s="97">
        <v>351120</v>
      </c>
      <c r="IO5" s="97">
        <v>352645</v>
      </c>
      <c r="IP5" s="97">
        <v>28808</v>
      </c>
      <c r="IQ5" s="97">
        <v>725</v>
      </c>
      <c r="IR5" s="97">
        <v>640</v>
      </c>
      <c r="IS5" s="97">
        <v>4688</v>
      </c>
      <c r="IT5" s="97">
        <v>330135</v>
      </c>
      <c r="IU5" s="97">
        <v>364996</v>
      </c>
      <c r="IV5" s="97">
        <v>325520</v>
      </c>
      <c r="IW5" s="97">
        <v>187829</v>
      </c>
      <c r="IX5" s="97">
        <v>74765</v>
      </c>
      <c r="IY5" s="97">
        <v>224670</v>
      </c>
      <c r="IZ5" s="97">
        <v>784388</v>
      </c>
      <c r="JA5" s="97">
        <v>1597172</v>
      </c>
      <c r="JB5" s="97">
        <v>7466811</v>
      </c>
      <c r="JC5" s="97">
        <v>3360401</v>
      </c>
      <c r="JD5" s="97">
        <v>1580472</v>
      </c>
      <c r="JE5" s="97">
        <v>7018329</v>
      </c>
      <c r="JF5" s="97">
        <v>7986624</v>
      </c>
      <c r="JG5" s="97">
        <v>27412637</v>
      </c>
      <c r="JH5" s="97">
        <v>0</v>
      </c>
      <c r="JI5" s="97">
        <v>0</v>
      </c>
      <c r="JJ5" s="97">
        <v>0</v>
      </c>
      <c r="JK5" s="97">
        <v>0</v>
      </c>
      <c r="JL5" s="97">
        <v>0</v>
      </c>
      <c r="JM5" s="97">
        <v>0</v>
      </c>
      <c r="JN5" s="97">
        <v>7466811</v>
      </c>
      <c r="JO5" s="97">
        <v>3360401</v>
      </c>
      <c r="JP5" s="97">
        <v>1580472</v>
      </c>
      <c r="JQ5" s="97">
        <v>7018329</v>
      </c>
      <c r="JR5" s="97">
        <v>7986624</v>
      </c>
      <c r="JS5" s="97">
        <v>27412637</v>
      </c>
      <c r="JU5" s="5">
        <f t="shared" si="0"/>
        <v>1127582</v>
      </c>
      <c r="JV5" s="29">
        <f t="shared" si="1"/>
        <v>0</v>
      </c>
      <c r="JW5" s="5">
        <f t="shared" si="2"/>
        <v>4205801</v>
      </c>
      <c r="JX5" s="29">
        <f t="shared" si="3"/>
        <v>0</v>
      </c>
      <c r="JY5" s="5">
        <f t="shared" si="4"/>
        <v>1271000</v>
      </c>
      <c r="JZ5" s="29">
        <f t="shared" si="5"/>
        <v>0</v>
      </c>
      <c r="KA5" s="5">
        <f t="shared" si="6"/>
        <v>2995783</v>
      </c>
      <c r="KB5" s="29">
        <f t="shared" si="7"/>
        <v>0</v>
      </c>
      <c r="KC5" s="5">
        <f t="shared" si="8"/>
        <v>0</v>
      </c>
      <c r="KD5" s="29">
        <f t="shared" si="9"/>
        <v>0</v>
      </c>
      <c r="KE5" s="5">
        <f t="shared" si="10"/>
        <v>0</v>
      </c>
      <c r="KF5" s="29">
        <f t="shared" si="11"/>
        <v>0</v>
      </c>
      <c r="KG5" s="5">
        <f t="shared" si="12"/>
        <v>14087516</v>
      </c>
      <c r="KH5" s="29">
        <f t="shared" si="13"/>
        <v>0</v>
      </c>
      <c r="KI5" s="5">
        <f t="shared" si="14"/>
        <v>445489</v>
      </c>
      <c r="KJ5" s="29">
        <f t="shared" si="15"/>
        <v>0</v>
      </c>
      <c r="KK5" s="5">
        <f t="shared" si="16"/>
        <v>2729028</v>
      </c>
      <c r="KL5" s="29">
        <f t="shared" si="17"/>
        <v>0</v>
      </c>
      <c r="KM5" s="5">
        <f t="shared" si="18"/>
        <v>0</v>
      </c>
      <c r="KN5" s="29">
        <f t="shared" si="19"/>
        <v>0</v>
      </c>
      <c r="KO5" s="5">
        <f t="shared" si="20"/>
        <v>2924</v>
      </c>
      <c r="KP5" s="29">
        <f t="shared" si="21"/>
        <v>0</v>
      </c>
      <c r="KQ5" s="5">
        <f t="shared" si="22"/>
        <v>890502</v>
      </c>
      <c r="KR5" s="29">
        <f t="shared" si="23"/>
        <v>0</v>
      </c>
      <c r="KS5" s="5">
        <f t="shared" si="24"/>
        <v>0</v>
      </c>
      <c r="KT5" s="29">
        <f t="shared" si="25"/>
        <v>0</v>
      </c>
      <c r="KU5" s="5">
        <f t="shared" si="26"/>
        <v>30969</v>
      </c>
      <c r="KV5" s="29">
        <f t="shared" si="27"/>
        <v>0</v>
      </c>
      <c r="KW5" s="5">
        <f t="shared" si="28"/>
        <v>327585</v>
      </c>
      <c r="KX5" s="29">
        <f t="shared" si="29"/>
        <v>0</v>
      </c>
      <c r="KY5" s="5">
        <f t="shared" si="30"/>
        <v>28114179</v>
      </c>
      <c r="KZ5" s="29">
        <f t="shared" si="31"/>
        <v>0</v>
      </c>
      <c r="LA5" s="5">
        <f t="shared" si="32"/>
        <v>6085431</v>
      </c>
      <c r="LB5" s="29">
        <f t="shared" si="33"/>
        <v>0</v>
      </c>
      <c r="LC5" s="5">
        <f t="shared" si="34"/>
        <v>620644</v>
      </c>
      <c r="LD5" s="29">
        <f t="shared" si="35"/>
        <v>0</v>
      </c>
      <c r="LE5" s="5">
        <f t="shared" si="36"/>
        <v>6036108</v>
      </c>
      <c r="LF5" s="29">
        <f t="shared" si="37"/>
        <v>0</v>
      </c>
      <c r="LG5" s="5">
        <f t="shared" si="38"/>
        <v>0</v>
      </c>
      <c r="LH5" s="29">
        <f t="shared" si="39"/>
        <v>0</v>
      </c>
      <c r="LI5" s="5">
        <f t="shared" si="40"/>
        <v>4475263</v>
      </c>
      <c r="LJ5" s="29">
        <f t="shared" si="41"/>
        <v>0</v>
      </c>
      <c r="LK5" s="5">
        <f t="shared" si="42"/>
        <v>0</v>
      </c>
      <c r="LL5" s="29">
        <f t="shared" si="43"/>
        <v>0</v>
      </c>
      <c r="LM5" s="5">
        <f t="shared" si="44"/>
        <v>1134248</v>
      </c>
      <c r="LN5" s="29">
        <f t="shared" si="45"/>
        <v>0</v>
      </c>
      <c r="LO5" s="5">
        <f t="shared" si="46"/>
        <v>455789</v>
      </c>
      <c r="LP5" s="29">
        <f t="shared" si="47"/>
        <v>0</v>
      </c>
      <c r="LQ5" s="5">
        <f t="shared" si="48"/>
        <v>2243323</v>
      </c>
      <c r="LR5" s="29">
        <f t="shared" si="49"/>
        <v>0</v>
      </c>
      <c r="LS5" s="5">
        <f t="shared" si="50"/>
        <v>920249</v>
      </c>
      <c r="LT5" s="29">
        <f t="shared" si="51"/>
        <v>0</v>
      </c>
      <c r="LU5" s="5">
        <f t="shared" si="52"/>
        <v>451643</v>
      </c>
      <c r="LV5" s="29">
        <f t="shared" si="53"/>
        <v>0</v>
      </c>
      <c r="LW5" s="5">
        <f t="shared" si="54"/>
        <v>546873</v>
      </c>
      <c r="LX5" s="29">
        <f t="shared" si="55"/>
        <v>0</v>
      </c>
      <c r="LY5" s="5">
        <f t="shared" si="56"/>
        <v>0</v>
      </c>
      <c r="LZ5" s="29">
        <f t="shared" si="57"/>
        <v>0</v>
      </c>
      <c r="MA5" s="5">
        <f t="shared" si="58"/>
        <v>931209</v>
      </c>
      <c r="MB5" s="29">
        <f t="shared" si="59"/>
        <v>0</v>
      </c>
      <c r="MC5" s="5">
        <f t="shared" si="60"/>
        <v>751555</v>
      </c>
      <c r="MD5" s="29">
        <f t="shared" si="61"/>
        <v>0</v>
      </c>
      <c r="ME5" s="5">
        <f t="shared" si="62"/>
        <v>445489</v>
      </c>
      <c r="MF5" s="29">
        <f t="shared" si="63"/>
        <v>0</v>
      </c>
      <c r="MG5" s="5">
        <f t="shared" si="64"/>
        <v>352645</v>
      </c>
      <c r="MH5" s="29">
        <f t="shared" si="65"/>
        <v>0</v>
      </c>
      <c r="MI5" s="5">
        <f t="shared" si="66"/>
        <v>364996</v>
      </c>
      <c r="MJ5" s="29">
        <f t="shared" si="67"/>
        <v>0</v>
      </c>
      <c r="MK5" s="5">
        <f t="shared" si="68"/>
        <v>1597172</v>
      </c>
      <c r="ML5" s="29">
        <f t="shared" si="69"/>
        <v>0</v>
      </c>
      <c r="MM5" s="5">
        <f t="shared" si="70"/>
        <v>27412637</v>
      </c>
      <c r="MN5" s="29">
        <f t="shared" si="71"/>
        <v>0</v>
      </c>
      <c r="MO5" s="5">
        <f t="shared" si="72"/>
        <v>0</v>
      </c>
      <c r="MP5" s="29">
        <f t="shared" si="73"/>
        <v>0</v>
      </c>
      <c r="MQ5" s="5">
        <f t="shared" si="74"/>
        <v>27412637</v>
      </c>
      <c r="MR5" s="29">
        <f t="shared" si="75"/>
        <v>0</v>
      </c>
      <c r="MT5" s="5">
        <f t="shared" si="76"/>
        <v>0</v>
      </c>
      <c r="MV5" s="4">
        <f t="shared" si="77"/>
        <v>0</v>
      </c>
    </row>
    <row r="6" spans="1:360" x14ac:dyDescent="0.15">
      <c r="A6" s="157" t="s">
        <v>285</v>
      </c>
      <c r="B6" s="28" t="s">
        <v>458</v>
      </c>
      <c r="C6" s="47">
        <v>233921</v>
      </c>
      <c r="D6" s="48">
        <v>2012</v>
      </c>
      <c r="E6" s="49">
        <v>1</v>
      </c>
      <c r="F6" s="49">
        <v>4</v>
      </c>
      <c r="G6" s="50">
        <v>14614</v>
      </c>
      <c r="H6" s="50">
        <v>16051</v>
      </c>
      <c r="I6" s="51">
        <v>1627782000</v>
      </c>
      <c r="J6" s="51"/>
      <c r="K6" s="51">
        <v>1821648</v>
      </c>
      <c r="L6" s="51"/>
      <c r="M6" s="51">
        <v>96965792</v>
      </c>
      <c r="N6" s="51"/>
      <c r="O6" s="51">
        <v>88455000</v>
      </c>
      <c r="P6" s="51"/>
      <c r="Q6" s="51">
        <v>1177773000</v>
      </c>
      <c r="R6" s="51"/>
      <c r="S6" s="51">
        <v>1239579000</v>
      </c>
      <c r="T6" s="51"/>
      <c r="U6" s="51">
        <v>21154</v>
      </c>
      <c r="V6" s="51"/>
      <c r="W6" s="51">
        <v>37363</v>
      </c>
      <c r="X6" s="51"/>
      <c r="Y6" s="51">
        <v>22430</v>
      </c>
      <c r="Z6" s="51"/>
      <c r="AA6" s="51">
        <v>38640</v>
      </c>
      <c r="AB6" s="51"/>
      <c r="AC6" s="72">
        <v>8</v>
      </c>
      <c r="AD6" s="72">
        <v>11</v>
      </c>
      <c r="AE6" s="72">
        <v>0</v>
      </c>
      <c r="AF6" s="29">
        <v>5431035</v>
      </c>
      <c r="AG6" s="29">
        <v>4359250</v>
      </c>
      <c r="AH6" s="29">
        <v>777694</v>
      </c>
      <c r="AI6" s="29">
        <v>338839</v>
      </c>
      <c r="AJ6" s="29">
        <v>1064004</v>
      </c>
      <c r="AK6" s="73">
        <v>6</v>
      </c>
      <c r="AL6" s="29">
        <v>912003.43</v>
      </c>
      <c r="AM6" s="73">
        <v>7</v>
      </c>
      <c r="AN6" s="29">
        <v>157419.5</v>
      </c>
      <c r="AO6" s="73">
        <v>8</v>
      </c>
      <c r="AP6" s="29">
        <v>139928</v>
      </c>
      <c r="AQ6" s="73">
        <v>9</v>
      </c>
      <c r="AR6" s="29">
        <v>245390.2</v>
      </c>
      <c r="AS6" s="73">
        <v>20</v>
      </c>
      <c r="AT6" s="29">
        <v>204491.83</v>
      </c>
      <c r="AU6" s="73">
        <v>24</v>
      </c>
      <c r="AV6" s="29">
        <v>86633.59</v>
      </c>
      <c r="AW6" s="73">
        <v>17</v>
      </c>
      <c r="AX6" s="29">
        <v>70131.95</v>
      </c>
      <c r="AY6" s="73">
        <v>21</v>
      </c>
      <c r="AZ6" s="97">
        <v>6322240</v>
      </c>
      <c r="BA6" s="134">
        <v>5452851</v>
      </c>
      <c r="BB6" s="134">
        <v>100179</v>
      </c>
      <c r="BC6" s="134">
        <v>835250</v>
      </c>
      <c r="BD6" s="134">
        <v>0</v>
      </c>
      <c r="BE6" s="134">
        <v>12710520</v>
      </c>
      <c r="BF6" s="134">
        <v>0</v>
      </c>
      <c r="BG6" s="134">
        <v>0</v>
      </c>
      <c r="BH6" s="134">
        <v>0</v>
      </c>
      <c r="BI6" s="134">
        <v>0</v>
      </c>
      <c r="BJ6" s="134">
        <v>0</v>
      </c>
      <c r="BK6" s="134">
        <v>0</v>
      </c>
      <c r="BL6" s="134">
        <v>1496869</v>
      </c>
      <c r="BM6" s="134">
        <v>131585</v>
      </c>
      <c r="BN6" s="134">
        <v>5000</v>
      </c>
      <c r="BO6" s="134">
        <v>53430</v>
      </c>
      <c r="BP6" s="134">
        <v>0</v>
      </c>
      <c r="BQ6" s="134">
        <v>1686884</v>
      </c>
      <c r="BR6" s="134">
        <v>4578742</v>
      </c>
      <c r="BS6" s="97">
        <v>4368550</v>
      </c>
      <c r="BT6" s="97">
        <v>15702</v>
      </c>
      <c r="BU6" s="97">
        <v>286319</v>
      </c>
      <c r="BV6" s="97">
        <v>24628650</v>
      </c>
      <c r="BW6" s="97">
        <v>33877963</v>
      </c>
      <c r="BX6" s="97">
        <v>210600</v>
      </c>
      <c r="BY6" s="134">
        <v>409500</v>
      </c>
      <c r="BZ6" s="134">
        <v>32000</v>
      </c>
      <c r="CA6" s="134">
        <v>311500</v>
      </c>
      <c r="CB6" s="134">
        <v>4400</v>
      </c>
      <c r="CC6" s="134">
        <v>968000</v>
      </c>
      <c r="CD6" s="134">
        <v>0</v>
      </c>
      <c r="CE6" s="134">
        <v>0</v>
      </c>
      <c r="CF6" s="134">
        <v>0</v>
      </c>
      <c r="CG6" s="135">
        <v>0</v>
      </c>
      <c r="CH6" s="134">
        <v>0</v>
      </c>
      <c r="CI6" s="134">
        <v>0</v>
      </c>
      <c r="CJ6" s="134">
        <v>1886192</v>
      </c>
      <c r="CK6" s="97">
        <v>260912</v>
      </c>
      <c r="CL6" s="134">
        <v>273483</v>
      </c>
      <c r="CM6" s="134">
        <v>3779281</v>
      </c>
      <c r="CN6" s="134">
        <v>0</v>
      </c>
      <c r="CO6" s="134">
        <v>6199868</v>
      </c>
      <c r="CP6" s="134">
        <v>0</v>
      </c>
      <c r="CQ6" s="97">
        <v>0</v>
      </c>
      <c r="CR6" s="134">
        <v>0</v>
      </c>
      <c r="CS6" s="134">
        <v>0</v>
      </c>
      <c r="CT6" s="134">
        <v>1056600</v>
      </c>
      <c r="CU6" s="134">
        <v>1056600</v>
      </c>
      <c r="CV6" s="134">
        <v>5632736</v>
      </c>
      <c r="CW6" s="97">
        <v>5632735</v>
      </c>
      <c r="CX6" s="97">
        <v>0</v>
      </c>
      <c r="CY6" s="97">
        <v>0</v>
      </c>
      <c r="CZ6" s="97">
        <v>0</v>
      </c>
      <c r="DA6" s="97">
        <v>11265471</v>
      </c>
      <c r="DB6" s="97">
        <v>0</v>
      </c>
      <c r="DC6" s="97">
        <v>0</v>
      </c>
      <c r="DD6" s="97">
        <v>0</v>
      </c>
      <c r="DE6" s="97">
        <v>0</v>
      </c>
      <c r="DF6" s="97">
        <v>0</v>
      </c>
      <c r="DG6" s="97">
        <v>0</v>
      </c>
      <c r="DH6" s="97">
        <v>834207</v>
      </c>
      <c r="DI6" s="134">
        <v>834207</v>
      </c>
      <c r="DJ6" s="134">
        <v>0</v>
      </c>
      <c r="DK6" s="134">
        <v>0</v>
      </c>
      <c r="DL6" s="134">
        <v>0</v>
      </c>
      <c r="DM6" s="113">
        <v>1668414</v>
      </c>
      <c r="DN6" s="134">
        <v>3555896</v>
      </c>
      <c r="DO6" s="134">
        <v>3555896</v>
      </c>
      <c r="DP6" s="134">
        <v>0</v>
      </c>
      <c r="DQ6" s="134">
        <v>0</v>
      </c>
      <c r="DR6" s="134">
        <v>0</v>
      </c>
      <c r="DS6" s="113">
        <v>7111792</v>
      </c>
      <c r="DT6" s="134">
        <v>0</v>
      </c>
      <c r="DU6" s="134">
        <v>0</v>
      </c>
      <c r="DV6" s="97">
        <v>0</v>
      </c>
      <c r="DW6" s="97">
        <v>0</v>
      </c>
      <c r="DX6" s="97">
        <v>0</v>
      </c>
      <c r="DY6" s="97">
        <v>0</v>
      </c>
      <c r="DZ6" s="97">
        <v>139284</v>
      </c>
      <c r="EA6" s="134">
        <v>103571</v>
      </c>
      <c r="EB6" s="134">
        <v>8206</v>
      </c>
      <c r="EC6" s="134">
        <v>160680</v>
      </c>
      <c r="ED6" s="134">
        <v>181013</v>
      </c>
      <c r="EE6" s="134">
        <v>592754</v>
      </c>
      <c r="EF6" s="134">
        <v>0</v>
      </c>
      <c r="EG6" s="134">
        <v>0</v>
      </c>
      <c r="EH6" s="134">
        <v>0</v>
      </c>
      <c r="EI6" s="134">
        <v>0</v>
      </c>
      <c r="EJ6" s="134">
        <v>885953</v>
      </c>
      <c r="EK6" s="134">
        <v>885953</v>
      </c>
      <c r="EL6" s="134">
        <v>24656766</v>
      </c>
      <c r="EM6" s="97">
        <v>20749807</v>
      </c>
      <c r="EN6" s="134">
        <v>434570</v>
      </c>
      <c r="EO6" s="134">
        <v>5426460</v>
      </c>
      <c r="EP6" s="134">
        <v>26756616</v>
      </c>
      <c r="EQ6" s="134">
        <v>78024219</v>
      </c>
      <c r="ER6" s="134">
        <v>3259393</v>
      </c>
      <c r="ES6" s="97">
        <v>467189</v>
      </c>
      <c r="ET6" s="113">
        <v>503008</v>
      </c>
      <c r="EU6" s="113">
        <v>5560695</v>
      </c>
      <c r="EV6" s="113">
        <v>0</v>
      </c>
      <c r="EW6" s="113">
        <v>9790285</v>
      </c>
      <c r="EX6" s="113">
        <v>1890000</v>
      </c>
      <c r="EY6" s="97">
        <v>581321</v>
      </c>
      <c r="EZ6" s="134">
        <v>27000</v>
      </c>
      <c r="FA6" s="134">
        <v>123230</v>
      </c>
      <c r="FB6" s="134">
        <v>0</v>
      </c>
      <c r="FC6" s="134">
        <v>2621551</v>
      </c>
      <c r="FD6" s="134">
        <v>6885176</v>
      </c>
      <c r="FE6" s="97">
        <v>3112613</v>
      </c>
      <c r="FF6" s="134">
        <v>673901</v>
      </c>
      <c r="FG6" s="134">
        <v>3352265</v>
      </c>
      <c r="FH6" s="134">
        <v>0</v>
      </c>
      <c r="FI6" s="134">
        <v>14023955</v>
      </c>
      <c r="FJ6" s="134">
        <v>210600</v>
      </c>
      <c r="FK6" s="97">
        <v>409500</v>
      </c>
      <c r="FL6" s="113">
        <v>32000</v>
      </c>
      <c r="FM6" s="113">
        <v>311500</v>
      </c>
      <c r="FN6" s="113">
        <v>4400</v>
      </c>
      <c r="FO6" s="113">
        <v>968000</v>
      </c>
      <c r="FP6" s="113">
        <v>497021</v>
      </c>
      <c r="FQ6" s="97">
        <v>252886</v>
      </c>
      <c r="FR6" s="134">
        <v>147001</v>
      </c>
      <c r="FS6" s="134">
        <v>60394</v>
      </c>
      <c r="FT6" s="134">
        <v>9045358</v>
      </c>
      <c r="FU6" s="134">
        <v>10002660</v>
      </c>
      <c r="FV6" s="136">
        <v>0</v>
      </c>
      <c r="FW6" s="97">
        <v>0</v>
      </c>
      <c r="FX6" s="97">
        <v>0</v>
      </c>
      <c r="FY6" s="97">
        <v>0</v>
      </c>
      <c r="FZ6" s="97">
        <v>0</v>
      </c>
      <c r="GA6" s="97">
        <v>0</v>
      </c>
      <c r="GB6" s="97">
        <v>0</v>
      </c>
      <c r="GC6" s="97">
        <v>0</v>
      </c>
      <c r="GD6" s="97">
        <v>0</v>
      </c>
      <c r="GE6" s="97">
        <v>0</v>
      </c>
      <c r="GF6" s="97">
        <v>0</v>
      </c>
      <c r="GG6" s="97">
        <v>0</v>
      </c>
      <c r="GH6" s="97">
        <v>421781</v>
      </c>
      <c r="GI6" s="134">
        <v>199343</v>
      </c>
      <c r="GJ6" s="134">
        <v>104127</v>
      </c>
      <c r="GK6" s="134">
        <v>392282</v>
      </c>
      <c r="GL6" s="136">
        <v>0</v>
      </c>
      <c r="GM6" s="134">
        <v>1117533</v>
      </c>
      <c r="GN6" s="134">
        <v>1560477</v>
      </c>
      <c r="GO6" s="97">
        <v>894743</v>
      </c>
      <c r="GP6" s="97">
        <v>301787</v>
      </c>
      <c r="GQ6" s="97">
        <v>1792447</v>
      </c>
      <c r="GR6" s="97">
        <v>0</v>
      </c>
      <c r="GS6" s="97">
        <v>4549454</v>
      </c>
      <c r="GT6" s="97">
        <v>555975</v>
      </c>
      <c r="GU6" s="134">
        <v>194351</v>
      </c>
      <c r="GV6" s="134">
        <v>21979</v>
      </c>
      <c r="GW6" s="134">
        <v>570220</v>
      </c>
      <c r="GX6" s="134"/>
      <c r="GY6" s="134">
        <v>1342525</v>
      </c>
      <c r="GZ6" s="134">
        <v>1513915</v>
      </c>
      <c r="HA6" s="134">
        <v>1294574</v>
      </c>
      <c r="HB6" s="137">
        <v>133490</v>
      </c>
      <c r="HC6" s="134">
        <v>471817</v>
      </c>
      <c r="HD6" s="134">
        <v>0</v>
      </c>
      <c r="HE6" s="134">
        <v>3413796</v>
      </c>
      <c r="HF6" s="134">
        <v>250667</v>
      </c>
      <c r="HG6" s="134">
        <v>34182</v>
      </c>
      <c r="HH6" s="134">
        <v>39879</v>
      </c>
      <c r="HI6" s="134">
        <v>666544</v>
      </c>
      <c r="HJ6" s="134">
        <v>0</v>
      </c>
      <c r="HK6" s="134">
        <v>991272</v>
      </c>
      <c r="HL6" s="134">
        <v>0</v>
      </c>
      <c r="HM6" s="97">
        <v>0</v>
      </c>
      <c r="HN6" s="97">
        <v>0</v>
      </c>
      <c r="HO6" s="97">
        <v>0</v>
      </c>
      <c r="HP6" s="97">
        <v>0</v>
      </c>
      <c r="HQ6" s="97">
        <v>0</v>
      </c>
      <c r="HR6" s="97">
        <v>5033688</v>
      </c>
      <c r="HS6" s="137">
        <v>686412</v>
      </c>
      <c r="HT6" s="134">
        <v>800814</v>
      </c>
      <c r="HU6" s="134">
        <v>13385033</v>
      </c>
      <c r="HV6" s="134">
        <v>0</v>
      </c>
      <c r="HW6" s="134">
        <v>19905947</v>
      </c>
      <c r="HX6" s="134">
        <v>35749</v>
      </c>
      <c r="HY6" s="134">
        <v>4875</v>
      </c>
      <c r="HZ6" s="134">
        <v>5687</v>
      </c>
      <c r="IA6" s="134">
        <v>95061</v>
      </c>
      <c r="IB6" s="134">
        <v>0</v>
      </c>
      <c r="IC6" s="113">
        <v>141372</v>
      </c>
      <c r="ID6" s="134">
        <v>267186</v>
      </c>
      <c r="IE6" s="134">
        <v>36434</v>
      </c>
      <c r="IF6" s="134">
        <v>42507</v>
      </c>
      <c r="IG6" s="134">
        <v>710473</v>
      </c>
      <c r="IH6" s="134">
        <v>0</v>
      </c>
      <c r="II6" s="134">
        <v>1056600</v>
      </c>
      <c r="IJ6" s="134">
        <v>271703</v>
      </c>
      <c r="IK6" s="113">
        <v>37050</v>
      </c>
      <c r="IL6" s="113">
        <v>43225</v>
      </c>
      <c r="IM6" s="113">
        <v>722483</v>
      </c>
      <c r="IN6" s="113">
        <v>0</v>
      </c>
      <c r="IO6" s="113">
        <v>1074461</v>
      </c>
      <c r="IP6" s="113">
        <v>28485</v>
      </c>
      <c r="IQ6" s="134">
        <v>3884</v>
      </c>
      <c r="IR6" s="134">
        <v>4532</v>
      </c>
      <c r="IS6" s="134">
        <v>75743</v>
      </c>
      <c r="IT6" s="134">
        <v>0</v>
      </c>
      <c r="IU6" s="134">
        <v>112644</v>
      </c>
      <c r="IV6" s="136">
        <v>1439008</v>
      </c>
      <c r="IW6" s="134">
        <v>196229</v>
      </c>
      <c r="IX6" s="134">
        <v>228933</v>
      </c>
      <c r="IY6" s="134">
        <v>3826453</v>
      </c>
      <c r="IZ6" s="134">
        <v>0</v>
      </c>
      <c r="JA6" s="134">
        <v>5690623</v>
      </c>
      <c r="JB6" s="136">
        <v>24120824</v>
      </c>
      <c r="JC6" s="134">
        <v>8405586</v>
      </c>
      <c r="JD6" s="134">
        <v>3109870</v>
      </c>
      <c r="JE6" s="134">
        <v>32116640</v>
      </c>
      <c r="JF6" s="134">
        <v>9049758</v>
      </c>
      <c r="JG6" s="134">
        <v>76802678</v>
      </c>
      <c r="JH6" s="134">
        <v>0</v>
      </c>
      <c r="JI6" s="97">
        <v>0</v>
      </c>
      <c r="JJ6" s="97">
        <v>0</v>
      </c>
      <c r="JK6" s="97">
        <v>0</v>
      </c>
      <c r="JL6" s="97">
        <v>0</v>
      </c>
      <c r="JM6" s="97">
        <v>0</v>
      </c>
      <c r="JN6" s="136">
        <v>24120824</v>
      </c>
      <c r="JO6" s="134">
        <v>8405586</v>
      </c>
      <c r="JP6" s="134">
        <v>3109870</v>
      </c>
      <c r="JQ6" s="134">
        <v>32116640</v>
      </c>
      <c r="JR6" s="134">
        <v>9049758</v>
      </c>
      <c r="JS6" s="134">
        <v>76802678</v>
      </c>
      <c r="JU6" s="5">
        <f t="shared" si="0"/>
        <v>12710520</v>
      </c>
      <c r="JV6" s="29">
        <f t="shared" si="1"/>
        <v>0</v>
      </c>
      <c r="JW6" s="5">
        <f t="shared" si="2"/>
        <v>0</v>
      </c>
      <c r="JX6" s="29">
        <f t="shared" si="3"/>
        <v>0</v>
      </c>
      <c r="JY6" s="5">
        <f t="shared" si="4"/>
        <v>1686884</v>
      </c>
      <c r="JZ6" s="29">
        <f t="shared" si="5"/>
        <v>0</v>
      </c>
      <c r="KA6" s="5">
        <f t="shared" si="6"/>
        <v>33877963</v>
      </c>
      <c r="KB6" s="29">
        <f t="shared" si="7"/>
        <v>0</v>
      </c>
      <c r="KC6" s="5">
        <f t="shared" si="8"/>
        <v>968000</v>
      </c>
      <c r="KD6" s="29">
        <f t="shared" si="9"/>
        <v>0</v>
      </c>
      <c r="KE6" s="5">
        <f t="shared" si="10"/>
        <v>0</v>
      </c>
      <c r="KF6" s="29">
        <f t="shared" si="11"/>
        <v>0</v>
      </c>
      <c r="KG6" s="5">
        <f t="shared" si="12"/>
        <v>6199868</v>
      </c>
      <c r="KH6" s="29">
        <f t="shared" si="13"/>
        <v>0</v>
      </c>
      <c r="KI6" s="5">
        <f t="shared" si="14"/>
        <v>1056600</v>
      </c>
      <c r="KJ6" s="29">
        <f t="shared" si="15"/>
        <v>0</v>
      </c>
      <c r="KK6" s="5">
        <f t="shared" si="16"/>
        <v>11265471</v>
      </c>
      <c r="KL6" s="29">
        <f t="shared" si="17"/>
        <v>0</v>
      </c>
      <c r="KM6" s="5">
        <f t="shared" si="18"/>
        <v>0</v>
      </c>
      <c r="KN6" s="29">
        <f t="shared" si="19"/>
        <v>0</v>
      </c>
      <c r="KO6" s="5">
        <f t="shared" si="20"/>
        <v>1668414</v>
      </c>
      <c r="KP6" s="29">
        <f t="shared" si="21"/>
        <v>0</v>
      </c>
      <c r="KQ6" s="5">
        <f t="shared" si="22"/>
        <v>7111792</v>
      </c>
      <c r="KR6" s="29">
        <f t="shared" si="23"/>
        <v>0</v>
      </c>
      <c r="KS6" s="5">
        <f t="shared" si="24"/>
        <v>0</v>
      </c>
      <c r="KT6" s="29">
        <f t="shared" si="25"/>
        <v>0</v>
      </c>
      <c r="KU6" s="5">
        <f t="shared" si="26"/>
        <v>592754</v>
      </c>
      <c r="KV6" s="29">
        <f t="shared" si="27"/>
        <v>0</v>
      </c>
      <c r="KW6" s="5">
        <f t="shared" si="28"/>
        <v>885953</v>
      </c>
      <c r="KX6" s="29">
        <f t="shared" si="29"/>
        <v>0</v>
      </c>
      <c r="KY6" s="5">
        <f t="shared" si="30"/>
        <v>78024219</v>
      </c>
      <c r="KZ6" s="29">
        <f t="shared" si="31"/>
        <v>0</v>
      </c>
      <c r="LA6" s="5">
        <f t="shared" si="32"/>
        <v>9790285</v>
      </c>
      <c r="LB6" s="29">
        <f t="shared" si="33"/>
        <v>0</v>
      </c>
      <c r="LC6" s="5">
        <f t="shared" si="34"/>
        <v>2621551</v>
      </c>
      <c r="LD6" s="29">
        <f t="shared" si="35"/>
        <v>0</v>
      </c>
      <c r="LE6" s="5">
        <f t="shared" si="36"/>
        <v>14023955</v>
      </c>
      <c r="LF6" s="29">
        <f t="shared" si="37"/>
        <v>0</v>
      </c>
      <c r="LG6" s="5">
        <f t="shared" si="38"/>
        <v>968000</v>
      </c>
      <c r="LH6" s="29">
        <f t="shared" si="39"/>
        <v>0</v>
      </c>
      <c r="LI6" s="5">
        <f t="shared" si="40"/>
        <v>10002660</v>
      </c>
      <c r="LJ6" s="29">
        <f t="shared" si="41"/>
        <v>0</v>
      </c>
      <c r="LK6" s="5">
        <f t="shared" si="42"/>
        <v>0</v>
      </c>
      <c r="LL6" s="29">
        <f t="shared" si="43"/>
        <v>0</v>
      </c>
      <c r="LM6" s="5">
        <f t="shared" si="44"/>
        <v>0</v>
      </c>
      <c r="LN6" s="29">
        <f t="shared" si="45"/>
        <v>0</v>
      </c>
      <c r="LO6" s="5">
        <f t="shared" si="46"/>
        <v>1117533</v>
      </c>
      <c r="LP6" s="29">
        <f t="shared" si="47"/>
        <v>0</v>
      </c>
      <c r="LQ6" s="5">
        <f t="shared" si="48"/>
        <v>4549454</v>
      </c>
      <c r="LR6" s="29">
        <f t="shared" si="49"/>
        <v>0</v>
      </c>
      <c r="LS6" s="5">
        <f t="shared" si="50"/>
        <v>1342525</v>
      </c>
      <c r="LT6" s="29">
        <f t="shared" si="51"/>
        <v>0</v>
      </c>
      <c r="LU6" s="5">
        <f t="shared" si="52"/>
        <v>3413796</v>
      </c>
      <c r="LV6" s="29">
        <f t="shared" si="53"/>
        <v>0</v>
      </c>
      <c r="LW6" s="5">
        <f t="shared" si="54"/>
        <v>991272</v>
      </c>
      <c r="LX6" s="29">
        <f t="shared" si="55"/>
        <v>0</v>
      </c>
      <c r="LY6" s="5">
        <f t="shared" si="56"/>
        <v>0</v>
      </c>
      <c r="LZ6" s="29">
        <f t="shared" si="57"/>
        <v>0</v>
      </c>
      <c r="MA6" s="5">
        <f t="shared" si="58"/>
        <v>19905947</v>
      </c>
      <c r="MB6" s="29">
        <f t="shared" si="59"/>
        <v>0</v>
      </c>
      <c r="MC6" s="5">
        <f t="shared" si="60"/>
        <v>141372</v>
      </c>
      <c r="MD6" s="29">
        <f t="shared" si="61"/>
        <v>0</v>
      </c>
      <c r="ME6" s="5">
        <f t="shared" si="62"/>
        <v>1056600</v>
      </c>
      <c r="MF6" s="29">
        <f t="shared" si="63"/>
        <v>0</v>
      </c>
      <c r="MG6" s="5">
        <f t="shared" si="64"/>
        <v>1074461</v>
      </c>
      <c r="MH6" s="29">
        <f t="shared" si="65"/>
        <v>0</v>
      </c>
      <c r="MI6" s="5">
        <f t="shared" si="66"/>
        <v>112644</v>
      </c>
      <c r="MJ6" s="29">
        <f t="shared" si="67"/>
        <v>0</v>
      </c>
      <c r="MK6" s="5">
        <f t="shared" si="68"/>
        <v>5690623</v>
      </c>
      <c r="ML6" s="29">
        <f t="shared" si="69"/>
        <v>0</v>
      </c>
      <c r="MM6" s="5">
        <f t="shared" si="70"/>
        <v>76802678</v>
      </c>
      <c r="MN6" s="29">
        <f t="shared" si="71"/>
        <v>0</v>
      </c>
      <c r="MO6" s="5">
        <f t="shared" si="72"/>
        <v>0</v>
      </c>
      <c r="MP6" s="29">
        <f t="shared" si="73"/>
        <v>0</v>
      </c>
      <c r="MQ6" s="5">
        <f t="shared" si="74"/>
        <v>76802678</v>
      </c>
      <c r="MR6" s="29">
        <f t="shared" si="75"/>
        <v>0</v>
      </c>
      <c r="MT6" s="5">
        <f t="shared" si="76"/>
        <v>0</v>
      </c>
      <c r="MV6" s="4">
        <f t="shared" si="77"/>
        <v>0</v>
      </c>
    </row>
    <row r="7" spans="1:360" x14ac:dyDescent="0.15">
      <c r="A7" s="155" t="s">
        <v>286</v>
      </c>
      <c r="B7" s="28" t="s">
        <v>406</v>
      </c>
      <c r="C7" s="48">
        <v>104151</v>
      </c>
      <c r="D7" s="48">
        <v>2012</v>
      </c>
      <c r="E7" s="49">
        <v>1</v>
      </c>
      <c r="F7" s="49">
        <v>4</v>
      </c>
      <c r="G7" s="50">
        <v>24941</v>
      </c>
      <c r="H7" s="50">
        <v>25543</v>
      </c>
      <c r="I7" s="51">
        <v>1558467000</v>
      </c>
      <c r="J7" s="51"/>
      <c r="K7" s="51">
        <v>4844000</v>
      </c>
      <c r="L7" s="51"/>
      <c r="M7" s="51">
        <v>91034000</v>
      </c>
      <c r="N7" s="51"/>
      <c r="O7" s="51">
        <v>29734000</v>
      </c>
      <c r="P7" s="51"/>
      <c r="Q7" s="51">
        <v>1275403000</v>
      </c>
      <c r="R7" s="51"/>
      <c r="S7" s="51">
        <v>1344663000</v>
      </c>
      <c r="T7" s="51"/>
      <c r="U7" s="51">
        <v>20589</v>
      </c>
      <c r="V7" s="51"/>
      <c r="W7" s="51">
        <v>33821</v>
      </c>
      <c r="X7" s="51"/>
      <c r="Y7" s="51">
        <v>23295</v>
      </c>
      <c r="Z7" s="51"/>
      <c r="AA7" s="51">
        <v>36527</v>
      </c>
      <c r="AB7" s="51"/>
      <c r="AC7" s="72">
        <v>9</v>
      </c>
      <c r="AD7" s="72">
        <v>12</v>
      </c>
      <c r="AE7" s="72">
        <v>0</v>
      </c>
      <c r="AF7" s="29">
        <v>6089904</v>
      </c>
      <c r="AG7" s="29">
        <v>4411631</v>
      </c>
      <c r="AH7" s="29">
        <v>614180</v>
      </c>
      <c r="AI7" s="29">
        <v>283397</v>
      </c>
      <c r="AJ7" s="29">
        <v>765000.17</v>
      </c>
      <c r="AK7" s="73">
        <v>6</v>
      </c>
      <c r="AL7" s="29">
        <v>648000.4</v>
      </c>
      <c r="AM7" s="73">
        <v>7</v>
      </c>
      <c r="AN7" s="29">
        <v>192673</v>
      </c>
      <c r="AO7" s="73">
        <v>9</v>
      </c>
      <c r="AP7" s="29">
        <v>173406</v>
      </c>
      <c r="AQ7" s="73">
        <v>10</v>
      </c>
      <c r="AR7" s="29">
        <v>175826</v>
      </c>
      <c r="AS7" s="73">
        <v>21</v>
      </c>
      <c r="AT7" s="29">
        <v>147694</v>
      </c>
      <c r="AU7" s="73">
        <v>25</v>
      </c>
      <c r="AV7" s="29">
        <v>88010</v>
      </c>
      <c r="AW7" s="73">
        <v>17</v>
      </c>
      <c r="AX7" s="29">
        <v>71246</v>
      </c>
      <c r="AY7" s="73">
        <v>21</v>
      </c>
      <c r="AZ7" s="97">
        <v>7102040</v>
      </c>
      <c r="BA7" s="97">
        <v>978470</v>
      </c>
      <c r="BB7" s="97">
        <v>81215</v>
      </c>
      <c r="BC7" s="97">
        <v>897347</v>
      </c>
      <c r="BD7" s="97">
        <v>0</v>
      </c>
      <c r="BE7" s="97">
        <f>SUM(AZ7:BD7)</f>
        <v>9059072</v>
      </c>
      <c r="BF7" s="97">
        <v>0</v>
      </c>
      <c r="BG7" s="97">
        <v>0</v>
      </c>
      <c r="BH7" s="97">
        <v>0</v>
      </c>
      <c r="BI7" s="97">
        <v>0</v>
      </c>
      <c r="BJ7" s="97">
        <v>0</v>
      </c>
      <c r="BK7" s="97">
        <v>0</v>
      </c>
      <c r="BL7" s="97">
        <v>796330</v>
      </c>
      <c r="BM7" s="97">
        <v>186321</v>
      </c>
      <c r="BN7" s="97">
        <v>0</v>
      </c>
      <c r="BO7" s="97">
        <v>0</v>
      </c>
      <c r="BP7" s="97">
        <v>0</v>
      </c>
      <c r="BQ7" s="97">
        <f>SUM(BL7:BP7)</f>
        <v>982651</v>
      </c>
      <c r="BR7" s="97">
        <v>7191489</v>
      </c>
      <c r="BS7" s="97">
        <v>1386141</v>
      </c>
      <c r="BT7" s="97">
        <v>565559</v>
      </c>
      <c r="BU7" s="97">
        <v>811360</v>
      </c>
      <c r="BV7" s="97">
        <v>1311183</v>
      </c>
      <c r="BW7" s="97">
        <f>SUM(BR7:BV7)</f>
        <v>11265732</v>
      </c>
      <c r="BX7" s="97">
        <v>94055</v>
      </c>
      <c r="BY7" s="97">
        <v>23647</v>
      </c>
      <c r="BZ7" s="97">
        <v>19512</v>
      </c>
      <c r="CA7" s="97">
        <v>133635</v>
      </c>
      <c r="CB7" s="97">
        <v>118822</v>
      </c>
      <c r="CC7" s="97">
        <f>SUM(BX7:CB7)</f>
        <v>389671</v>
      </c>
      <c r="CD7" s="97">
        <v>0</v>
      </c>
      <c r="CE7" s="97">
        <v>0</v>
      </c>
      <c r="CF7" s="97">
        <v>0</v>
      </c>
      <c r="CG7" s="97">
        <v>0</v>
      </c>
      <c r="CH7" s="97">
        <v>0</v>
      </c>
      <c r="CI7" s="97">
        <v>0</v>
      </c>
      <c r="CJ7" s="97">
        <v>0</v>
      </c>
      <c r="CK7" s="97"/>
      <c r="CL7" s="97">
        <v>0</v>
      </c>
      <c r="CM7" s="97">
        <v>0</v>
      </c>
      <c r="CN7" s="97">
        <v>8896167</v>
      </c>
      <c r="CO7" s="97">
        <v>8896167</v>
      </c>
      <c r="CP7" s="97">
        <v>453012</v>
      </c>
      <c r="CQ7" s="97">
        <v>86407</v>
      </c>
      <c r="CR7" s="97">
        <v>86407</v>
      </c>
      <c r="CS7" s="97">
        <v>369823</v>
      </c>
      <c r="CT7" s="97">
        <v>452025</v>
      </c>
      <c r="CU7" s="97">
        <f>SUM(CP7:CT7)</f>
        <v>1447674</v>
      </c>
      <c r="CV7" s="97">
        <v>8113463</v>
      </c>
      <c r="CW7" s="97">
        <v>3191597</v>
      </c>
      <c r="CX7" s="97">
        <v>0</v>
      </c>
      <c r="CY7" s="97">
        <v>0</v>
      </c>
      <c r="CZ7" s="97">
        <v>1594410</v>
      </c>
      <c r="DA7" s="97">
        <f>SUM(CV7:CZ7)</f>
        <v>12899470</v>
      </c>
      <c r="DB7" s="97">
        <v>0</v>
      </c>
      <c r="DC7" s="97">
        <v>0</v>
      </c>
      <c r="DD7" s="97">
        <v>0</v>
      </c>
      <c r="DE7" s="97">
        <v>0</v>
      </c>
      <c r="DF7" s="97">
        <v>0</v>
      </c>
      <c r="DG7" s="97">
        <v>0</v>
      </c>
      <c r="DH7" s="97">
        <v>1632484</v>
      </c>
      <c r="DI7" s="97">
        <v>180460</v>
      </c>
      <c r="DJ7" s="97">
        <v>18254</v>
      </c>
      <c r="DK7" s="97">
        <v>134000</v>
      </c>
      <c r="DL7" s="97">
        <v>39923</v>
      </c>
      <c r="DM7" s="97">
        <v>2005121</v>
      </c>
      <c r="DN7" s="97">
        <v>8133704</v>
      </c>
      <c r="DO7" s="97">
        <v>1189809</v>
      </c>
      <c r="DP7" s="97">
        <v>177047</v>
      </c>
      <c r="DQ7" s="97">
        <v>1595779</v>
      </c>
      <c r="DR7" s="97">
        <v>71000</v>
      </c>
      <c r="DS7" s="97">
        <f>SUM(DN7:DR7)</f>
        <v>11167339</v>
      </c>
      <c r="DT7" s="97">
        <v>108746</v>
      </c>
      <c r="DU7" s="97">
        <v>0</v>
      </c>
      <c r="DV7" s="97">
        <v>0</v>
      </c>
      <c r="DW7" s="97">
        <v>0</v>
      </c>
      <c r="DX7" s="97">
        <v>0</v>
      </c>
      <c r="DY7" s="99">
        <v>108746</v>
      </c>
      <c r="DZ7" s="97">
        <v>4968</v>
      </c>
      <c r="EA7" s="97">
        <v>0</v>
      </c>
      <c r="EB7" s="97">
        <v>0</v>
      </c>
      <c r="EC7" s="97">
        <v>50420</v>
      </c>
      <c r="ED7" s="97">
        <v>991903</v>
      </c>
      <c r="EE7" s="97">
        <f>SUM(DZ7:ED7)</f>
        <v>1047291</v>
      </c>
      <c r="EF7" s="97">
        <v>185703</v>
      </c>
      <c r="EG7" s="97">
        <v>27495</v>
      </c>
      <c r="EH7" s="97">
        <v>2774</v>
      </c>
      <c r="EI7" s="97">
        <v>66620</v>
      </c>
      <c r="EJ7" s="97">
        <v>303982</v>
      </c>
      <c r="EK7" s="97">
        <f>SUM(EF7:EJ7)</f>
        <v>586574</v>
      </c>
      <c r="EL7" s="97">
        <v>33815994</v>
      </c>
      <c r="EM7" s="97">
        <v>7250347</v>
      </c>
      <c r="EN7" s="97">
        <v>950768</v>
      </c>
      <c r="EO7" s="97">
        <v>4058984</v>
      </c>
      <c r="EP7" s="97">
        <v>13779415</v>
      </c>
      <c r="EQ7" s="97">
        <f>SUM(EL7:EP7)</f>
        <v>59855508</v>
      </c>
      <c r="ER7" s="97">
        <v>3956017</v>
      </c>
      <c r="ES7" s="97">
        <v>533904</v>
      </c>
      <c r="ET7" s="97">
        <v>493590</v>
      </c>
      <c r="EU7" s="97">
        <v>5518024</v>
      </c>
      <c r="EV7" s="97">
        <v>66630</v>
      </c>
      <c r="EW7" s="97">
        <f>SUM(ER7:EV7)</f>
        <v>10568165</v>
      </c>
      <c r="EX7" s="97">
        <v>1871868</v>
      </c>
      <c r="EY7" s="97">
        <v>534335</v>
      </c>
      <c r="EZ7" s="97">
        <v>56519</v>
      </c>
      <c r="FA7" s="97">
        <v>79582</v>
      </c>
      <c r="FB7" s="97">
        <v>0</v>
      </c>
      <c r="FC7" s="97">
        <f>SUM(EX7:FB7)</f>
        <v>2542304</v>
      </c>
      <c r="FD7" s="97">
        <v>4443422</v>
      </c>
      <c r="FE7" s="97">
        <v>2978195</v>
      </c>
      <c r="FF7" s="97">
        <v>869773</v>
      </c>
      <c r="FG7" s="97">
        <v>3966487</v>
      </c>
      <c r="FH7" s="97">
        <v>0</v>
      </c>
      <c r="FI7" s="97">
        <f>SUM(FD7:FH7)</f>
        <v>12257877</v>
      </c>
      <c r="FJ7" s="97">
        <v>88567</v>
      </c>
      <c r="FK7" s="97">
        <v>22447</v>
      </c>
      <c r="FL7" s="97">
        <v>18312</v>
      </c>
      <c r="FM7" s="97">
        <v>129735</v>
      </c>
      <c r="FN7" s="97">
        <v>0</v>
      </c>
      <c r="FO7" s="97">
        <f>SUM(FJ7:FN7)</f>
        <v>259061</v>
      </c>
      <c r="FP7" s="97">
        <v>988081</v>
      </c>
      <c r="FQ7" s="97">
        <v>230827</v>
      </c>
      <c r="FR7" s="97">
        <v>189650</v>
      </c>
      <c r="FS7" s="97">
        <v>373087</v>
      </c>
      <c r="FT7" s="97">
        <v>6564622</v>
      </c>
      <c r="FU7" s="97">
        <f>SUM(FP7:FT7)</f>
        <v>8346267</v>
      </c>
      <c r="FV7" s="97">
        <v>5488</v>
      </c>
      <c r="FW7" s="97">
        <v>1200</v>
      </c>
      <c r="FX7" s="97">
        <v>1200</v>
      </c>
      <c r="FY7" s="97">
        <v>3900</v>
      </c>
      <c r="FZ7" s="97">
        <v>118822</v>
      </c>
      <c r="GA7" s="97">
        <f>SUM(FV7:FZ7)</f>
        <v>130610</v>
      </c>
      <c r="GB7" s="97">
        <v>2694693</v>
      </c>
      <c r="GC7" s="97">
        <v>0</v>
      </c>
      <c r="GD7" s="97">
        <v>0</v>
      </c>
      <c r="GE7" s="97">
        <v>0</v>
      </c>
      <c r="GF7" s="97">
        <v>936727</v>
      </c>
      <c r="GG7" s="97">
        <f>SUM(GB7:GF7)</f>
        <v>3631420</v>
      </c>
      <c r="GH7" s="97">
        <v>330355</v>
      </c>
      <c r="GI7" s="97">
        <v>154412</v>
      </c>
      <c r="GJ7" s="97">
        <v>108113</v>
      </c>
      <c r="GK7" s="97">
        <v>304697</v>
      </c>
      <c r="GL7" s="97">
        <v>0</v>
      </c>
      <c r="GM7" s="97">
        <f>SUM(GH7:GL7)</f>
        <v>897577</v>
      </c>
      <c r="GN7" s="97">
        <v>1399683</v>
      </c>
      <c r="GO7" s="97">
        <v>289334</v>
      </c>
      <c r="GP7" s="97">
        <v>183678</v>
      </c>
      <c r="GQ7" s="97">
        <v>1776413</v>
      </c>
      <c r="GR7" s="97">
        <v>6596</v>
      </c>
      <c r="GS7" s="97">
        <f>SUM(GN7:GR7)</f>
        <v>3655704</v>
      </c>
      <c r="GT7" s="97">
        <v>1256995</v>
      </c>
      <c r="GU7" s="97">
        <v>166016</v>
      </c>
      <c r="GV7" s="97">
        <v>106403</v>
      </c>
      <c r="GW7" s="97">
        <v>988701</v>
      </c>
      <c r="GX7" s="97">
        <v>893810</v>
      </c>
      <c r="GY7" s="97">
        <f>SUM(GT7:GX7)</f>
        <v>3411925</v>
      </c>
      <c r="GZ7" s="97">
        <v>2476470</v>
      </c>
      <c r="HA7" s="97">
        <v>354556</v>
      </c>
      <c r="HB7" s="97">
        <v>179820</v>
      </c>
      <c r="HC7" s="97">
        <v>478224</v>
      </c>
      <c r="HD7" s="97">
        <v>101132</v>
      </c>
      <c r="HE7" s="97">
        <f>SUM(GZ7:HD7)</f>
        <v>3590202</v>
      </c>
      <c r="HF7" s="97">
        <v>2139209</v>
      </c>
      <c r="HG7" s="97">
        <v>186124</v>
      </c>
      <c r="HH7" s="97">
        <v>33303</v>
      </c>
      <c r="HI7" s="97">
        <v>273496</v>
      </c>
      <c r="HJ7" s="97">
        <v>772993</v>
      </c>
      <c r="HK7" s="97">
        <f>SUM(HF7:HJ7)</f>
        <v>3405125</v>
      </c>
      <c r="HL7" s="97">
        <v>108746</v>
      </c>
      <c r="HM7" s="97">
        <v>0</v>
      </c>
      <c r="HN7" s="97">
        <v>0</v>
      </c>
      <c r="HO7" s="97">
        <v>0</v>
      </c>
      <c r="HP7" s="97">
        <v>0</v>
      </c>
      <c r="HQ7" s="99">
        <v>108746</v>
      </c>
      <c r="HR7" s="97">
        <v>1097658</v>
      </c>
      <c r="HS7" s="97">
        <v>1172297</v>
      </c>
      <c r="HT7" s="97">
        <v>1172103</v>
      </c>
      <c r="HU7" s="97">
        <v>1235930</v>
      </c>
      <c r="HV7" s="97">
        <v>1774472</v>
      </c>
      <c r="HW7" s="97">
        <f>SUM(HR7:HV7)</f>
        <v>6452460</v>
      </c>
      <c r="HX7" s="97">
        <v>0</v>
      </c>
      <c r="HY7" s="97">
        <v>0</v>
      </c>
      <c r="HZ7" s="97">
        <v>0</v>
      </c>
      <c r="IA7" s="97">
        <v>0</v>
      </c>
      <c r="IB7" s="97">
        <v>0</v>
      </c>
      <c r="IC7" s="97">
        <v>0</v>
      </c>
      <c r="ID7" s="97">
        <v>453012</v>
      </c>
      <c r="IE7" s="97">
        <v>86407</v>
      </c>
      <c r="IF7" s="97">
        <v>86407</v>
      </c>
      <c r="IG7" s="97">
        <v>369823</v>
      </c>
      <c r="IH7" s="97">
        <v>452052</v>
      </c>
      <c r="II7" s="97">
        <f>SUM(ID7:IH7)</f>
        <v>1447701</v>
      </c>
      <c r="IJ7" s="97">
        <v>358402</v>
      </c>
      <c r="IK7" s="97">
        <v>28823</v>
      </c>
      <c r="IL7" s="97">
        <v>54148</v>
      </c>
      <c r="IM7" s="97">
        <v>680018</v>
      </c>
      <c r="IN7" s="97">
        <v>0</v>
      </c>
      <c r="IO7" s="97">
        <f>SUM(IJ7:IN7)</f>
        <v>1121391</v>
      </c>
      <c r="IP7" s="97">
        <v>2120</v>
      </c>
      <c r="IQ7" s="97">
        <v>2214</v>
      </c>
      <c r="IR7" s="97">
        <v>2345</v>
      </c>
      <c r="IS7" s="97">
        <v>17796</v>
      </c>
      <c r="IT7" s="97">
        <v>8749</v>
      </c>
      <c r="IU7" s="97">
        <f>SUM(IP7:IT7)</f>
        <v>33224</v>
      </c>
      <c r="IV7" s="97">
        <v>870776</v>
      </c>
      <c r="IW7" s="97">
        <v>119050</v>
      </c>
      <c r="IX7" s="97">
        <v>107211</v>
      </c>
      <c r="IY7" s="97">
        <v>768118</v>
      </c>
      <c r="IZ7" s="97">
        <v>2062296</v>
      </c>
      <c r="JA7" s="97">
        <f>SUM(IV7:IZ7)</f>
        <v>3927451</v>
      </c>
      <c r="JB7" s="97">
        <v>24541562</v>
      </c>
      <c r="JC7" s="97">
        <v>6060861</v>
      </c>
      <c r="JD7" s="97">
        <v>3662575</v>
      </c>
      <c r="JE7" s="97">
        <v>16964031</v>
      </c>
      <c r="JF7" s="97">
        <v>14358874</v>
      </c>
      <c r="JG7" s="97">
        <v>65587903</v>
      </c>
      <c r="JH7" s="97">
        <v>0</v>
      </c>
      <c r="JI7" s="97">
        <v>0</v>
      </c>
      <c r="JJ7" s="97">
        <v>0</v>
      </c>
      <c r="JK7" s="97">
        <v>0</v>
      </c>
      <c r="JL7" s="97">
        <v>0</v>
      </c>
      <c r="JM7" s="97">
        <v>0</v>
      </c>
      <c r="JN7" s="97">
        <v>24541562</v>
      </c>
      <c r="JO7" s="99">
        <v>6060861</v>
      </c>
      <c r="JP7" s="99">
        <v>3662575</v>
      </c>
      <c r="JQ7" s="99">
        <v>16964031</v>
      </c>
      <c r="JR7" s="99">
        <v>14358874</v>
      </c>
      <c r="JS7" s="99">
        <v>65587903</v>
      </c>
      <c r="JU7" s="5">
        <f t="shared" si="0"/>
        <v>9059072</v>
      </c>
      <c r="JV7" s="29">
        <f t="shared" si="1"/>
        <v>0</v>
      </c>
      <c r="JW7" s="5">
        <f t="shared" si="2"/>
        <v>0</v>
      </c>
      <c r="JX7" s="29">
        <f t="shared" si="3"/>
        <v>0</v>
      </c>
      <c r="JY7" s="5">
        <f t="shared" si="4"/>
        <v>982651</v>
      </c>
      <c r="JZ7" s="29">
        <f t="shared" si="5"/>
        <v>0</v>
      </c>
      <c r="KA7" s="5">
        <f t="shared" si="6"/>
        <v>11265732</v>
      </c>
      <c r="KB7" s="29">
        <f t="shared" si="7"/>
        <v>0</v>
      </c>
      <c r="KC7" s="5">
        <f t="shared" si="8"/>
        <v>389671</v>
      </c>
      <c r="KD7" s="29">
        <f t="shared" si="9"/>
        <v>0</v>
      </c>
      <c r="KE7" s="5">
        <f t="shared" si="10"/>
        <v>0</v>
      </c>
      <c r="KF7" s="29">
        <f t="shared" si="11"/>
        <v>0</v>
      </c>
      <c r="KG7" s="5">
        <f t="shared" si="12"/>
        <v>8896167</v>
      </c>
      <c r="KH7" s="29">
        <f t="shared" si="13"/>
        <v>0</v>
      </c>
      <c r="KI7" s="5">
        <f t="shared" si="14"/>
        <v>1447674</v>
      </c>
      <c r="KJ7" s="29">
        <f t="shared" si="15"/>
        <v>0</v>
      </c>
      <c r="KK7" s="5">
        <f t="shared" si="16"/>
        <v>12899470</v>
      </c>
      <c r="KL7" s="29">
        <f t="shared" si="17"/>
        <v>0</v>
      </c>
      <c r="KM7" s="5">
        <f t="shared" si="18"/>
        <v>0</v>
      </c>
      <c r="KN7" s="29">
        <f t="shared" si="19"/>
        <v>0</v>
      </c>
      <c r="KO7" s="5">
        <f t="shared" si="20"/>
        <v>2005121</v>
      </c>
      <c r="KP7" s="29">
        <f t="shared" si="21"/>
        <v>0</v>
      </c>
      <c r="KQ7" s="5">
        <f t="shared" si="22"/>
        <v>11167339</v>
      </c>
      <c r="KR7" s="29">
        <f t="shared" si="23"/>
        <v>0</v>
      </c>
      <c r="KS7" s="5">
        <f t="shared" si="24"/>
        <v>108746</v>
      </c>
      <c r="KT7" s="29">
        <f t="shared" si="25"/>
        <v>0</v>
      </c>
      <c r="KU7" s="5">
        <f t="shared" si="26"/>
        <v>1047291</v>
      </c>
      <c r="KV7" s="29">
        <f t="shared" si="27"/>
        <v>0</v>
      </c>
      <c r="KW7" s="5">
        <f t="shared" si="28"/>
        <v>586574</v>
      </c>
      <c r="KX7" s="29">
        <f t="shared" si="29"/>
        <v>0</v>
      </c>
      <c r="KY7" s="5">
        <f t="shared" si="30"/>
        <v>59855508</v>
      </c>
      <c r="KZ7" s="29">
        <f t="shared" si="31"/>
        <v>0</v>
      </c>
      <c r="LA7" s="5">
        <f t="shared" si="32"/>
        <v>10568165</v>
      </c>
      <c r="LB7" s="29">
        <f t="shared" si="33"/>
        <v>0</v>
      </c>
      <c r="LC7" s="5">
        <f t="shared" si="34"/>
        <v>2542304</v>
      </c>
      <c r="LD7" s="29">
        <f t="shared" si="35"/>
        <v>0</v>
      </c>
      <c r="LE7" s="5">
        <f t="shared" si="36"/>
        <v>12257877</v>
      </c>
      <c r="LF7" s="29">
        <f t="shared" si="37"/>
        <v>0</v>
      </c>
      <c r="LG7" s="5">
        <f t="shared" si="38"/>
        <v>259061</v>
      </c>
      <c r="LH7" s="29">
        <f t="shared" si="39"/>
        <v>0</v>
      </c>
      <c r="LI7" s="5">
        <f t="shared" si="40"/>
        <v>8346267</v>
      </c>
      <c r="LJ7" s="29">
        <f t="shared" si="41"/>
        <v>0</v>
      </c>
      <c r="LK7" s="5">
        <f t="shared" si="42"/>
        <v>130610</v>
      </c>
      <c r="LL7" s="29">
        <f t="shared" si="43"/>
        <v>0</v>
      </c>
      <c r="LM7" s="5">
        <f t="shared" si="44"/>
        <v>3631420</v>
      </c>
      <c r="LN7" s="29">
        <f t="shared" si="45"/>
        <v>0</v>
      </c>
      <c r="LO7" s="5">
        <f t="shared" si="46"/>
        <v>897577</v>
      </c>
      <c r="LP7" s="29">
        <f t="shared" si="47"/>
        <v>0</v>
      </c>
      <c r="LQ7" s="5">
        <f t="shared" si="48"/>
        <v>3655704</v>
      </c>
      <c r="LR7" s="29">
        <f t="shared" si="49"/>
        <v>0</v>
      </c>
      <c r="LS7" s="5">
        <f t="shared" si="50"/>
        <v>3411925</v>
      </c>
      <c r="LT7" s="29">
        <f t="shared" si="51"/>
        <v>0</v>
      </c>
      <c r="LU7" s="5">
        <f t="shared" si="52"/>
        <v>3590202</v>
      </c>
      <c r="LV7" s="29">
        <f t="shared" si="53"/>
        <v>0</v>
      </c>
      <c r="LW7" s="5">
        <f t="shared" si="54"/>
        <v>3405125</v>
      </c>
      <c r="LX7" s="29">
        <f t="shared" si="55"/>
        <v>0</v>
      </c>
      <c r="LY7" s="5">
        <f t="shared" si="56"/>
        <v>108746</v>
      </c>
      <c r="LZ7" s="29">
        <f t="shared" si="57"/>
        <v>0</v>
      </c>
      <c r="MA7" s="5">
        <f t="shared" si="58"/>
        <v>6452460</v>
      </c>
      <c r="MB7" s="29">
        <f t="shared" si="59"/>
        <v>0</v>
      </c>
      <c r="MC7" s="5">
        <f t="shared" si="60"/>
        <v>0</v>
      </c>
      <c r="MD7" s="29">
        <f t="shared" si="61"/>
        <v>0</v>
      </c>
      <c r="ME7" s="5">
        <f t="shared" si="62"/>
        <v>1447701</v>
      </c>
      <c r="MF7" s="29">
        <f t="shared" si="63"/>
        <v>0</v>
      </c>
      <c r="MG7" s="5">
        <f t="shared" si="64"/>
        <v>1121391</v>
      </c>
      <c r="MH7" s="29">
        <f t="shared" si="65"/>
        <v>0</v>
      </c>
      <c r="MI7" s="5">
        <f t="shared" si="66"/>
        <v>33224</v>
      </c>
      <c r="MJ7" s="29">
        <f t="shared" si="67"/>
        <v>0</v>
      </c>
      <c r="MK7" s="5">
        <f t="shared" si="68"/>
        <v>3927451</v>
      </c>
      <c r="ML7" s="29">
        <f t="shared" si="69"/>
        <v>0</v>
      </c>
      <c r="MM7" s="5">
        <f t="shared" si="70"/>
        <v>65587903</v>
      </c>
      <c r="MN7" s="29">
        <f t="shared" si="71"/>
        <v>0</v>
      </c>
      <c r="MO7" s="5">
        <f t="shared" si="72"/>
        <v>0</v>
      </c>
      <c r="MP7" s="29">
        <f t="shared" si="73"/>
        <v>0</v>
      </c>
      <c r="MQ7" s="5">
        <f t="shared" si="74"/>
        <v>65587903</v>
      </c>
      <c r="MR7" s="29">
        <f t="shared" si="75"/>
        <v>0</v>
      </c>
      <c r="MT7" s="5">
        <f t="shared" si="76"/>
        <v>0</v>
      </c>
      <c r="MV7" s="4">
        <f t="shared" si="77"/>
        <v>0</v>
      </c>
    </row>
    <row r="8" spans="1:360" x14ac:dyDescent="0.15">
      <c r="A8" s="157" t="s">
        <v>287</v>
      </c>
      <c r="B8" s="28" t="s">
        <v>458</v>
      </c>
      <c r="C8" s="48">
        <v>157951</v>
      </c>
      <c r="D8" s="48">
        <v>2012</v>
      </c>
      <c r="E8" s="49">
        <v>1</v>
      </c>
      <c r="F8" s="49">
        <v>5</v>
      </c>
      <c r="G8" s="50">
        <v>8326</v>
      </c>
      <c r="H8" s="50">
        <v>8151</v>
      </c>
      <c r="I8" s="51">
        <v>585887960</v>
      </c>
      <c r="J8" s="51"/>
      <c r="K8" s="51">
        <v>7642012</v>
      </c>
      <c r="L8" s="51"/>
      <c r="M8" s="51">
        <v>34983418</v>
      </c>
      <c r="N8" s="51"/>
      <c r="O8" s="51">
        <v>60244811</v>
      </c>
      <c r="P8" s="51"/>
      <c r="Q8" s="51">
        <v>560764240</v>
      </c>
      <c r="R8" s="51"/>
      <c r="S8" s="51">
        <v>450330909</v>
      </c>
      <c r="T8" s="51"/>
      <c r="U8" s="51">
        <v>15904</v>
      </c>
      <c r="V8" s="51"/>
      <c r="W8" s="51">
        <v>26337</v>
      </c>
      <c r="X8" s="51"/>
      <c r="Y8" s="51">
        <v>20464</v>
      </c>
      <c r="Z8" s="51"/>
      <c r="AA8" s="51">
        <v>30896</v>
      </c>
      <c r="AB8" s="51"/>
      <c r="AC8" s="72">
        <v>8</v>
      </c>
      <c r="AD8" s="72">
        <v>11</v>
      </c>
      <c r="AE8" s="72">
        <v>0</v>
      </c>
      <c r="AF8" s="29">
        <v>4065264</v>
      </c>
      <c r="AG8" s="29">
        <v>3560669</v>
      </c>
      <c r="AH8" s="29">
        <v>1146830</v>
      </c>
      <c r="AI8" s="29">
        <v>497042</v>
      </c>
      <c r="AJ8" s="29">
        <v>1101596.5</v>
      </c>
      <c r="AK8" s="73">
        <v>6</v>
      </c>
      <c r="AL8" s="29">
        <v>1101596.5</v>
      </c>
      <c r="AM8" s="73">
        <v>6</v>
      </c>
      <c r="AN8" s="29">
        <v>217395.56</v>
      </c>
      <c r="AO8" s="73">
        <v>9</v>
      </c>
      <c r="AP8" s="29">
        <v>217395.56</v>
      </c>
      <c r="AQ8" s="73">
        <v>9</v>
      </c>
      <c r="AR8" s="29">
        <v>283588.11</v>
      </c>
      <c r="AS8" s="73">
        <v>18</v>
      </c>
      <c r="AT8" s="29">
        <v>283588.11</v>
      </c>
      <c r="AU8" s="73">
        <v>18</v>
      </c>
      <c r="AV8" s="29">
        <v>83588.179999999993</v>
      </c>
      <c r="AW8" s="73">
        <v>17</v>
      </c>
      <c r="AX8" s="29">
        <v>83588.179999999993</v>
      </c>
      <c r="AY8" s="73">
        <v>17</v>
      </c>
      <c r="AZ8" s="97">
        <v>29635332</v>
      </c>
      <c r="BA8" s="97">
        <v>6943401</v>
      </c>
      <c r="BB8" s="97">
        <v>90582</v>
      </c>
      <c r="BC8" s="97">
        <v>1969902</v>
      </c>
      <c r="BD8" s="97">
        <v>0</v>
      </c>
      <c r="BE8" s="97">
        <v>38639217</v>
      </c>
      <c r="BF8" s="97">
        <v>0</v>
      </c>
      <c r="BG8" s="97">
        <v>0</v>
      </c>
      <c r="BH8" s="97">
        <v>0</v>
      </c>
      <c r="BI8" s="97">
        <v>0</v>
      </c>
      <c r="BJ8" s="97">
        <v>0</v>
      </c>
      <c r="BK8" s="97">
        <v>0</v>
      </c>
      <c r="BL8" s="97">
        <v>0</v>
      </c>
      <c r="BM8" s="97">
        <v>0</v>
      </c>
      <c r="BN8" s="97">
        <v>0</v>
      </c>
      <c r="BO8" s="97">
        <v>13500</v>
      </c>
      <c r="BP8" s="97">
        <v>0</v>
      </c>
      <c r="BQ8" s="97">
        <v>13500</v>
      </c>
      <c r="BR8" s="97">
        <v>17370567</v>
      </c>
      <c r="BS8" s="97">
        <v>3660681</v>
      </c>
      <c r="BT8" s="97">
        <v>0</v>
      </c>
      <c r="BU8" s="97">
        <v>462749</v>
      </c>
      <c r="BV8" s="97">
        <v>1413005</v>
      </c>
      <c r="BW8" s="97">
        <v>22907002</v>
      </c>
      <c r="BX8" s="97">
        <v>0</v>
      </c>
      <c r="BY8" s="97">
        <v>0</v>
      </c>
      <c r="BZ8" s="97">
        <v>0</v>
      </c>
      <c r="CA8" s="97">
        <v>75000</v>
      </c>
      <c r="CB8" s="97">
        <v>0</v>
      </c>
      <c r="CC8" s="97">
        <v>75000</v>
      </c>
      <c r="CD8" s="97">
        <v>0</v>
      </c>
      <c r="CE8" s="97">
        <v>0</v>
      </c>
      <c r="CF8" s="97">
        <v>0</v>
      </c>
      <c r="CG8" s="97">
        <v>0</v>
      </c>
      <c r="CH8" s="97">
        <v>0</v>
      </c>
      <c r="CI8" s="97">
        <v>0</v>
      </c>
      <c r="CJ8" s="97">
        <v>710863</v>
      </c>
      <c r="CK8" s="97">
        <v>123809</v>
      </c>
      <c r="CL8" s="97">
        <v>134288</v>
      </c>
      <c r="CM8" s="97">
        <v>980220</v>
      </c>
      <c r="CN8" s="97">
        <v>0</v>
      </c>
      <c r="CO8" s="97">
        <v>1949180</v>
      </c>
      <c r="CP8" s="97">
        <v>0</v>
      </c>
      <c r="CQ8" s="97">
        <v>0</v>
      </c>
      <c r="CR8" s="97">
        <v>0</v>
      </c>
      <c r="CS8" s="97">
        <v>0</v>
      </c>
      <c r="CT8" s="97">
        <v>0</v>
      </c>
      <c r="CU8" s="97">
        <v>0</v>
      </c>
      <c r="CV8" s="97">
        <v>14997106</v>
      </c>
      <c r="CW8" s="97">
        <v>5129996</v>
      </c>
      <c r="CX8" s="97">
        <v>75087</v>
      </c>
      <c r="CY8" s="97">
        <v>273777</v>
      </c>
      <c r="CZ8" s="97">
        <v>1692055</v>
      </c>
      <c r="DA8" s="97">
        <v>22168021</v>
      </c>
      <c r="DB8" s="97">
        <v>688304</v>
      </c>
      <c r="DC8" s="97">
        <v>547431</v>
      </c>
      <c r="DD8" s="97">
        <v>0</v>
      </c>
      <c r="DE8" s="97">
        <v>0</v>
      </c>
      <c r="DF8" s="97">
        <v>0</v>
      </c>
      <c r="DG8" s="97">
        <v>1235735</v>
      </c>
      <c r="DH8" s="97">
        <v>697754</v>
      </c>
      <c r="DI8" s="97">
        <v>185617</v>
      </c>
      <c r="DJ8" s="97">
        <v>19790</v>
      </c>
      <c r="DK8" s="97">
        <v>140181</v>
      </c>
      <c r="DL8" s="97">
        <v>1051257</v>
      </c>
      <c r="DM8" s="97">
        <v>2094599</v>
      </c>
      <c r="DN8" s="97">
        <v>5000</v>
      </c>
      <c r="DO8" s="97">
        <v>0</v>
      </c>
      <c r="DP8" s="97">
        <v>0</v>
      </c>
      <c r="DQ8" s="97">
        <v>19500</v>
      </c>
      <c r="DR8" s="97">
        <v>9708631</v>
      </c>
      <c r="DS8" s="97">
        <v>9733131</v>
      </c>
      <c r="DT8" s="97">
        <v>1500</v>
      </c>
      <c r="DU8" s="97">
        <v>975</v>
      </c>
      <c r="DV8" s="97">
        <v>1451</v>
      </c>
      <c r="DW8" s="97">
        <v>7753</v>
      </c>
      <c r="DX8" s="97">
        <v>0</v>
      </c>
      <c r="DY8" s="97">
        <v>11679</v>
      </c>
      <c r="DZ8" s="97">
        <v>0</v>
      </c>
      <c r="EA8" s="97">
        <v>0</v>
      </c>
      <c r="EB8" s="97">
        <v>598</v>
      </c>
      <c r="EC8" s="97">
        <v>5896</v>
      </c>
      <c r="ED8" s="97">
        <v>262669</v>
      </c>
      <c r="EE8" s="97">
        <v>269163</v>
      </c>
      <c r="EF8" s="97">
        <v>87400</v>
      </c>
      <c r="EG8" s="97">
        <v>38740</v>
      </c>
      <c r="EH8" s="97">
        <v>20940</v>
      </c>
      <c r="EI8" s="97">
        <v>66106</v>
      </c>
      <c r="EJ8" s="97">
        <v>448069</v>
      </c>
      <c r="EK8" s="97">
        <v>661255</v>
      </c>
      <c r="EL8" s="97">
        <v>64193826</v>
      </c>
      <c r="EM8" s="97">
        <v>16630650</v>
      </c>
      <c r="EN8" s="97">
        <v>342736</v>
      </c>
      <c r="EO8" s="97">
        <v>4014584</v>
      </c>
      <c r="EP8" s="97">
        <v>14575686</v>
      </c>
      <c r="EQ8" s="97">
        <v>99757482</v>
      </c>
      <c r="ER8" s="97">
        <v>2733009</v>
      </c>
      <c r="ES8" s="97">
        <v>416317</v>
      </c>
      <c r="ET8" s="97">
        <v>488251</v>
      </c>
      <c r="EU8" s="97">
        <v>3988356</v>
      </c>
      <c r="EV8" s="97">
        <v>307122</v>
      </c>
      <c r="EW8" s="97">
        <v>7933055</v>
      </c>
      <c r="EX8" s="97">
        <v>2245000</v>
      </c>
      <c r="EY8" s="97">
        <v>1092199</v>
      </c>
      <c r="EZ8" s="97">
        <v>100818</v>
      </c>
      <c r="FA8" s="97">
        <v>136302</v>
      </c>
      <c r="FB8" s="97">
        <v>0</v>
      </c>
      <c r="FC8" s="97">
        <v>3574319</v>
      </c>
      <c r="FD8" s="97">
        <v>6322127</v>
      </c>
      <c r="FE8" s="97">
        <v>3327919</v>
      </c>
      <c r="FF8" s="97">
        <v>993823</v>
      </c>
      <c r="FG8" s="97">
        <v>4447855</v>
      </c>
      <c r="FH8" s="97">
        <v>0</v>
      </c>
      <c r="FI8" s="97">
        <v>15091724</v>
      </c>
      <c r="FJ8" s="97">
        <v>0</v>
      </c>
      <c r="FK8" s="97">
        <v>0</v>
      </c>
      <c r="FL8" s="97">
        <v>0</v>
      </c>
      <c r="FM8" s="97">
        <v>75000</v>
      </c>
      <c r="FN8" s="97">
        <v>0</v>
      </c>
      <c r="FO8" s="97">
        <v>75000</v>
      </c>
      <c r="FP8" s="97">
        <v>588340</v>
      </c>
      <c r="FQ8" s="97">
        <v>460806</v>
      </c>
      <c r="FR8" s="97">
        <v>217814</v>
      </c>
      <c r="FS8" s="97">
        <v>336074</v>
      </c>
      <c r="FT8" s="97">
        <v>14089714</v>
      </c>
      <c r="FU8" s="97">
        <v>15692748</v>
      </c>
      <c r="FV8" s="97">
        <v>0</v>
      </c>
      <c r="FW8" s="97">
        <v>0</v>
      </c>
      <c r="FX8" s="97">
        <v>0</v>
      </c>
      <c r="FY8" s="97">
        <v>0</v>
      </c>
      <c r="FZ8" s="97">
        <v>0</v>
      </c>
      <c r="GA8" s="97">
        <v>0</v>
      </c>
      <c r="GB8" s="97">
        <v>163298</v>
      </c>
      <c r="GC8" s="97">
        <v>0</v>
      </c>
      <c r="GD8" s="97">
        <v>0</v>
      </c>
      <c r="GE8" s="97">
        <v>76557</v>
      </c>
      <c r="GF8" s="97">
        <v>0</v>
      </c>
      <c r="GG8" s="97">
        <v>239855</v>
      </c>
      <c r="GH8" s="97">
        <v>702075</v>
      </c>
      <c r="GI8" s="97">
        <v>269103</v>
      </c>
      <c r="GJ8" s="97">
        <v>127443</v>
      </c>
      <c r="GK8" s="97">
        <v>545251</v>
      </c>
      <c r="GL8" s="97">
        <v>0</v>
      </c>
      <c r="GM8" s="97">
        <v>1643872</v>
      </c>
      <c r="GN8" s="97">
        <v>2490343</v>
      </c>
      <c r="GO8" s="97">
        <v>708408</v>
      </c>
      <c r="GP8" s="97">
        <v>554874</v>
      </c>
      <c r="GQ8" s="97">
        <v>3159517</v>
      </c>
      <c r="GR8" s="97">
        <v>0</v>
      </c>
      <c r="GS8" s="97">
        <v>6913142</v>
      </c>
      <c r="GT8" s="97">
        <v>1121532</v>
      </c>
      <c r="GU8" s="97">
        <v>65850</v>
      </c>
      <c r="GV8" s="97">
        <v>53623</v>
      </c>
      <c r="GW8" s="97">
        <v>799881</v>
      </c>
      <c r="GX8" s="97">
        <v>0</v>
      </c>
      <c r="GY8" s="97">
        <v>2040886</v>
      </c>
      <c r="GZ8" s="97">
        <v>2219051</v>
      </c>
      <c r="HA8" s="97">
        <v>734987</v>
      </c>
      <c r="HB8" s="97">
        <v>219540</v>
      </c>
      <c r="HC8" s="97">
        <v>792100</v>
      </c>
      <c r="HD8" s="97">
        <v>0</v>
      </c>
      <c r="HE8" s="97">
        <v>3965678</v>
      </c>
      <c r="HF8" s="97">
        <v>562926</v>
      </c>
      <c r="HG8" s="97">
        <v>178575</v>
      </c>
      <c r="HH8" s="97">
        <v>3736</v>
      </c>
      <c r="HI8" s="97">
        <v>73003</v>
      </c>
      <c r="HJ8" s="97">
        <v>1987650</v>
      </c>
      <c r="HK8" s="97">
        <v>2805890</v>
      </c>
      <c r="HL8" s="97">
        <v>0</v>
      </c>
      <c r="HM8" s="97">
        <v>0</v>
      </c>
      <c r="HN8" s="97">
        <v>0</v>
      </c>
      <c r="HO8" s="97">
        <v>0</v>
      </c>
      <c r="HP8" s="97">
        <v>0</v>
      </c>
      <c r="HQ8" s="97">
        <v>0</v>
      </c>
      <c r="HR8" s="97">
        <v>3043707</v>
      </c>
      <c r="HS8" s="97">
        <v>481579</v>
      </c>
      <c r="HT8" s="97">
        <v>463478</v>
      </c>
      <c r="HU8" s="97">
        <v>1471452</v>
      </c>
      <c r="HV8" s="97">
        <v>5988662</v>
      </c>
      <c r="HW8" s="97">
        <v>11448878</v>
      </c>
      <c r="HX8" s="97">
        <v>0</v>
      </c>
      <c r="HY8" s="97">
        <v>0</v>
      </c>
      <c r="HZ8" s="97">
        <v>0</v>
      </c>
      <c r="IA8" s="97">
        <v>0</v>
      </c>
      <c r="IB8" s="97">
        <v>977571</v>
      </c>
      <c r="IC8" s="97">
        <v>977571</v>
      </c>
      <c r="ID8" s="97">
        <v>0</v>
      </c>
      <c r="IE8" s="97">
        <v>0</v>
      </c>
      <c r="IF8" s="97">
        <v>0</v>
      </c>
      <c r="IG8" s="97">
        <v>0</v>
      </c>
      <c r="IH8" s="97">
        <v>0</v>
      </c>
      <c r="II8" s="97">
        <v>0</v>
      </c>
      <c r="IJ8" s="97">
        <v>205918</v>
      </c>
      <c r="IK8" s="97">
        <v>52590</v>
      </c>
      <c r="IL8" s="97">
        <v>27364</v>
      </c>
      <c r="IM8" s="97">
        <v>431721</v>
      </c>
      <c r="IN8" s="97">
        <v>531861</v>
      </c>
      <c r="IO8" s="97">
        <v>1249454</v>
      </c>
      <c r="IP8" s="97">
        <v>2725</v>
      </c>
      <c r="IQ8" s="97">
        <v>35</v>
      </c>
      <c r="IR8" s="97">
        <v>990</v>
      </c>
      <c r="IS8" s="97">
        <v>8560</v>
      </c>
      <c r="IT8" s="97">
        <v>31319</v>
      </c>
      <c r="IU8" s="97">
        <v>43629</v>
      </c>
      <c r="IV8" s="97">
        <v>1925122</v>
      </c>
      <c r="IW8" s="97">
        <v>252949</v>
      </c>
      <c r="IX8" s="97">
        <v>110734</v>
      </c>
      <c r="IY8" s="97">
        <v>621368</v>
      </c>
      <c r="IZ8" s="97">
        <v>5864599</v>
      </c>
      <c r="JA8" s="97">
        <v>8774772</v>
      </c>
      <c r="JB8" s="97">
        <v>24325173</v>
      </c>
      <c r="JC8" s="97">
        <v>8041317</v>
      </c>
      <c r="JD8" s="97">
        <v>3362488</v>
      </c>
      <c r="JE8" s="97">
        <v>16962997</v>
      </c>
      <c r="JF8" s="97">
        <v>29778498</v>
      </c>
      <c r="JG8" s="97">
        <v>82470473</v>
      </c>
      <c r="JH8" s="97">
        <v>0</v>
      </c>
      <c r="JI8" s="97">
        <v>0</v>
      </c>
      <c r="JJ8" s="97">
        <v>0</v>
      </c>
      <c r="JK8" s="97">
        <v>0</v>
      </c>
      <c r="JL8" s="97">
        <v>1109500</v>
      </c>
      <c r="JM8" s="97">
        <v>1109500</v>
      </c>
      <c r="JN8" s="97">
        <v>24325173</v>
      </c>
      <c r="JO8" s="97">
        <v>8041317</v>
      </c>
      <c r="JP8" s="97">
        <v>3362488</v>
      </c>
      <c r="JQ8" s="97">
        <v>16962997</v>
      </c>
      <c r="JR8" s="97">
        <v>30887998</v>
      </c>
      <c r="JS8" s="97">
        <v>83579973</v>
      </c>
      <c r="JU8" s="5">
        <f t="shared" si="0"/>
        <v>38639217</v>
      </c>
      <c r="JV8" s="29">
        <f t="shared" si="1"/>
        <v>0</v>
      </c>
      <c r="JW8" s="5">
        <f t="shared" si="2"/>
        <v>0</v>
      </c>
      <c r="JX8" s="29">
        <f t="shared" si="3"/>
        <v>0</v>
      </c>
      <c r="JY8" s="5">
        <f t="shared" si="4"/>
        <v>13500</v>
      </c>
      <c r="JZ8" s="29">
        <f t="shared" si="5"/>
        <v>0</v>
      </c>
      <c r="KA8" s="5">
        <f t="shared" si="6"/>
        <v>22907002</v>
      </c>
      <c r="KB8" s="29">
        <f t="shared" si="7"/>
        <v>0</v>
      </c>
      <c r="KC8" s="5">
        <f t="shared" si="8"/>
        <v>75000</v>
      </c>
      <c r="KD8" s="29">
        <f t="shared" si="9"/>
        <v>0</v>
      </c>
      <c r="KE8" s="5">
        <f t="shared" si="10"/>
        <v>0</v>
      </c>
      <c r="KF8" s="29">
        <f t="shared" si="11"/>
        <v>0</v>
      </c>
      <c r="KG8" s="5">
        <f t="shared" si="12"/>
        <v>1949180</v>
      </c>
      <c r="KH8" s="29">
        <f t="shared" si="13"/>
        <v>0</v>
      </c>
      <c r="KI8" s="5">
        <f t="shared" si="14"/>
        <v>0</v>
      </c>
      <c r="KJ8" s="29">
        <f t="shared" si="15"/>
        <v>0</v>
      </c>
      <c r="KK8" s="5">
        <f t="shared" si="16"/>
        <v>22168021</v>
      </c>
      <c r="KL8" s="29">
        <f t="shared" si="17"/>
        <v>0</v>
      </c>
      <c r="KM8" s="5">
        <f t="shared" si="18"/>
        <v>1235735</v>
      </c>
      <c r="KN8" s="29">
        <f t="shared" si="19"/>
        <v>0</v>
      </c>
      <c r="KO8" s="5">
        <f t="shared" si="20"/>
        <v>2094599</v>
      </c>
      <c r="KP8" s="29">
        <f t="shared" si="21"/>
        <v>0</v>
      </c>
      <c r="KQ8" s="5">
        <f t="shared" si="22"/>
        <v>9733131</v>
      </c>
      <c r="KR8" s="29">
        <f t="shared" si="23"/>
        <v>0</v>
      </c>
      <c r="KS8" s="5">
        <f t="shared" si="24"/>
        <v>11679</v>
      </c>
      <c r="KT8" s="29">
        <f t="shared" si="25"/>
        <v>0</v>
      </c>
      <c r="KU8" s="5">
        <f t="shared" si="26"/>
        <v>269163</v>
      </c>
      <c r="KV8" s="29">
        <f t="shared" si="27"/>
        <v>0</v>
      </c>
      <c r="KW8" s="5">
        <f t="shared" si="28"/>
        <v>661255</v>
      </c>
      <c r="KX8" s="29">
        <f t="shared" si="29"/>
        <v>0</v>
      </c>
      <c r="KY8" s="5">
        <f t="shared" si="30"/>
        <v>99757482</v>
      </c>
      <c r="KZ8" s="29">
        <f t="shared" si="31"/>
        <v>0</v>
      </c>
      <c r="LA8" s="5">
        <f t="shared" si="32"/>
        <v>7933055</v>
      </c>
      <c r="LB8" s="29">
        <f t="shared" si="33"/>
        <v>0</v>
      </c>
      <c r="LC8" s="5">
        <f t="shared" si="34"/>
        <v>3574319</v>
      </c>
      <c r="LD8" s="29">
        <f t="shared" si="35"/>
        <v>0</v>
      </c>
      <c r="LE8" s="5">
        <f t="shared" si="36"/>
        <v>15091724</v>
      </c>
      <c r="LF8" s="29">
        <f t="shared" si="37"/>
        <v>0</v>
      </c>
      <c r="LG8" s="5">
        <f t="shared" si="38"/>
        <v>75000</v>
      </c>
      <c r="LH8" s="29">
        <f t="shared" si="39"/>
        <v>0</v>
      </c>
      <c r="LI8" s="5">
        <f t="shared" si="40"/>
        <v>15692748</v>
      </c>
      <c r="LJ8" s="29">
        <f t="shared" si="41"/>
        <v>0</v>
      </c>
      <c r="LK8" s="5">
        <f t="shared" si="42"/>
        <v>0</v>
      </c>
      <c r="LL8" s="29">
        <f t="shared" si="43"/>
        <v>0</v>
      </c>
      <c r="LM8" s="5">
        <f t="shared" si="44"/>
        <v>239855</v>
      </c>
      <c r="LN8" s="29">
        <f t="shared" si="45"/>
        <v>0</v>
      </c>
      <c r="LO8" s="5">
        <f t="shared" si="46"/>
        <v>1643872</v>
      </c>
      <c r="LP8" s="29">
        <f t="shared" si="47"/>
        <v>0</v>
      </c>
      <c r="LQ8" s="5">
        <f t="shared" si="48"/>
        <v>6913142</v>
      </c>
      <c r="LR8" s="29">
        <f t="shared" si="49"/>
        <v>0</v>
      </c>
      <c r="LS8" s="5">
        <f t="shared" si="50"/>
        <v>2040886</v>
      </c>
      <c r="LT8" s="29">
        <f t="shared" si="51"/>
        <v>0</v>
      </c>
      <c r="LU8" s="5">
        <f t="shared" si="52"/>
        <v>3965678</v>
      </c>
      <c r="LV8" s="29">
        <f t="shared" si="53"/>
        <v>0</v>
      </c>
      <c r="LW8" s="5">
        <f t="shared" si="54"/>
        <v>2805890</v>
      </c>
      <c r="LX8" s="29">
        <f t="shared" si="55"/>
        <v>0</v>
      </c>
      <c r="LY8" s="5">
        <f t="shared" si="56"/>
        <v>0</v>
      </c>
      <c r="LZ8" s="29">
        <f t="shared" si="57"/>
        <v>0</v>
      </c>
      <c r="MA8" s="5">
        <f t="shared" si="58"/>
        <v>11448878</v>
      </c>
      <c r="MB8" s="29">
        <f t="shared" si="59"/>
        <v>0</v>
      </c>
      <c r="MC8" s="5">
        <f t="shared" si="60"/>
        <v>977571</v>
      </c>
      <c r="MD8" s="29">
        <f t="shared" si="61"/>
        <v>0</v>
      </c>
      <c r="ME8" s="5">
        <f t="shared" si="62"/>
        <v>0</v>
      </c>
      <c r="MF8" s="29">
        <f t="shared" si="63"/>
        <v>0</v>
      </c>
      <c r="MG8" s="5">
        <f t="shared" si="64"/>
        <v>1249454</v>
      </c>
      <c r="MH8" s="29">
        <f t="shared" si="65"/>
        <v>0</v>
      </c>
      <c r="MI8" s="5">
        <f t="shared" si="66"/>
        <v>43629</v>
      </c>
      <c r="MJ8" s="29">
        <f t="shared" si="67"/>
        <v>0</v>
      </c>
      <c r="MK8" s="5">
        <f t="shared" si="68"/>
        <v>8774772</v>
      </c>
      <c r="ML8" s="29">
        <f t="shared" si="69"/>
        <v>0</v>
      </c>
      <c r="MM8" s="5">
        <f t="shared" si="70"/>
        <v>82470473</v>
      </c>
      <c r="MN8" s="29">
        <f t="shared" si="71"/>
        <v>0</v>
      </c>
      <c r="MO8" s="5">
        <f t="shared" si="72"/>
        <v>1109500</v>
      </c>
      <c r="MP8" s="29">
        <f t="shared" si="73"/>
        <v>0</v>
      </c>
      <c r="MQ8" s="5">
        <f t="shared" si="74"/>
        <v>83579973</v>
      </c>
      <c r="MR8" s="29">
        <f t="shared" si="75"/>
        <v>0</v>
      </c>
      <c r="MT8" s="5">
        <f t="shared" si="76"/>
        <v>0</v>
      </c>
      <c r="MV8" s="4">
        <f t="shared" si="77"/>
        <v>0</v>
      </c>
    </row>
    <row r="9" spans="1:360" x14ac:dyDescent="0.15">
      <c r="A9" s="157" t="s">
        <v>288</v>
      </c>
      <c r="B9" s="28" t="s">
        <v>462</v>
      </c>
      <c r="C9" s="48">
        <v>106458</v>
      </c>
      <c r="D9" s="48">
        <v>2012</v>
      </c>
      <c r="E9" s="49">
        <v>1</v>
      </c>
      <c r="F9" s="49">
        <v>11</v>
      </c>
      <c r="G9" s="50">
        <v>3288</v>
      </c>
      <c r="H9" s="50">
        <v>4300</v>
      </c>
      <c r="I9" s="51">
        <v>191284823</v>
      </c>
      <c r="J9" s="51"/>
      <c r="K9" s="51">
        <v>0</v>
      </c>
      <c r="L9" s="51"/>
      <c r="M9" s="51">
        <v>9704611</v>
      </c>
      <c r="N9" s="51"/>
      <c r="O9" s="51">
        <v>0</v>
      </c>
      <c r="P9" s="51"/>
      <c r="Q9" s="51">
        <v>134373311</v>
      </c>
      <c r="R9" s="51"/>
      <c r="S9" s="51">
        <v>134880050</v>
      </c>
      <c r="T9" s="51"/>
      <c r="U9" s="51">
        <v>14258</v>
      </c>
      <c r="V9" s="51"/>
      <c r="W9" s="51">
        <v>22808</v>
      </c>
      <c r="X9" s="51"/>
      <c r="Y9" s="51">
        <v>19763</v>
      </c>
      <c r="Z9" s="51"/>
      <c r="AA9" s="51">
        <v>25193</v>
      </c>
      <c r="AB9" s="51"/>
      <c r="AC9" s="74">
        <v>7</v>
      </c>
      <c r="AD9" s="74">
        <v>9</v>
      </c>
      <c r="AE9" s="74">
        <v>0</v>
      </c>
      <c r="AF9" s="29">
        <v>2757672</v>
      </c>
      <c r="AG9" s="29">
        <v>1891625</v>
      </c>
      <c r="AH9" s="29">
        <v>204809</v>
      </c>
      <c r="AI9" s="29">
        <v>95221</v>
      </c>
      <c r="AJ9" s="29">
        <v>120226.66666666667</v>
      </c>
      <c r="AK9" s="73">
        <v>4.5</v>
      </c>
      <c r="AL9" s="29">
        <v>108204</v>
      </c>
      <c r="AM9" s="73">
        <v>5</v>
      </c>
      <c r="AN9" s="29">
        <v>63373.230769230766</v>
      </c>
      <c r="AO9" s="73">
        <v>6.5</v>
      </c>
      <c r="AP9" s="29">
        <v>58846.571428571428</v>
      </c>
      <c r="AQ9" s="73">
        <v>7</v>
      </c>
      <c r="AR9" s="29">
        <v>78846.399999999994</v>
      </c>
      <c r="AS9" s="73">
        <v>16.25</v>
      </c>
      <c r="AT9" s="29">
        <v>61012.095238095237</v>
      </c>
      <c r="AU9" s="73">
        <v>21</v>
      </c>
      <c r="AV9" s="29">
        <v>37984.592592592591</v>
      </c>
      <c r="AW9" s="73">
        <v>6.75</v>
      </c>
      <c r="AX9" s="29">
        <v>23308.727272727272</v>
      </c>
      <c r="AY9" s="73">
        <v>11</v>
      </c>
      <c r="AZ9" s="97">
        <v>927435</v>
      </c>
      <c r="BA9" s="97">
        <v>306265</v>
      </c>
      <c r="BB9" s="97">
        <v>42038</v>
      </c>
      <c r="BC9" s="97">
        <v>21224</v>
      </c>
      <c r="BD9" s="97">
        <v>0</v>
      </c>
      <c r="BE9" s="97">
        <v>1296962</v>
      </c>
      <c r="BF9" s="97">
        <v>810042</v>
      </c>
      <c r="BG9" s="97">
        <v>316973</v>
      </c>
      <c r="BH9" s="97">
        <v>457850</v>
      </c>
      <c r="BI9" s="97">
        <v>1937057</v>
      </c>
      <c r="BJ9" s="97">
        <v>0</v>
      </c>
      <c r="BK9" s="97">
        <v>3521922</v>
      </c>
      <c r="BL9" s="97">
        <v>2050000</v>
      </c>
      <c r="BM9" s="97">
        <v>185000</v>
      </c>
      <c r="BN9" s="97">
        <v>8000</v>
      </c>
      <c r="BO9" s="97">
        <v>2200</v>
      </c>
      <c r="BP9" s="97">
        <v>0</v>
      </c>
      <c r="BQ9" s="97">
        <v>2245200</v>
      </c>
      <c r="BR9" s="97">
        <v>22000</v>
      </c>
      <c r="BS9" s="97">
        <v>15435</v>
      </c>
      <c r="BT9" s="97">
        <v>0</v>
      </c>
      <c r="BU9" s="97">
        <v>2961</v>
      </c>
      <c r="BV9" s="97">
        <v>43841</v>
      </c>
      <c r="BW9" s="97">
        <v>84237</v>
      </c>
      <c r="BX9" s="97">
        <v>313848</v>
      </c>
      <c r="BY9" s="97">
        <v>271002</v>
      </c>
      <c r="BZ9" s="97">
        <v>54363</v>
      </c>
      <c r="CA9" s="97">
        <v>89908</v>
      </c>
      <c r="CB9" s="97">
        <v>27310</v>
      </c>
      <c r="CC9" s="97">
        <v>756431</v>
      </c>
      <c r="CD9" s="97">
        <v>0</v>
      </c>
      <c r="CE9" s="97">
        <v>0</v>
      </c>
      <c r="CF9" s="97">
        <v>0</v>
      </c>
      <c r="CG9" s="97">
        <v>0</v>
      </c>
      <c r="CH9" s="97">
        <v>0</v>
      </c>
      <c r="CI9" s="97">
        <v>0</v>
      </c>
      <c r="CJ9" s="97">
        <v>0</v>
      </c>
      <c r="CK9" s="97">
        <v>0</v>
      </c>
      <c r="CL9" s="97">
        <v>0</v>
      </c>
      <c r="CM9" s="97">
        <v>0</v>
      </c>
      <c r="CN9" s="97">
        <v>5423542</v>
      </c>
      <c r="CO9" s="97">
        <v>5423542</v>
      </c>
      <c r="CP9" s="97">
        <v>0</v>
      </c>
      <c r="CQ9" s="97">
        <v>0</v>
      </c>
      <c r="CR9" s="97">
        <v>0</v>
      </c>
      <c r="CS9" s="97">
        <v>0</v>
      </c>
      <c r="CT9" s="97">
        <v>0</v>
      </c>
      <c r="CU9" s="97">
        <v>0</v>
      </c>
      <c r="CV9" s="97">
        <v>300000</v>
      </c>
      <c r="CW9" s="97">
        <v>20552</v>
      </c>
      <c r="CX9" s="97">
        <v>0</v>
      </c>
      <c r="CY9" s="97">
        <v>33375</v>
      </c>
      <c r="CZ9" s="97">
        <v>665883</v>
      </c>
      <c r="DA9" s="97">
        <v>1019810</v>
      </c>
      <c r="DB9" s="97">
        <v>0</v>
      </c>
      <c r="DC9" s="97">
        <v>0</v>
      </c>
      <c r="DD9" s="97">
        <v>0</v>
      </c>
      <c r="DE9" s="97">
        <v>0</v>
      </c>
      <c r="DF9" s="97">
        <v>0</v>
      </c>
      <c r="DG9" s="97">
        <v>0</v>
      </c>
      <c r="DH9" s="97">
        <v>66805</v>
      </c>
      <c r="DI9" s="97">
        <v>17504</v>
      </c>
      <c r="DJ9" s="97">
        <v>6914</v>
      </c>
      <c r="DK9" s="97">
        <v>6107</v>
      </c>
      <c r="DL9" s="97">
        <v>7980</v>
      </c>
      <c r="DM9" s="97">
        <v>105310</v>
      </c>
      <c r="DN9" s="97">
        <v>0</v>
      </c>
      <c r="DO9" s="97">
        <v>0</v>
      </c>
      <c r="DP9" s="97">
        <v>0</v>
      </c>
      <c r="DQ9" s="97">
        <v>0</v>
      </c>
      <c r="DR9" s="97">
        <v>482788</v>
      </c>
      <c r="DS9" s="97">
        <v>482788</v>
      </c>
      <c r="DT9" s="97">
        <v>0</v>
      </c>
      <c r="DU9" s="97">
        <v>0</v>
      </c>
      <c r="DV9" s="97">
        <v>0</v>
      </c>
      <c r="DW9" s="97">
        <v>0</v>
      </c>
      <c r="DX9" s="97">
        <v>0</v>
      </c>
      <c r="DY9" s="97">
        <v>0</v>
      </c>
      <c r="DZ9" s="97">
        <v>0</v>
      </c>
      <c r="EA9" s="97">
        <v>0</v>
      </c>
      <c r="EB9" s="97">
        <v>0</v>
      </c>
      <c r="EC9" s="97">
        <v>0</v>
      </c>
      <c r="ED9" s="97">
        <v>124345</v>
      </c>
      <c r="EE9" s="97">
        <v>124345</v>
      </c>
      <c r="EF9" s="97">
        <v>400</v>
      </c>
      <c r="EG9" s="97">
        <v>0</v>
      </c>
      <c r="EH9" s="97">
        <v>0</v>
      </c>
      <c r="EI9" s="97">
        <v>8600</v>
      </c>
      <c r="EJ9" s="97">
        <v>237761</v>
      </c>
      <c r="EK9" s="97">
        <v>246761</v>
      </c>
      <c r="EL9" s="97">
        <v>4490530</v>
      </c>
      <c r="EM9" s="97">
        <v>1132731</v>
      </c>
      <c r="EN9" s="97">
        <v>569165</v>
      </c>
      <c r="EO9" s="97">
        <v>2101432</v>
      </c>
      <c r="EP9" s="97">
        <v>7013450</v>
      </c>
      <c r="EQ9" s="97">
        <v>15307308</v>
      </c>
      <c r="ER9" s="97">
        <v>1787271</v>
      </c>
      <c r="ES9" s="97">
        <v>255778</v>
      </c>
      <c r="ET9" s="97">
        <v>331756</v>
      </c>
      <c r="EU9" s="97">
        <v>2274492</v>
      </c>
      <c r="EV9" s="97">
        <v>114843</v>
      </c>
      <c r="EW9" s="97">
        <v>4764140</v>
      </c>
      <c r="EX9" s="97">
        <v>500000</v>
      </c>
      <c r="EY9" s="97">
        <v>20940</v>
      </c>
      <c r="EZ9" s="97">
        <v>6055</v>
      </c>
      <c r="FA9" s="97">
        <v>13406</v>
      </c>
      <c r="FB9" s="97">
        <v>0</v>
      </c>
      <c r="FC9" s="97">
        <v>540401</v>
      </c>
      <c r="FD9" s="97">
        <v>1115649</v>
      </c>
      <c r="FE9" s="97">
        <v>491024</v>
      </c>
      <c r="FF9" s="97">
        <v>261233</v>
      </c>
      <c r="FG9" s="97">
        <v>622690</v>
      </c>
      <c r="FH9" s="97">
        <v>0</v>
      </c>
      <c r="FI9" s="97">
        <v>2490596</v>
      </c>
      <c r="FJ9" s="97">
        <v>305301</v>
      </c>
      <c r="FK9" s="97">
        <v>270102</v>
      </c>
      <c r="FL9" s="97">
        <v>52863</v>
      </c>
      <c r="FM9" s="97">
        <v>89908</v>
      </c>
      <c r="FN9" s="97">
        <v>0</v>
      </c>
      <c r="FO9" s="97">
        <v>718174</v>
      </c>
      <c r="FP9" s="97">
        <v>40010</v>
      </c>
      <c r="FQ9" s="97">
        <v>34506</v>
      </c>
      <c r="FR9" s="97">
        <v>0</v>
      </c>
      <c r="FS9" s="97">
        <v>0</v>
      </c>
      <c r="FT9" s="97">
        <v>1715033</v>
      </c>
      <c r="FU9" s="97">
        <v>1789549</v>
      </c>
      <c r="FV9" s="97">
        <v>8547</v>
      </c>
      <c r="FW9" s="97">
        <v>900</v>
      </c>
      <c r="FX9" s="97">
        <v>1500</v>
      </c>
      <c r="FY9" s="97">
        <v>0</v>
      </c>
      <c r="FZ9" s="97">
        <v>27310</v>
      </c>
      <c r="GA9" s="97">
        <v>38257</v>
      </c>
      <c r="GB9" s="97">
        <v>0</v>
      </c>
      <c r="GC9" s="97">
        <v>0</v>
      </c>
      <c r="GD9" s="97">
        <v>0</v>
      </c>
      <c r="GE9" s="97">
        <v>0</v>
      </c>
      <c r="GF9" s="97">
        <v>0</v>
      </c>
      <c r="GG9" s="97">
        <v>0</v>
      </c>
      <c r="GH9" s="97">
        <v>126571</v>
      </c>
      <c r="GI9" s="97">
        <v>59247</v>
      </c>
      <c r="GJ9" s="97">
        <v>50693</v>
      </c>
      <c r="GK9" s="97">
        <v>63519</v>
      </c>
      <c r="GL9" s="97">
        <v>1848</v>
      </c>
      <c r="GM9" s="97">
        <v>301878</v>
      </c>
      <c r="GN9" s="97">
        <v>693552</v>
      </c>
      <c r="GO9" s="97">
        <v>188370</v>
      </c>
      <c r="GP9" s="97">
        <v>142135</v>
      </c>
      <c r="GQ9" s="97">
        <v>571641</v>
      </c>
      <c r="GR9" s="97">
        <v>9518</v>
      </c>
      <c r="GS9" s="97">
        <v>1605216</v>
      </c>
      <c r="GT9" s="97">
        <v>329761</v>
      </c>
      <c r="GU9" s="97">
        <v>35094</v>
      </c>
      <c r="GV9" s="97">
        <v>28085</v>
      </c>
      <c r="GW9" s="97">
        <v>183727</v>
      </c>
      <c r="GX9" s="97">
        <v>135441</v>
      </c>
      <c r="GY9" s="97">
        <v>712108</v>
      </c>
      <c r="GZ9" s="97">
        <v>171665</v>
      </c>
      <c r="HA9" s="97">
        <v>106024</v>
      </c>
      <c r="HB9" s="97">
        <v>64434</v>
      </c>
      <c r="HC9" s="97">
        <v>88385</v>
      </c>
      <c r="HD9" s="97">
        <v>95251</v>
      </c>
      <c r="HE9" s="97">
        <v>525759</v>
      </c>
      <c r="HF9" s="97">
        <v>10336</v>
      </c>
      <c r="HG9" s="97">
        <v>1434</v>
      </c>
      <c r="HH9" s="97">
        <v>1522</v>
      </c>
      <c r="HI9" s="97">
        <v>2298</v>
      </c>
      <c r="HJ9" s="97">
        <v>51825</v>
      </c>
      <c r="HK9" s="97">
        <v>67415</v>
      </c>
      <c r="HL9" s="97">
        <v>0</v>
      </c>
      <c r="HM9" s="97">
        <v>0</v>
      </c>
      <c r="HN9" s="97">
        <v>0</v>
      </c>
      <c r="HO9" s="97">
        <v>0</v>
      </c>
      <c r="HP9" s="97">
        <v>0</v>
      </c>
      <c r="HQ9" s="97">
        <v>0</v>
      </c>
      <c r="HR9" s="97">
        <v>59261</v>
      </c>
      <c r="HS9" s="97">
        <v>10</v>
      </c>
      <c r="HT9" s="97">
        <v>1509</v>
      </c>
      <c r="HU9" s="97">
        <v>8653</v>
      </c>
      <c r="HV9" s="97">
        <v>918759</v>
      </c>
      <c r="HW9" s="97">
        <v>988192</v>
      </c>
      <c r="HX9" s="97">
        <v>0</v>
      </c>
      <c r="HY9" s="97">
        <v>0</v>
      </c>
      <c r="HZ9" s="97">
        <v>0</v>
      </c>
      <c r="IA9" s="97">
        <v>0</v>
      </c>
      <c r="IB9" s="97">
        <v>0</v>
      </c>
      <c r="IC9" s="97">
        <v>0</v>
      </c>
      <c r="ID9" s="97">
        <v>0</v>
      </c>
      <c r="IE9" s="97">
        <v>0</v>
      </c>
      <c r="IF9" s="97">
        <v>0</v>
      </c>
      <c r="IG9" s="97">
        <v>0</v>
      </c>
      <c r="IH9" s="97">
        <v>0</v>
      </c>
      <c r="II9" s="97">
        <v>0</v>
      </c>
      <c r="IJ9" s="97">
        <v>1600</v>
      </c>
      <c r="IK9" s="97">
        <v>0</v>
      </c>
      <c r="IL9" s="97">
        <v>0</v>
      </c>
      <c r="IM9" s="97">
        <v>500</v>
      </c>
      <c r="IN9" s="97">
        <v>145246</v>
      </c>
      <c r="IO9" s="97">
        <v>147346</v>
      </c>
      <c r="IP9" s="97">
        <v>5146</v>
      </c>
      <c r="IQ9" s="97">
        <v>5909</v>
      </c>
      <c r="IR9" s="97">
        <v>13379</v>
      </c>
      <c r="IS9" s="97">
        <v>4234</v>
      </c>
      <c r="IT9" s="97">
        <v>142399</v>
      </c>
      <c r="IU9" s="97">
        <v>171067</v>
      </c>
      <c r="IV9" s="97">
        <v>144887</v>
      </c>
      <c r="IW9" s="97">
        <v>39225</v>
      </c>
      <c r="IX9" s="97">
        <v>36756</v>
      </c>
      <c r="IY9" s="97">
        <v>74328</v>
      </c>
      <c r="IZ9" s="97">
        <v>152014</v>
      </c>
      <c r="JA9" s="97">
        <v>447210</v>
      </c>
      <c r="JB9" s="97">
        <v>5299557</v>
      </c>
      <c r="JC9" s="97">
        <v>1414437</v>
      </c>
      <c r="JD9" s="97">
        <v>991920</v>
      </c>
      <c r="JE9" s="97">
        <v>3993824</v>
      </c>
      <c r="JF9" s="97">
        <v>3607570</v>
      </c>
      <c r="JG9" s="97">
        <v>15307308</v>
      </c>
      <c r="JH9" s="97">
        <v>0</v>
      </c>
      <c r="JI9" s="97">
        <v>0</v>
      </c>
      <c r="JJ9" s="97">
        <v>0</v>
      </c>
      <c r="JK9" s="97">
        <v>0</v>
      </c>
      <c r="JL9" s="97">
        <v>0</v>
      </c>
      <c r="JM9" s="97">
        <v>0</v>
      </c>
      <c r="JN9" s="97">
        <v>5299557</v>
      </c>
      <c r="JO9" s="97">
        <v>1414437</v>
      </c>
      <c r="JP9" s="97">
        <v>991920</v>
      </c>
      <c r="JQ9" s="97">
        <v>3993824</v>
      </c>
      <c r="JR9" s="97">
        <v>3607570</v>
      </c>
      <c r="JS9" s="97">
        <v>15307308</v>
      </c>
      <c r="JU9" s="5">
        <f t="shared" si="0"/>
        <v>1296962</v>
      </c>
      <c r="JV9" s="29">
        <f t="shared" si="1"/>
        <v>0</v>
      </c>
      <c r="JW9" s="5">
        <f t="shared" si="2"/>
        <v>3521922</v>
      </c>
      <c r="JX9" s="29">
        <f t="shared" si="3"/>
        <v>0</v>
      </c>
      <c r="JY9" s="5">
        <f t="shared" si="4"/>
        <v>2245200</v>
      </c>
      <c r="JZ9" s="29">
        <f t="shared" si="5"/>
        <v>0</v>
      </c>
      <c r="KA9" s="5">
        <f t="shared" si="6"/>
        <v>84237</v>
      </c>
      <c r="KB9" s="29">
        <f t="shared" si="7"/>
        <v>0</v>
      </c>
      <c r="KC9" s="5">
        <f t="shared" si="8"/>
        <v>756431</v>
      </c>
      <c r="KD9" s="29">
        <f t="shared" si="9"/>
        <v>0</v>
      </c>
      <c r="KE9" s="5">
        <f t="shared" si="10"/>
        <v>0</v>
      </c>
      <c r="KF9" s="29">
        <f t="shared" si="11"/>
        <v>0</v>
      </c>
      <c r="KG9" s="5">
        <f t="shared" si="12"/>
        <v>5423542</v>
      </c>
      <c r="KH9" s="29">
        <f t="shared" si="13"/>
        <v>0</v>
      </c>
      <c r="KI9" s="5">
        <f t="shared" si="14"/>
        <v>0</v>
      </c>
      <c r="KJ9" s="29">
        <f t="shared" si="15"/>
        <v>0</v>
      </c>
      <c r="KK9" s="5">
        <f t="shared" si="16"/>
        <v>1019810</v>
      </c>
      <c r="KL9" s="29">
        <f t="shared" si="17"/>
        <v>0</v>
      </c>
      <c r="KM9" s="5">
        <f t="shared" si="18"/>
        <v>0</v>
      </c>
      <c r="KN9" s="29">
        <f t="shared" si="19"/>
        <v>0</v>
      </c>
      <c r="KO9" s="5">
        <f t="shared" si="20"/>
        <v>105310</v>
      </c>
      <c r="KP9" s="29">
        <f t="shared" si="21"/>
        <v>0</v>
      </c>
      <c r="KQ9" s="5">
        <f t="shared" si="22"/>
        <v>482788</v>
      </c>
      <c r="KR9" s="29">
        <f t="shared" si="23"/>
        <v>0</v>
      </c>
      <c r="KS9" s="5">
        <f t="shared" si="24"/>
        <v>0</v>
      </c>
      <c r="KT9" s="29">
        <f t="shared" si="25"/>
        <v>0</v>
      </c>
      <c r="KU9" s="5">
        <f t="shared" si="26"/>
        <v>124345</v>
      </c>
      <c r="KV9" s="29">
        <f t="shared" si="27"/>
        <v>0</v>
      </c>
      <c r="KW9" s="5">
        <f t="shared" si="28"/>
        <v>246761</v>
      </c>
      <c r="KX9" s="29">
        <f t="shared" si="29"/>
        <v>0</v>
      </c>
      <c r="KY9" s="5">
        <f t="shared" si="30"/>
        <v>15307308</v>
      </c>
      <c r="KZ9" s="29">
        <f t="shared" si="31"/>
        <v>0</v>
      </c>
      <c r="LA9" s="5">
        <f t="shared" si="32"/>
        <v>4764140</v>
      </c>
      <c r="LB9" s="29">
        <f t="shared" si="33"/>
        <v>0</v>
      </c>
      <c r="LC9" s="5">
        <f t="shared" si="34"/>
        <v>540401</v>
      </c>
      <c r="LD9" s="29">
        <f t="shared" si="35"/>
        <v>0</v>
      </c>
      <c r="LE9" s="5">
        <f t="shared" si="36"/>
        <v>2490596</v>
      </c>
      <c r="LF9" s="29">
        <f t="shared" si="37"/>
        <v>0</v>
      </c>
      <c r="LG9" s="5">
        <f t="shared" si="38"/>
        <v>718174</v>
      </c>
      <c r="LH9" s="29">
        <f t="shared" si="39"/>
        <v>0</v>
      </c>
      <c r="LI9" s="5">
        <f t="shared" si="40"/>
        <v>1789549</v>
      </c>
      <c r="LJ9" s="29">
        <f t="shared" si="41"/>
        <v>0</v>
      </c>
      <c r="LK9" s="5">
        <f t="shared" si="42"/>
        <v>38257</v>
      </c>
      <c r="LL9" s="29">
        <f t="shared" si="43"/>
        <v>0</v>
      </c>
      <c r="LM9" s="5">
        <f t="shared" si="44"/>
        <v>0</v>
      </c>
      <c r="LN9" s="29">
        <f t="shared" si="45"/>
        <v>0</v>
      </c>
      <c r="LO9" s="5">
        <f t="shared" si="46"/>
        <v>301878</v>
      </c>
      <c r="LP9" s="29">
        <f t="shared" si="47"/>
        <v>0</v>
      </c>
      <c r="LQ9" s="5">
        <f t="shared" si="48"/>
        <v>1605216</v>
      </c>
      <c r="LR9" s="29">
        <f t="shared" si="49"/>
        <v>0</v>
      </c>
      <c r="LS9" s="5">
        <f t="shared" si="50"/>
        <v>712108</v>
      </c>
      <c r="LT9" s="29">
        <f t="shared" si="51"/>
        <v>0</v>
      </c>
      <c r="LU9" s="5">
        <f t="shared" si="52"/>
        <v>525759</v>
      </c>
      <c r="LV9" s="29">
        <f t="shared" si="53"/>
        <v>0</v>
      </c>
      <c r="LW9" s="5">
        <f t="shared" si="54"/>
        <v>67415</v>
      </c>
      <c r="LX9" s="29">
        <f t="shared" si="55"/>
        <v>0</v>
      </c>
      <c r="LY9" s="5">
        <f t="shared" si="56"/>
        <v>0</v>
      </c>
      <c r="LZ9" s="29">
        <f t="shared" si="57"/>
        <v>0</v>
      </c>
      <c r="MA9" s="5">
        <f t="shared" si="58"/>
        <v>988192</v>
      </c>
      <c r="MB9" s="29">
        <f t="shared" si="59"/>
        <v>0</v>
      </c>
      <c r="MC9" s="5">
        <f t="shared" si="60"/>
        <v>0</v>
      </c>
      <c r="MD9" s="29">
        <f t="shared" si="61"/>
        <v>0</v>
      </c>
      <c r="ME9" s="5">
        <f t="shared" si="62"/>
        <v>0</v>
      </c>
      <c r="MF9" s="29">
        <f t="shared" si="63"/>
        <v>0</v>
      </c>
      <c r="MG9" s="5">
        <f t="shared" si="64"/>
        <v>147346</v>
      </c>
      <c r="MH9" s="29">
        <f t="shared" si="65"/>
        <v>0</v>
      </c>
      <c r="MI9" s="5">
        <f t="shared" si="66"/>
        <v>171067</v>
      </c>
      <c r="MJ9" s="29">
        <f t="shared" si="67"/>
        <v>0</v>
      </c>
      <c r="MK9" s="5">
        <f t="shared" si="68"/>
        <v>447210</v>
      </c>
      <c r="ML9" s="29">
        <f t="shared" si="69"/>
        <v>0</v>
      </c>
      <c r="MM9" s="5">
        <f t="shared" si="70"/>
        <v>15307308</v>
      </c>
      <c r="MN9" s="29">
        <f t="shared" si="71"/>
        <v>0</v>
      </c>
      <c r="MO9" s="5">
        <f t="shared" si="72"/>
        <v>0</v>
      </c>
      <c r="MP9" s="29">
        <f t="shared" si="73"/>
        <v>0</v>
      </c>
      <c r="MQ9" s="5">
        <f t="shared" si="74"/>
        <v>15307308</v>
      </c>
      <c r="MR9" s="29">
        <f t="shared" si="75"/>
        <v>0</v>
      </c>
      <c r="MT9" s="5">
        <f t="shared" si="76"/>
        <v>0</v>
      </c>
      <c r="MV9" s="4">
        <f t="shared" si="77"/>
        <v>0</v>
      </c>
    </row>
    <row r="10" spans="1:360" x14ac:dyDescent="0.15">
      <c r="A10" s="155" t="s">
        <v>289</v>
      </c>
      <c r="B10" s="28" t="s">
        <v>406</v>
      </c>
      <c r="C10" s="48">
        <v>100858</v>
      </c>
      <c r="D10" s="48">
        <v>2012</v>
      </c>
      <c r="E10" s="49">
        <v>1</v>
      </c>
      <c r="F10" s="49">
        <v>5</v>
      </c>
      <c r="G10" s="50">
        <v>9344</v>
      </c>
      <c r="H10" s="50">
        <v>9283</v>
      </c>
      <c r="I10" s="51">
        <v>867163277</v>
      </c>
      <c r="J10" s="51"/>
      <c r="K10" s="51">
        <v>8929601</v>
      </c>
      <c r="L10" s="51"/>
      <c r="M10" s="51">
        <v>157360397</v>
      </c>
      <c r="N10" s="51"/>
      <c r="O10" s="51">
        <v>79199650</v>
      </c>
      <c r="P10" s="51"/>
      <c r="Q10" s="51">
        <v>754894329</v>
      </c>
      <c r="R10" s="51"/>
      <c r="S10" s="51">
        <v>757663091</v>
      </c>
      <c r="T10" s="51"/>
      <c r="U10" s="51">
        <v>20852</v>
      </c>
      <c r="V10" s="51"/>
      <c r="W10" s="51">
        <v>36596</v>
      </c>
      <c r="X10" s="51"/>
      <c r="Y10" s="51">
        <v>26584</v>
      </c>
      <c r="Z10" s="51"/>
      <c r="AA10" s="51">
        <v>42292</v>
      </c>
      <c r="AB10" s="51"/>
      <c r="AC10" s="72">
        <v>9</v>
      </c>
      <c r="AD10" s="72">
        <v>12</v>
      </c>
      <c r="AE10" s="72">
        <v>0</v>
      </c>
      <c r="AF10" s="29">
        <v>5688601</v>
      </c>
      <c r="AG10" s="29">
        <v>4250272</v>
      </c>
      <c r="AH10" s="29">
        <v>1874842</v>
      </c>
      <c r="AI10" s="29">
        <v>669192</v>
      </c>
      <c r="AJ10" s="29">
        <v>1101215.33</v>
      </c>
      <c r="AK10" s="73">
        <v>6</v>
      </c>
      <c r="AL10" s="29">
        <v>943898.85</v>
      </c>
      <c r="AM10" s="73">
        <v>7</v>
      </c>
      <c r="AN10" s="29">
        <v>236885</v>
      </c>
      <c r="AO10" s="73">
        <v>8.9</v>
      </c>
      <c r="AP10" s="29">
        <v>210827</v>
      </c>
      <c r="AQ10" s="73">
        <v>10</v>
      </c>
      <c r="AR10" s="29">
        <v>335884</v>
      </c>
      <c r="AS10" s="73">
        <v>21</v>
      </c>
      <c r="AT10" s="29">
        <v>271291</v>
      </c>
      <c r="AU10" s="73">
        <v>26</v>
      </c>
      <c r="AV10" s="29">
        <v>95078.65</v>
      </c>
      <c r="AW10" s="73">
        <v>20</v>
      </c>
      <c r="AX10" s="29">
        <v>76062.92</v>
      </c>
      <c r="AY10" s="73">
        <v>25</v>
      </c>
      <c r="AZ10" s="97">
        <v>27936966</v>
      </c>
      <c r="BA10" s="97">
        <v>886672</v>
      </c>
      <c r="BB10" s="97">
        <v>76114</v>
      </c>
      <c r="BC10" s="97">
        <v>338300</v>
      </c>
      <c r="BD10" s="97">
        <v>32000</v>
      </c>
      <c r="BE10" s="97">
        <f>SUM(AZ10:BD10)</f>
        <v>29270052</v>
      </c>
      <c r="BF10" s="97">
        <v>0</v>
      </c>
      <c r="BG10" s="97">
        <v>0</v>
      </c>
      <c r="BH10" s="97">
        <v>0</v>
      </c>
      <c r="BI10" s="97">
        <v>0</v>
      </c>
      <c r="BJ10" s="97">
        <v>4216608</v>
      </c>
      <c r="BK10" s="97">
        <v>4216608</v>
      </c>
      <c r="BL10" s="97">
        <v>1000000</v>
      </c>
      <c r="BM10" s="97">
        <v>0</v>
      </c>
      <c r="BN10" s="97">
        <v>0</v>
      </c>
      <c r="BO10" s="97">
        <v>33075</v>
      </c>
      <c r="BP10" s="97">
        <v>0</v>
      </c>
      <c r="BQ10" s="97">
        <f>SUM(BL10:BP10)</f>
        <v>1033075</v>
      </c>
      <c r="BR10" s="97">
        <v>27051405</v>
      </c>
      <c r="BS10" s="97">
        <v>2046352</v>
      </c>
      <c r="BT10" s="97">
        <v>237692</v>
      </c>
      <c r="BU10" s="97">
        <f>30203593.4+285325.57-BR10-BS10-BT10</f>
        <v>1153469.9699999988</v>
      </c>
      <c r="BV10" s="97">
        <v>2978856.1</v>
      </c>
      <c r="BW10" s="97">
        <v>33467775</v>
      </c>
      <c r="BX10" s="97">
        <v>0</v>
      </c>
      <c r="BY10" s="97">
        <v>0</v>
      </c>
      <c r="BZ10" s="97">
        <v>0</v>
      </c>
      <c r="CA10" s="97">
        <v>0</v>
      </c>
      <c r="CB10" s="97">
        <v>0</v>
      </c>
      <c r="CC10" s="97">
        <v>0</v>
      </c>
      <c r="CD10" s="97">
        <v>0</v>
      </c>
      <c r="CE10" s="97">
        <v>0</v>
      </c>
      <c r="CF10" s="97">
        <v>0</v>
      </c>
      <c r="CG10" s="97">
        <v>0</v>
      </c>
      <c r="CH10" s="97">
        <v>0</v>
      </c>
      <c r="CI10" s="97">
        <v>0</v>
      </c>
      <c r="CJ10" s="97">
        <v>0</v>
      </c>
      <c r="CK10" s="97">
        <v>0</v>
      </c>
      <c r="CL10" s="97">
        <v>0</v>
      </c>
      <c r="CM10" s="97">
        <v>0</v>
      </c>
      <c r="CN10" s="97">
        <v>0</v>
      </c>
      <c r="CO10" s="97">
        <v>0</v>
      </c>
      <c r="CP10" s="97">
        <v>0</v>
      </c>
      <c r="CQ10" s="97">
        <v>0</v>
      </c>
      <c r="CR10" s="97">
        <v>0</v>
      </c>
      <c r="CS10" s="97">
        <v>0</v>
      </c>
      <c r="CT10" s="97">
        <v>0</v>
      </c>
      <c r="CU10" s="97">
        <v>0</v>
      </c>
      <c r="CV10" s="97">
        <v>15044899</v>
      </c>
      <c r="CW10" s="97">
        <v>5104919.9000000004</v>
      </c>
      <c r="CX10" s="97">
        <v>9462</v>
      </c>
      <c r="CY10" s="97">
        <v>5310</v>
      </c>
      <c r="CZ10" s="97">
        <v>1262306</v>
      </c>
      <c r="DA10" s="97">
        <f>SUM(CV10:CZ10)</f>
        <v>21426896.899999999</v>
      </c>
      <c r="DB10" s="97">
        <v>4312659</v>
      </c>
      <c r="DC10" s="97">
        <v>1437553</v>
      </c>
      <c r="DD10" s="97">
        <v>0</v>
      </c>
      <c r="DE10" s="97">
        <v>0</v>
      </c>
      <c r="DF10" s="97">
        <v>0</v>
      </c>
      <c r="DG10" s="97">
        <f>SUM(DB10:DF10)</f>
        <v>5750212</v>
      </c>
      <c r="DH10" s="97">
        <v>1253065.8999999999</v>
      </c>
      <c r="DI10" s="97">
        <v>15516.24</v>
      </c>
      <c r="DJ10" s="97">
        <v>3432.66</v>
      </c>
      <c r="DK10" s="97">
        <v>16415.259999999998</v>
      </c>
      <c r="DL10" s="97">
        <v>391151.94</v>
      </c>
      <c r="DM10" s="97">
        <f>SUM(DH10:DL10)</f>
        <v>1679581.9999999998</v>
      </c>
      <c r="DN10" s="97">
        <v>0</v>
      </c>
      <c r="DO10" s="97">
        <v>0</v>
      </c>
      <c r="DP10" s="97">
        <v>0</v>
      </c>
      <c r="DQ10" s="97">
        <v>183.67</v>
      </c>
      <c r="DR10" s="97">
        <v>6886251.5</v>
      </c>
      <c r="DS10" s="97">
        <f>SUM(DQ10:DR10)</f>
        <v>6886435.1699999999</v>
      </c>
      <c r="DT10" s="97">
        <v>0</v>
      </c>
      <c r="DU10" s="97">
        <v>0</v>
      </c>
      <c r="DV10" s="97">
        <v>0</v>
      </c>
      <c r="DW10" s="97">
        <v>0</v>
      </c>
      <c r="DX10" s="97">
        <v>0</v>
      </c>
      <c r="DY10" s="97">
        <v>0</v>
      </c>
      <c r="DZ10" s="97">
        <v>15438.66</v>
      </c>
      <c r="EA10" s="97">
        <v>2632.8</v>
      </c>
      <c r="EB10" s="97">
        <v>311</v>
      </c>
      <c r="EC10" s="97">
        <v>40392.18</v>
      </c>
      <c r="ED10" s="97">
        <v>788414.42</v>
      </c>
      <c r="EE10" s="97">
        <f>SUM(DZ10:ED10)</f>
        <v>847189.06</v>
      </c>
      <c r="EF10" s="97">
        <v>555807.98</v>
      </c>
      <c r="EG10" s="97">
        <v>0</v>
      </c>
      <c r="EH10" s="97">
        <v>0</v>
      </c>
      <c r="EI10" s="97">
        <v>174458.3</v>
      </c>
      <c r="EJ10" s="97">
        <v>671960.72</v>
      </c>
      <c r="EK10" s="97">
        <f>SUM(EF10:EJ10)</f>
        <v>1402227</v>
      </c>
      <c r="EL10" s="97">
        <v>77170241.5</v>
      </c>
      <c r="EM10" s="97">
        <v>9493646.0800000001</v>
      </c>
      <c r="EN10" s="97">
        <v>372012.43</v>
      </c>
      <c r="EO10" s="97">
        <v>1732804.39</v>
      </c>
      <c r="EP10" s="97">
        <v>17227548.600000001</v>
      </c>
      <c r="EQ10" s="97">
        <f>SUM(EL10:EP10)</f>
        <v>105996253</v>
      </c>
      <c r="ER10" s="97">
        <v>3360916.9</v>
      </c>
      <c r="ES10" s="97">
        <v>526671.28</v>
      </c>
      <c r="ET10" s="97">
        <v>440536.79</v>
      </c>
      <c r="EU10" s="97">
        <v>5610748.5800000001</v>
      </c>
      <c r="EV10" s="97">
        <v>50502.45</v>
      </c>
      <c r="EW10" s="97">
        <f>SUM(ER10:EV10)</f>
        <v>9989376</v>
      </c>
      <c r="EX10" s="97">
        <v>2325000</v>
      </c>
      <c r="EY10" s="97">
        <v>637000</v>
      </c>
      <c r="EZ10" s="97">
        <v>44000</v>
      </c>
      <c r="FA10" s="97">
        <v>88394.32</v>
      </c>
      <c r="FB10" s="97">
        <v>0</v>
      </c>
      <c r="FC10" s="97">
        <f>SUM(EX10:FB10)</f>
        <v>3094394.32</v>
      </c>
      <c r="FD10" s="97">
        <v>9260729</v>
      </c>
      <c r="FE10" s="97">
        <v>2413179.29</v>
      </c>
      <c r="FF10" s="97">
        <v>1347173.13</v>
      </c>
      <c r="FG10" s="97">
        <v>4649639.58</v>
      </c>
      <c r="FH10" s="97">
        <v>0</v>
      </c>
      <c r="FI10" s="97">
        <f>SUM(FD10:FH10)</f>
        <v>17670721</v>
      </c>
      <c r="FJ10" s="97">
        <v>0</v>
      </c>
      <c r="FK10" s="97">
        <v>0</v>
      </c>
      <c r="FL10" s="97">
        <v>0</v>
      </c>
      <c r="FM10" s="97">
        <v>0</v>
      </c>
      <c r="FN10" s="97">
        <v>0</v>
      </c>
      <c r="FO10" s="97">
        <v>0</v>
      </c>
      <c r="FP10" s="97">
        <v>2291050</v>
      </c>
      <c r="FQ10" s="97">
        <v>398519</v>
      </c>
      <c r="FR10" s="97">
        <v>334132</v>
      </c>
      <c r="FS10" s="97">
        <v>442239</v>
      </c>
      <c r="FT10" s="97">
        <v>12413905</v>
      </c>
      <c r="FU10" s="97">
        <f>SUM(FP10:FT10)</f>
        <v>15879845</v>
      </c>
      <c r="FV10" s="97">
        <v>0</v>
      </c>
      <c r="FW10" s="97">
        <v>0</v>
      </c>
      <c r="FX10" s="97">
        <v>0</v>
      </c>
      <c r="FY10" s="97">
        <v>0</v>
      </c>
      <c r="FZ10" s="97">
        <v>0</v>
      </c>
      <c r="GA10" s="97">
        <v>0</v>
      </c>
      <c r="GB10" s="97">
        <v>325000</v>
      </c>
      <c r="GC10" s="97">
        <v>0</v>
      </c>
      <c r="GD10" s="97">
        <v>0</v>
      </c>
      <c r="GE10" s="97">
        <v>0</v>
      </c>
      <c r="GF10" s="97">
        <v>0</v>
      </c>
      <c r="GG10" s="99">
        <v>325000</v>
      </c>
      <c r="GH10" s="97">
        <v>1116334.7</v>
      </c>
      <c r="GI10" s="97">
        <v>442916.22</v>
      </c>
      <c r="GJ10" s="97">
        <v>171457.56</v>
      </c>
      <c r="GK10" s="97">
        <v>813325.94</v>
      </c>
      <c r="GL10" s="97">
        <v>975.58</v>
      </c>
      <c r="GM10" s="97">
        <f>SUM(GH10:GL10)</f>
        <v>2545010</v>
      </c>
      <c r="GN10" s="97">
        <v>1193138.8</v>
      </c>
      <c r="GO10" s="97">
        <v>535060.34</v>
      </c>
      <c r="GP10" s="97">
        <v>554701.52</v>
      </c>
      <c r="GQ10" s="97">
        <v>1935018.39</v>
      </c>
      <c r="GR10" s="97">
        <v>124072.95</v>
      </c>
      <c r="GS10" s="97">
        <f>SUM(GN10:GR10)</f>
        <v>4341992</v>
      </c>
      <c r="GT10" s="97">
        <v>1080825.3</v>
      </c>
      <c r="GU10" s="97">
        <v>128060.69</v>
      </c>
      <c r="GV10" s="97">
        <v>91544.91</v>
      </c>
      <c r="GW10" s="97">
        <v>895044.31</v>
      </c>
      <c r="GX10" s="97">
        <v>303167.78999999998</v>
      </c>
      <c r="GY10" s="97">
        <f>SUM(GT10:GX10)</f>
        <v>2498643</v>
      </c>
      <c r="GZ10" s="97">
        <v>1663396.6</v>
      </c>
      <c r="HA10" s="97">
        <v>413542.78</v>
      </c>
      <c r="HB10" s="97">
        <v>224887.43</v>
      </c>
      <c r="HC10" s="97">
        <v>766486.57</v>
      </c>
      <c r="HD10" s="97">
        <v>112069.62</v>
      </c>
      <c r="HE10" s="97">
        <f>SUM(GZ10:HD10)</f>
        <v>3180383</v>
      </c>
      <c r="HF10" s="97">
        <v>3998561</v>
      </c>
      <c r="HG10" s="97">
        <v>608044</v>
      </c>
      <c r="HH10" s="97">
        <v>56409</v>
      </c>
      <c r="HI10" s="97">
        <v>75094.86</v>
      </c>
      <c r="HJ10" s="97">
        <v>892223.14</v>
      </c>
      <c r="HK10" s="97">
        <f>SUM(HF10:HJ10)</f>
        <v>5630332</v>
      </c>
      <c r="HL10" s="97">
        <v>0</v>
      </c>
      <c r="HM10" s="97">
        <v>0</v>
      </c>
      <c r="HN10" s="97">
        <v>0</v>
      </c>
      <c r="HO10" s="97">
        <v>0</v>
      </c>
      <c r="HP10" s="97">
        <v>0</v>
      </c>
      <c r="HQ10" s="97">
        <v>0</v>
      </c>
      <c r="HR10" s="97">
        <v>3734107.5</v>
      </c>
      <c r="HS10" s="97">
        <v>1173439.3</v>
      </c>
      <c r="HT10" s="97">
        <v>1137046.8</v>
      </c>
      <c r="HU10" s="97">
        <v>3973981.4</v>
      </c>
      <c r="HV10" s="97">
        <v>12880601</v>
      </c>
      <c r="HW10" s="97">
        <f>SUM(HR10:HV10)</f>
        <v>22899176</v>
      </c>
      <c r="HX10" s="97">
        <v>465282.67</v>
      </c>
      <c r="HY10" s="97">
        <v>191449.67</v>
      </c>
      <c r="HZ10" s="97">
        <v>191449.67</v>
      </c>
      <c r="IA10" s="97">
        <v>0</v>
      </c>
      <c r="IB10" s="97">
        <v>0</v>
      </c>
      <c r="IC10" s="97">
        <f>SUM(HX10:IB10)</f>
        <v>848182.01</v>
      </c>
      <c r="ID10" s="97">
        <v>0</v>
      </c>
      <c r="IE10" s="97">
        <v>0</v>
      </c>
      <c r="IF10" s="97">
        <v>0</v>
      </c>
      <c r="IG10" s="97">
        <v>0</v>
      </c>
      <c r="IH10" s="97">
        <v>0</v>
      </c>
      <c r="II10" s="97">
        <v>0</v>
      </c>
      <c r="IJ10" s="97">
        <v>73817.38</v>
      </c>
      <c r="IK10" s="97">
        <v>14309.3</v>
      </c>
      <c r="IL10" s="97">
        <v>17517.57</v>
      </c>
      <c r="IM10" s="97">
        <v>148372.19</v>
      </c>
      <c r="IN10" s="97">
        <v>346121.56</v>
      </c>
      <c r="IO10" s="97">
        <f>SUM(IJ10:IN10)</f>
        <v>600138</v>
      </c>
      <c r="IP10" s="97">
        <v>22679.54</v>
      </c>
      <c r="IQ10" s="97">
        <v>10718.27</v>
      </c>
      <c r="IR10" s="97">
        <v>19053.349999999999</v>
      </c>
      <c r="IS10" s="97">
        <v>34818.699999999997</v>
      </c>
      <c r="IT10" s="97">
        <v>38027.14</v>
      </c>
      <c r="IU10" s="97">
        <f>SUM(IP10:IT10)</f>
        <v>125296.99999999999</v>
      </c>
      <c r="IV10" s="97">
        <v>2423754.7999999998</v>
      </c>
      <c r="IW10" s="97">
        <v>185480.09</v>
      </c>
      <c r="IX10" s="97">
        <v>116445.12</v>
      </c>
      <c r="IY10" s="97">
        <v>534993.59</v>
      </c>
      <c r="IZ10" s="97">
        <v>3606768.4</v>
      </c>
      <c r="JA10" s="97">
        <f>SUM(IV10:IZ10)</f>
        <v>6867442</v>
      </c>
      <c r="JB10" s="97">
        <v>33334594.399999999</v>
      </c>
      <c r="JC10" s="97">
        <v>7588390.2300000004</v>
      </c>
      <c r="JD10" s="97">
        <v>4656354.8499999996</v>
      </c>
      <c r="JE10" s="97">
        <v>19968160.920000002</v>
      </c>
      <c r="JF10" s="97">
        <v>30768334.600000001</v>
      </c>
      <c r="JG10" s="97">
        <f>SUM(JB10:JF10)</f>
        <v>96315835</v>
      </c>
      <c r="JH10" s="97">
        <v>500000</v>
      </c>
      <c r="JI10" s="97">
        <v>0</v>
      </c>
      <c r="JJ10" s="97">
        <v>0</v>
      </c>
      <c r="JK10" s="97">
        <v>0</v>
      </c>
      <c r="JL10" s="97">
        <v>313000</v>
      </c>
      <c r="JM10" s="97">
        <f>SUM(JH10:JL10)</f>
        <v>813000</v>
      </c>
      <c r="JN10" s="97">
        <v>33834594.399999999</v>
      </c>
      <c r="JO10" s="97">
        <v>7588390</v>
      </c>
      <c r="JP10" s="97">
        <v>4656355</v>
      </c>
      <c r="JQ10" s="97">
        <v>19968161</v>
      </c>
      <c r="JR10" s="97">
        <v>31081334.600000001</v>
      </c>
      <c r="JS10" s="97">
        <v>97128835</v>
      </c>
      <c r="JU10" s="5">
        <f t="shared" si="0"/>
        <v>29270052</v>
      </c>
      <c r="JV10" s="29">
        <f t="shared" si="1"/>
        <v>0</v>
      </c>
      <c r="JW10" s="5">
        <f t="shared" si="2"/>
        <v>4216608</v>
      </c>
      <c r="JX10" s="29">
        <f t="shared" si="3"/>
        <v>0</v>
      </c>
      <c r="JY10" s="5">
        <f t="shared" si="4"/>
        <v>1033075</v>
      </c>
      <c r="JZ10" s="29">
        <f t="shared" si="5"/>
        <v>0</v>
      </c>
      <c r="KA10" s="5">
        <f t="shared" si="6"/>
        <v>33467775.07</v>
      </c>
      <c r="KB10" s="29">
        <f t="shared" si="7"/>
        <v>-7.0000000298023224E-2</v>
      </c>
      <c r="KC10" s="5">
        <f t="shared" si="8"/>
        <v>0</v>
      </c>
      <c r="KD10" s="29">
        <f t="shared" si="9"/>
        <v>0</v>
      </c>
      <c r="KE10" s="5">
        <f t="shared" si="10"/>
        <v>0</v>
      </c>
      <c r="KF10" s="29">
        <f t="shared" si="11"/>
        <v>0</v>
      </c>
      <c r="KG10" s="5">
        <f t="shared" si="12"/>
        <v>0</v>
      </c>
      <c r="KH10" s="29">
        <f t="shared" si="13"/>
        <v>0</v>
      </c>
      <c r="KI10" s="5">
        <f t="shared" si="14"/>
        <v>0</v>
      </c>
      <c r="KJ10" s="29">
        <f t="shared" si="15"/>
        <v>0</v>
      </c>
      <c r="KK10" s="5">
        <f t="shared" si="16"/>
        <v>21426896.899999999</v>
      </c>
      <c r="KL10" s="29">
        <f t="shared" si="17"/>
        <v>0</v>
      </c>
      <c r="KM10" s="5">
        <f t="shared" si="18"/>
        <v>5750212</v>
      </c>
      <c r="KN10" s="29">
        <f t="shared" si="19"/>
        <v>0</v>
      </c>
      <c r="KO10" s="5">
        <f t="shared" si="20"/>
        <v>1679581.9999999998</v>
      </c>
      <c r="KP10" s="29">
        <f t="shared" si="21"/>
        <v>0</v>
      </c>
      <c r="KQ10" s="5">
        <f t="shared" si="22"/>
        <v>6886435.1699999999</v>
      </c>
      <c r="KR10" s="29">
        <f t="shared" si="23"/>
        <v>0</v>
      </c>
      <c r="KS10" s="5">
        <f t="shared" si="24"/>
        <v>0</v>
      </c>
      <c r="KT10" s="29">
        <f t="shared" si="25"/>
        <v>0</v>
      </c>
      <c r="KU10" s="5">
        <f t="shared" si="26"/>
        <v>847189.06</v>
      </c>
      <c r="KV10" s="29">
        <f t="shared" si="27"/>
        <v>0</v>
      </c>
      <c r="KW10" s="5">
        <f t="shared" si="28"/>
        <v>1402227</v>
      </c>
      <c r="KX10" s="29">
        <f t="shared" si="29"/>
        <v>0</v>
      </c>
      <c r="KY10" s="5">
        <f t="shared" si="30"/>
        <v>105996253</v>
      </c>
      <c r="KZ10" s="29">
        <f t="shared" si="31"/>
        <v>0</v>
      </c>
      <c r="LA10" s="5">
        <f t="shared" si="32"/>
        <v>9989376</v>
      </c>
      <c r="LB10" s="29">
        <f t="shared" si="33"/>
        <v>0</v>
      </c>
      <c r="LC10" s="5">
        <f t="shared" si="34"/>
        <v>3094394.32</v>
      </c>
      <c r="LD10" s="29">
        <f t="shared" si="35"/>
        <v>0</v>
      </c>
      <c r="LE10" s="5">
        <f t="shared" si="36"/>
        <v>17670721</v>
      </c>
      <c r="LF10" s="29">
        <f t="shared" si="37"/>
        <v>0</v>
      </c>
      <c r="LG10" s="5">
        <f t="shared" si="38"/>
        <v>0</v>
      </c>
      <c r="LH10" s="29">
        <f t="shared" si="39"/>
        <v>0</v>
      </c>
      <c r="LI10" s="5">
        <f t="shared" si="40"/>
        <v>15879845</v>
      </c>
      <c r="LJ10" s="29">
        <f t="shared" si="41"/>
        <v>0</v>
      </c>
      <c r="LK10" s="5">
        <f t="shared" si="42"/>
        <v>0</v>
      </c>
      <c r="LL10" s="29">
        <f t="shared" si="43"/>
        <v>0</v>
      </c>
      <c r="LM10" s="5">
        <f t="shared" si="44"/>
        <v>325000</v>
      </c>
      <c r="LN10" s="29">
        <f t="shared" si="45"/>
        <v>0</v>
      </c>
      <c r="LO10" s="5">
        <f t="shared" si="46"/>
        <v>2545010</v>
      </c>
      <c r="LP10" s="29">
        <f t="shared" si="47"/>
        <v>0</v>
      </c>
      <c r="LQ10" s="5">
        <f t="shared" si="48"/>
        <v>4341992</v>
      </c>
      <c r="LR10" s="29">
        <f t="shared" si="49"/>
        <v>0</v>
      </c>
      <c r="LS10" s="5">
        <f t="shared" si="50"/>
        <v>2498643</v>
      </c>
      <c r="LT10" s="29">
        <f t="shared" si="51"/>
        <v>0</v>
      </c>
      <c r="LU10" s="5">
        <f t="shared" si="52"/>
        <v>3180383</v>
      </c>
      <c r="LV10" s="29">
        <f t="shared" si="53"/>
        <v>0</v>
      </c>
      <c r="LW10" s="5">
        <f t="shared" si="54"/>
        <v>5630332</v>
      </c>
      <c r="LX10" s="29">
        <f t="shared" si="55"/>
        <v>0</v>
      </c>
      <c r="LY10" s="5">
        <f t="shared" si="56"/>
        <v>0</v>
      </c>
      <c r="LZ10" s="29">
        <f t="shared" si="57"/>
        <v>0</v>
      </c>
      <c r="MA10" s="5">
        <f t="shared" si="58"/>
        <v>22899176</v>
      </c>
      <c r="MB10" s="29">
        <f t="shared" si="59"/>
        <v>0</v>
      </c>
      <c r="MC10" s="5">
        <f t="shared" si="60"/>
        <v>848182.01</v>
      </c>
      <c r="MD10" s="29">
        <f t="shared" si="61"/>
        <v>0</v>
      </c>
      <c r="ME10" s="5">
        <f t="shared" si="62"/>
        <v>0</v>
      </c>
      <c r="MF10" s="29">
        <f t="shared" si="63"/>
        <v>0</v>
      </c>
      <c r="MG10" s="5">
        <f t="shared" si="64"/>
        <v>600138</v>
      </c>
      <c r="MH10" s="29">
        <f t="shared" si="65"/>
        <v>0</v>
      </c>
      <c r="MI10" s="5">
        <f t="shared" si="66"/>
        <v>125296.99999999999</v>
      </c>
      <c r="MJ10" s="29">
        <f t="shared" si="67"/>
        <v>0</v>
      </c>
      <c r="MK10" s="5">
        <f t="shared" si="68"/>
        <v>6867442</v>
      </c>
      <c r="ML10" s="29">
        <f t="shared" si="69"/>
        <v>0</v>
      </c>
      <c r="MM10" s="5">
        <f t="shared" si="70"/>
        <v>96315835</v>
      </c>
      <c r="MN10" s="29">
        <f t="shared" si="71"/>
        <v>0</v>
      </c>
      <c r="MO10" s="5">
        <f t="shared" si="72"/>
        <v>813000</v>
      </c>
      <c r="MP10" s="29">
        <f t="shared" si="73"/>
        <v>0</v>
      </c>
      <c r="MQ10" s="5">
        <f t="shared" si="74"/>
        <v>97128835</v>
      </c>
      <c r="MR10" s="29">
        <f t="shared" si="75"/>
        <v>0</v>
      </c>
      <c r="MT10" s="5">
        <f t="shared" si="76"/>
        <v>0</v>
      </c>
      <c r="MV10" s="4">
        <f t="shared" si="77"/>
        <v>0</v>
      </c>
    </row>
    <row r="11" spans="1:360" x14ac:dyDescent="0.15">
      <c r="A11" s="156" t="s">
        <v>290</v>
      </c>
      <c r="B11" s="28" t="s">
        <v>405</v>
      </c>
      <c r="C11" s="48">
        <v>150136</v>
      </c>
      <c r="D11" s="48">
        <v>2012</v>
      </c>
      <c r="E11" s="49">
        <v>1</v>
      </c>
      <c r="F11" s="49">
        <v>9</v>
      </c>
      <c r="G11" s="50">
        <v>7190</v>
      </c>
      <c r="H11" s="50">
        <v>9230</v>
      </c>
      <c r="I11" s="51">
        <v>419466716</v>
      </c>
      <c r="J11" s="51"/>
      <c r="K11" s="51">
        <v>0</v>
      </c>
      <c r="L11" s="51"/>
      <c r="M11" s="51">
        <v>11415000</v>
      </c>
      <c r="N11" s="51"/>
      <c r="O11" s="51">
        <v>0</v>
      </c>
      <c r="P11" s="51"/>
      <c r="Q11" s="51">
        <v>180190000</v>
      </c>
      <c r="R11" s="51"/>
      <c r="S11" s="51">
        <v>405450825</v>
      </c>
      <c r="T11" s="51"/>
      <c r="U11" s="51">
        <v>17792</v>
      </c>
      <c r="V11" s="51"/>
      <c r="W11" s="51">
        <v>31772</v>
      </c>
      <c r="X11" s="51"/>
      <c r="Y11" s="51">
        <v>21122</v>
      </c>
      <c r="Z11" s="51"/>
      <c r="AA11" s="51">
        <v>35492</v>
      </c>
      <c r="AB11" s="51"/>
      <c r="AC11" s="74">
        <v>7</v>
      </c>
      <c r="AD11" s="74">
        <v>12</v>
      </c>
      <c r="AE11" s="74">
        <v>0</v>
      </c>
      <c r="AF11" s="29">
        <v>3306180</v>
      </c>
      <c r="AG11" s="29">
        <v>3061481</v>
      </c>
      <c r="AH11" s="29">
        <v>170552</v>
      </c>
      <c r="AI11" s="29">
        <v>80969</v>
      </c>
      <c r="AJ11" s="29">
        <v>170648.57</v>
      </c>
      <c r="AK11" s="73">
        <v>7</v>
      </c>
      <c r="AL11" s="29">
        <v>170648.57</v>
      </c>
      <c r="AM11" s="73">
        <v>7</v>
      </c>
      <c r="AN11" s="29">
        <v>100426.1</v>
      </c>
      <c r="AO11" s="73">
        <v>10</v>
      </c>
      <c r="AP11" s="29">
        <v>100426.1</v>
      </c>
      <c r="AQ11" s="73">
        <v>10</v>
      </c>
      <c r="AR11" s="29">
        <v>82175.3</v>
      </c>
      <c r="AS11" s="73">
        <v>18.5</v>
      </c>
      <c r="AT11" s="29">
        <v>66097.52</v>
      </c>
      <c r="AU11" s="73">
        <v>23</v>
      </c>
      <c r="AV11" s="29">
        <v>55061.36</v>
      </c>
      <c r="AW11" s="73">
        <v>11.75</v>
      </c>
      <c r="AX11" s="29">
        <v>38057.120000000003</v>
      </c>
      <c r="AY11" s="73">
        <v>17</v>
      </c>
      <c r="AZ11" s="97">
        <v>1277264</v>
      </c>
      <c r="BA11" s="97">
        <v>263506</v>
      </c>
      <c r="BB11" s="97">
        <v>11025</v>
      </c>
      <c r="BC11" s="97">
        <v>11153</v>
      </c>
      <c r="BD11" s="97">
        <v>0</v>
      </c>
      <c r="BE11" s="97">
        <v>1562948</v>
      </c>
      <c r="BF11" s="97">
        <v>0</v>
      </c>
      <c r="BG11" s="97">
        <v>0</v>
      </c>
      <c r="BH11" s="97">
        <v>0</v>
      </c>
      <c r="BI11" s="97">
        <v>0</v>
      </c>
      <c r="BJ11" s="97">
        <v>9963700</v>
      </c>
      <c r="BK11" s="97">
        <f>SUM(BF11:BJ11)</f>
        <v>9963700</v>
      </c>
      <c r="BL11" s="97">
        <v>1096976</v>
      </c>
      <c r="BM11" s="97">
        <v>0</v>
      </c>
      <c r="BN11" s="97">
        <v>0</v>
      </c>
      <c r="BO11" s="97">
        <v>14500</v>
      </c>
      <c r="BP11" s="97">
        <v>0</v>
      </c>
      <c r="BQ11" s="97">
        <v>1111476</v>
      </c>
      <c r="BR11" s="97">
        <v>260597</v>
      </c>
      <c r="BS11" s="97">
        <v>59693</v>
      </c>
      <c r="BT11" s="97">
        <v>12807</v>
      </c>
      <c r="BU11" s="97">
        <v>213091</v>
      </c>
      <c r="BV11" s="97">
        <v>996935</v>
      </c>
      <c r="BW11" s="97">
        <f>SUM(BR11:BV11)</f>
        <v>1543123</v>
      </c>
      <c r="BX11" s="97">
        <v>0</v>
      </c>
      <c r="BY11" s="97">
        <v>0</v>
      </c>
      <c r="BZ11" s="97">
        <v>0</v>
      </c>
      <c r="CA11" s="97">
        <v>0</v>
      </c>
      <c r="CB11" s="97">
        <v>0</v>
      </c>
      <c r="CC11" s="97">
        <v>0</v>
      </c>
      <c r="CD11" s="97">
        <v>0</v>
      </c>
      <c r="CE11" s="97">
        <v>0</v>
      </c>
      <c r="CF11" s="97">
        <v>0</v>
      </c>
      <c r="CG11" s="97">
        <v>0</v>
      </c>
      <c r="CH11" s="97">
        <v>0</v>
      </c>
      <c r="CI11" s="97">
        <v>0</v>
      </c>
      <c r="CJ11" s="97">
        <v>0</v>
      </c>
      <c r="CK11" s="97">
        <v>0</v>
      </c>
      <c r="CL11" s="97">
        <v>0</v>
      </c>
      <c r="CM11" s="97">
        <v>0</v>
      </c>
      <c r="CN11" s="97">
        <v>3401092</v>
      </c>
      <c r="CO11" s="97">
        <v>3401092</v>
      </c>
      <c r="CP11" s="97">
        <v>0</v>
      </c>
      <c r="CQ11" s="97">
        <v>0</v>
      </c>
      <c r="CR11" s="97">
        <v>0</v>
      </c>
      <c r="CS11" s="97">
        <v>0</v>
      </c>
      <c r="CT11" s="97">
        <v>1109184</v>
      </c>
      <c r="CU11" s="97">
        <v>1109184</v>
      </c>
      <c r="CV11" s="97">
        <v>0</v>
      </c>
      <c r="CW11" s="97">
        <v>0</v>
      </c>
      <c r="CX11" s="97">
        <v>0</v>
      </c>
      <c r="CY11" s="97">
        <v>0</v>
      </c>
      <c r="CZ11" s="97">
        <v>1203915</v>
      </c>
      <c r="DA11" s="97">
        <v>1203915</v>
      </c>
      <c r="DB11" s="97">
        <v>0</v>
      </c>
      <c r="DC11" s="97">
        <v>0</v>
      </c>
      <c r="DD11" s="97">
        <v>0</v>
      </c>
      <c r="DE11" s="97">
        <v>0</v>
      </c>
      <c r="DF11" s="97">
        <v>2660</v>
      </c>
      <c r="DG11" s="97">
        <v>2660</v>
      </c>
      <c r="DH11" s="97">
        <v>61747</v>
      </c>
      <c r="DI11" s="97">
        <v>34896</v>
      </c>
      <c r="DJ11" s="97">
        <v>2399</v>
      </c>
      <c r="DK11" s="97">
        <v>6190</v>
      </c>
      <c r="DL11" s="97">
        <v>398</v>
      </c>
      <c r="DM11" s="97">
        <v>105630</v>
      </c>
      <c r="DN11" s="97">
        <v>0</v>
      </c>
      <c r="DO11" s="97">
        <v>0</v>
      </c>
      <c r="DP11" s="97">
        <v>0</v>
      </c>
      <c r="DQ11" s="97">
        <v>0</v>
      </c>
      <c r="DR11" s="97">
        <v>591552</v>
      </c>
      <c r="DS11" s="97">
        <v>591552</v>
      </c>
      <c r="DT11" s="97">
        <v>46590</v>
      </c>
      <c r="DU11" s="97">
        <v>27298</v>
      </c>
      <c r="DV11" s="97">
        <v>9145</v>
      </c>
      <c r="DW11" s="97">
        <v>236160</v>
      </c>
      <c r="DX11" s="97">
        <v>0</v>
      </c>
      <c r="DY11" s="97">
        <v>319193</v>
      </c>
      <c r="DZ11" s="97">
        <v>0</v>
      </c>
      <c r="EA11" s="97">
        <v>0</v>
      </c>
      <c r="EB11" s="97">
        <v>0</v>
      </c>
      <c r="EC11" s="97">
        <v>0</v>
      </c>
      <c r="ED11" s="97">
        <v>22086</v>
      </c>
      <c r="EE11" s="97">
        <v>22086</v>
      </c>
      <c r="EF11" s="97">
        <v>0</v>
      </c>
      <c r="EG11" s="97">
        <v>0</v>
      </c>
      <c r="EH11" s="97">
        <v>0</v>
      </c>
      <c r="EI11" s="97">
        <v>52299</v>
      </c>
      <c r="EJ11" s="97">
        <v>141000</v>
      </c>
      <c r="EK11" s="97">
        <v>193299</v>
      </c>
      <c r="EL11" s="97">
        <v>2743174</v>
      </c>
      <c r="EM11" s="97">
        <v>385393</v>
      </c>
      <c r="EN11" s="97">
        <v>35376</v>
      </c>
      <c r="EO11" s="97">
        <v>533393</v>
      </c>
      <c r="EP11" s="97">
        <v>17432522</v>
      </c>
      <c r="EQ11" s="97">
        <v>21129858</v>
      </c>
      <c r="ER11" s="97">
        <v>2416488</v>
      </c>
      <c r="ES11" s="97">
        <v>332229</v>
      </c>
      <c r="ET11" s="97">
        <v>391618</v>
      </c>
      <c r="EU11" s="97">
        <v>3227326</v>
      </c>
      <c r="EV11" s="97">
        <v>0</v>
      </c>
      <c r="EW11" s="97">
        <v>6367661</v>
      </c>
      <c r="EX11" s="97">
        <v>300000</v>
      </c>
      <c r="EY11" s="97">
        <v>81000</v>
      </c>
      <c r="EZ11" s="97">
        <v>3000</v>
      </c>
      <c r="FA11" s="97">
        <v>1750</v>
      </c>
      <c r="FB11" s="97">
        <v>0</v>
      </c>
      <c r="FC11" s="97">
        <v>385750</v>
      </c>
      <c r="FD11" s="97">
        <v>1434746</v>
      </c>
      <c r="FE11" s="97">
        <v>594077</v>
      </c>
      <c r="FF11" s="97">
        <v>478271</v>
      </c>
      <c r="FG11" s="97">
        <v>1858921</v>
      </c>
      <c r="FH11" s="97">
        <v>0</v>
      </c>
      <c r="FI11" s="97">
        <v>4366015</v>
      </c>
      <c r="FJ11" s="97">
        <v>0</v>
      </c>
      <c r="FK11" s="97">
        <v>0</v>
      </c>
      <c r="FL11" s="97">
        <v>0</v>
      </c>
      <c r="FM11" s="97">
        <v>0</v>
      </c>
      <c r="FN11" s="97">
        <v>0</v>
      </c>
      <c r="FO11" s="97">
        <v>0</v>
      </c>
      <c r="FP11" s="97">
        <v>151333</v>
      </c>
      <c r="FQ11" s="97">
        <v>24978</v>
      </c>
      <c r="FR11" s="97">
        <v>24978</v>
      </c>
      <c r="FS11" s="97">
        <v>0</v>
      </c>
      <c r="FT11" s="97">
        <v>3121124</v>
      </c>
      <c r="FU11" s="97">
        <v>3322413</v>
      </c>
      <c r="FV11" s="97">
        <v>0</v>
      </c>
      <c r="FW11" s="97">
        <v>0</v>
      </c>
      <c r="FX11" s="97">
        <v>0</v>
      </c>
      <c r="FY11" s="97">
        <v>0</v>
      </c>
      <c r="FZ11" s="97">
        <v>0</v>
      </c>
      <c r="GA11" s="97">
        <v>0</v>
      </c>
      <c r="GB11" s="97">
        <v>361901</v>
      </c>
      <c r="GC11" s="97">
        <v>0</v>
      </c>
      <c r="GD11" s="97">
        <v>0</v>
      </c>
      <c r="GE11" s="97">
        <v>0</v>
      </c>
      <c r="GF11" s="97">
        <v>0</v>
      </c>
      <c r="GG11" s="97">
        <v>361901</v>
      </c>
      <c r="GH11" s="97">
        <v>102463</v>
      </c>
      <c r="GI11" s="97">
        <v>50859</v>
      </c>
      <c r="GJ11" s="97">
        <v>27066</v>
      </c>
      <c r="GK11" s="97">
        <v>71133</v>
      </c>
      <c r="GL11" s="97">
        <v>0</v>
      </c>
      <c r="GM11" s="97">
        <v>251521</v>
      </c>
      <c r="GN11" s="97">
        <v>321382</v>
      </c>
      <c r="GO11" s="97">
        <v>163068</v>
      </c>
      <c r="GP11" s="97">
        <v>95863</v>
      </c>
      <c r="GQ11" s="97">
        <v>730493</v>
      </c>
      <c r="GR11" s="97">
        <v>0</v>
      </c>
      <c r="GS11" s="97">
        <v>1310806</v>
      </c>
      <c r="GT11" s="97">
        <v>168879</v>
      </c>
      <c r="GU11" s="97">
        <v>14278</v>
      </c>
      <c r="GV11" s="97">
        <v>9023</v>
      </c>
      <c r="GW11" s="97">
        <v>146416</v>
      </c>
      <c r="GX11" s="97">
        <v>0</v>
      </c>
      <c r="GY11" s="97">
        <v>338596</v>
      </c>
      <c r="GZ11" s="97">
        <v>85425</v>
      </c>
      <c r="HA11" s="97">
        <v>69330</v>
      </c>
      <c r="HB11" s="97">
        <v>47187</v>
      </c>
      <c r="HC11" s="97">
        <v>128830</v>
      </c>
      <c r="HD11" s="97">
        <v>57679</v>
      </c>
      <c r="HE11" s="97">
        <v>388451</v>
      </c>
      <c r="HF11" s="97">
        <v>8296</v>
      </c>
      <c r="HG11" s="97">
        <v>6187</v>
      </c>
      <c r="HH11" s="97">
        <v>2762</v>
      </c>
      <c r="HI11" s="97">
        <v>9872</v>
      </c>
      <c r="HJ11" s="97">
        <v>282694</v>
      </c>
      <c r="HK11" s="97">
        <v>309811</v>
      </c>
      <c r="HL11" s="97">
        <v>17549</v>
      </c>
      <c r="HM11" s="97">
        <v>20475</v>
      </c>
      <c r="HN11" s="97">
        <v>4583</v>
      </c>
      <c r="HO11" s="97">
        <v>82491</v>
      </c>
      <c r="HP11" s="97">
        <v>0</v>
      </c>
      <c r="HQ11" s="97">
        <v>125098</v>
      </c>
      <c r="HR11" s="97">
        <v>38768</v>
      </c>
      <c r="HS11" s="97">
        <v>1610</v>
      </c>
      <c r="HT11" s="97">
        <v>0</v>
      </c>
      <c r="HU11" s="97">
        <v>1731</v>
      </c>
      <c r="HV11" s="97">
        <v>81632</v>
      </c>
      <c r="HW11" s="97">
        <v>123741</v>
      </c>
      <c r="HX11" s="97">
        <v>0</v>
      </c>
      <c r="HY11" s="97">
        <v>0</v>
      </c>
      <c r="HZ11" s="97">
        <v>0</v>
      </c>
      <c r="IA11" s="97">
        <v>0</v>
      </c>
      <c r="IB11" s="97">
        <v>43198</v>
      </c>
      <c r="IC11" s="97">
        <v>43198</v>
      </c>
      <c r="ID11" s="97">
        <v>0</v>
      </c>
      <c r="IE11" s="97">
        <v>0</v>
      </c>
      <c r="IF11" s="97">
        <v>0</v>
      </c>
      <c r="IG11" s="97">
        <v>0</v>
      </c>
      <c r="IH11" s="97">
        <v>1109184</v>
      </c>
      <c r="II11" s="97">
        <v>1109184</v>
      </c>
      <c r="IJ11" s="97">
        <v>52671</v>
      </c>
      <c r="IK11" s="97">
        <v>11685</v>
      </c>
      <c r="IL11" s="97">
        <v>4074</v>
      </c>
      <c r="IM11" s="97">
        <v>242044</v>
      </c>
      <c r="IN11" s="97">
        <v>0</v>
      </c>
      <c r="IO11" s="97">
        <v>310474</v>
      </c>
      <c r="IP11" s="97">
        <v>130000</v>
      </c>
      <c r="IQ11" s="97">
        <v>0</v>
      </c>
      <c r="IR11" s="97">
        <v>640</v>
      </c>
      <c r="IS11" s="97">
        <v>7236</v>
      </c>
      <c r="IT11" s="97">
        <v>125722</v>
      </c>
      <c r="IU11" s="97">
        <v>263598</v>
      </c>
      <c r="IV11" s="97">
        <v>83817</v>
      </c>
      <c r="IW11" s="97">
        <v>13325</v>
      </c>
      <c r="IX11" s="97">
        <v>12422</v>
      </c>
      <c r="IY11" s="97">
        <v>71634</v>
      </c>
      <c r="IZ11" s="97">
        <v>615293</v>
      </c>
      <c r="JA11" s="97">
        <v>796491</v>
      </c>
      <c r="JB11" s="97">
        <v>5673718</v>
      </c>
      <c r="JC11" s="97">
        <v>1383101</v>
      </c>
      <c r="JD11" s="97">
        <v>1101487</v>
      </c>
      <c r="JE11" s="97">
        <v>6579877</v>
      </c>
      <c r="JF11" s="97">
        <v>5436526</v>
      </c>
      <c r="JG11" s="97">
        <v>20174709</v>
      </c>
      <c r="JH11" s="97">
        <v>0</v>
      </c>
      <c r="JI11" s="97">
        <v>0</v>
      </c>
      <c r="JJ11" s="97">
        <v>0</v>
      </c>
      <c r="JK11" s="97">
        <v>0</v>
      </c>
      <c r="JL11" s="97">
        <v>0</v>
      </c>
      <c r="JM11" s="97">
        <v>0</v>
      </c>
      <c r="JN11" s="97">
        <v>5673718</v>
      </c>
      <c r="JO11" s="97">
        <v>1383101</v>
      </c>
      <c r="JP11" s="97">
        <v>1101487</v>
      </c>
      <c r="JQ11" s="97">
        <v>6579877</v>
      </c>
      <c r="JR11" s="97">
        <v>5436526</v>
      </c>
      <c r="JS11" s="97">
        <v>20174709</v>
      </c>
      <c r="JU11" s="5">
        <f t="shared" si="0"/>
        <v>1562948</v>
      </c>
      <c r="JV11" s="29">
        <f t="shared" si="1"/>
        <v>0</v>
      </c>
      <c r="JW11" s="5">
        <f t="shared" si="2"/>
        <v>9963700</v>
      </c>
      <c r="JX11" s="29">
        <f t="shared" si="3"/>
        <v>0</v>
      </c>
      <c r="JY11" s="5">
        <f t="shared" si="4"/>
        <v>1111476</v>
      </c>
      <c r="JZ11" s="29">
        <f t="shared" si="5"/>
        <v>0</v>
      </c>
      <c r="KA11" s="5">
        <f t="shared" si="6"/>
        <v>1543123</v>
      </c>
      <c r="KB11" s="29">
        <f t="shared" si="7"/>
        <v>0</v>
      </c>
      <c r="KC11" s="5">
        <f t="shared" si="8"/>
        <v>0</v>
      </c>
      <c r="KD11" s="29">
        <f t="shared" si="9"/>
        <v>0</v>
      </c>
      <c r="KE11" s="5">
        <f t="shared" si="10"/>
        <v>0</v>
      </c>
      <c r="KF11" s="29">
        <f t="shared" si="11"/>
        <v>0</v>
      </c>
      <c r="KG11" s="5">
        <f t="shared" si="12"/>
        <v>3401092</v>
      </c>
      <c r="KH11" s="29">
        <f t="shared" si="13"/>
        <v>0</v>
      </c>
      <c r="KI11" s="5">
        <f t="shared" si="14"/>
        <v>1109184</v>
      </c>
      <c r="KJ11" s="29">
        <f t="shared" si="15"/>
        <v>0</v>
      </c>
      <c r="KK11" s="5">
        <f t="shared" si="16"/>
        <v>1203915</v>
      </c>
      <c r="KL11" s="29">
        <f t="shared" si="17"/>
        <v>0</v>
      </c>
      <c r="KM11" s="5">
        <f t="shared" si="18"/>
        <v>2660</v>
      </c>
      <c r="KN11" s="29">
        <f t="shared" si="19"/>
        <v>0</v>
      </c>
      <c r="KO11" s="5">
        <f t="shared" si="20"/>
        <v>105630</v>
      </c>
      <c r="KP11" s="29">
        <f t="shared" si="21"/>
        <v>0</v>
      </c>
      <c r="KQ11" s="5">
        <f t="shared" si="22"/>
        <v>591552</v>
      </c>
      <c r="KR11" s="29">
        <f t="shared" si="23"/>
        <v>0</v>
      </c>
      <c r="KS11" s="5">
        <f t="shared" si="24"/>
        <v>319193</v>
      </c>
      <c r="KT11" s="29">
        <f t="shared" si="25"/>
        <v>0</v>
      </c>
      <c r="KU11" s="5">
        <f t="shared" si="26"/>
        <v>22086</v>
      </c>
      <c r="KV11" s="29">
        <f t="shared" si="27"/>
        <v>0</v>
      </c>
      <c r="KW11" s="5">
        <f t="shared" si="28"/>
        <v>193299</v>
      </c>
      <c r="KX11" s="29">
        <f t="shared" si="29"/>
        <v>0</v>
      </c>
      <c r="KY11" s="5">
        <f t="shared" si="30"/>
        <v>21129858</v>
      </c>
      <c r="KZ11" s="29">
        <f t="shared" si="31"/>
        <v>0</v>
      </c>
      <c r="LA11" s="5">
        <f t="shared" si="32"/>
        <v>6367661</v>
      </c>
      <c r="LB11" s="29">
        <f t="shared" si="33"/>
        <v>0</v>
      </c>
      <c r="LC11" s="5">
        <f t="shared" si="34"/>
        <v>385750</v>
      </c>
      <c r="LD11" s="29">
        <f t="shared" si="35"/>
        <v>0</v>
      </c>
      <c r="LE11" s="5">
        <f t="shared" si="36"/>
        <v>4366015</v>
      </c>
      <c r="LF11" s="29">
        <f t="shared" si="37"/>
        <v>0</v>
      </c>
      <c r="LG11" s="5">
        <f t="shared" si="38"/>
        <v>0</v>
      </c>
      <c r="LH11" s="29">
        <f t="shared" si="39"/>
        <v>0</v>
      </c>
      <c r="LI11" s="5">
        <f t="shared" si="40"/>
        <v>3322413</v>
      </c>
      <c r="LJ11" s="29">
        <f t="shared" si="41"/>
        <v>0</v>
      </c>
      <c r="LK11" s="5">
        <f t="shared" si="42"/>
        <v>0</v>
      </c>
      <c r="LL11" s="29">
        <f t="shared" si="43"/>
        <v>0</v>
      </c>
      <c r="LM11" s="5">
        <f t="shared" si="44"/>
        <v>361901</v>
      </c>
      <c r="LN11" s="29">
        <f t="shared" si="45"/>
        <v>0</v>
      </c>
      <c r="LO11" s="5">
        <f t="shared" si="46"/>
        <v>251521</v>
      </c>
      <c r="LP11" s="29">
        <f t="shared" si="47"/>
        <v>0</v>
      </c>
      <c r="LQ11" s="5">
        <f t="shared" si="48"/>
        <v>1310806</v>
      </c>
      <c r="LR11" s="29">
        <f t="shared" si="49"/>
        <v>0</v>
      </c>
      <c r="LS11" s="5">
        <f t="shared" si="50"/>
        <v>338596</v>
      </c>
      <c r="LT11" s="29">
        <f t="shared" si="51"/>
        <v>0</v>
      </c>
      <c r="LU11" s="5">
        <f t="shared" si="52"/>
        <v>388451</v>
      </c>
      <c r="LV11" s="29">
        <f t="shared" si="53"/>
        <v>0</v>
      </c>
      <c r="LW11" s="5">
        <f t="shared" si="54"/>
        <v>309811</v>
      </c>
      <c r="LX11" s="29">
        <f t="shared" si="55"/>
        <v>0</v>
      </c>
      <c r="LY11" s="5">
        <f t="shared" si="56"/>
        <v>125098</v>
      </c>
      <c r="LZ11" s="29">
        <f t="shared" si="57"/>
        <v>0</v>
      </c>
      <c r="MA11" s="5">
        <f t="shared" si="58"/>
        <v>123741</v>
      </c>
      <c r="MB11" s="29">
        <f t="shared" si="59"/>
        <v>0</v>
      </c>
      <c r="MC11" s="5">
        <f t="shared" si="60"/>
        <v>43198</v>
      </c>
      <c r="MD11" s="29">
        <f t="shared" si="61"/>
        <v>0</v>
      </c>
      <c r="ME11" s="5">
        <f t="shared" si="62"/>
        <v>1109184</v>
      </c>
      <c r="MF11" s="29">
        <f t="shared" si="63"/>
        <v>0</v>
      </c>
      <c r="MG11" s="5">
        <f t="shared" si="64"/>
        <v>310474</v>
      </c>
      <c r="MH11" s="29">
        <f t="shared" si="65"/>
        <v>0</v>
      </c>
      <c r="MI11" s="5">
        <f t="shared" si="66"/>
        <v>263598</v>
      </c>
      <c r="MJ11" s="29">
        <f t="shared" si="67"/>
        <v>0</v>
      </c>
      <c r="MK11" s="5">
        <f t="shared" si="68"/>
        <v>796491</v>
      </c>
      <c r="ML11" s="29">
        <f t="shared" si="69"/>
        <v>0</v>
      </c>
      <c r="MM11" s="5">
        <f t="shared" si="70"/>
        <v>20174709</v>
      </c>
      <c r="MN11" s="29">
        <f t="shared" si="71"/>
        <v>0</v>
      </c>
      <c r="MO11" s="5">
        <f t="shared" si="72"/>
        <v>0</v>
      </c>
      <c r="MP11" s="29">
        <f t="shared" si="73"/>
        <v>0</v>
      </c>
      <c r="MQ11" s="5">
        <f t="shared" si="74"/>
        <v>20174709</v>
      </c>
      <c r="MR11" s="29">
        <f t="shared" si="75"/>
        <v>0</v>
      </c>
      <c r="MT11" s="5">
        <f t="shared" si="76"/>
        <v>0</v>
      </c>
      <c r="MV11" s="4">
        <f t="shared" si="77"/>
        <v>0</v>
      </c>
    </row>
    <row r="12" spans="1:360" x14ac:dyDescent="0.15">
      <c r="A12" s="157" t="s">
        <v>291</v>
      </c>
      <c r="B12" s="28" t="s">
        <v>407</v>
      </c>
      <c r="C12" s="47">
        <v>142115</v>
      </c>
      <c r="D12" s="48">
        <v>2012</v>
      </c>
      <c r="E12" s="49">
        <v>1</v>
      </c>
      <c r="F12" s="49">
        <v>10</v>
      </c>
      <c r="G12" s="50">
        <v>6106</v>
      </c>
      <c r="H12" s="50">
        <v>6599</v>
      </c>
      <c r="I12" s="51">
        <v>303984891</v>
      </c>
      <c r="J12" s="51"/>
      <c r="K12" s="51">
        <v>3196125</v>
      </c>
      <c r="L12" s="51"/>
      <c r="M12" s="51">
        <v>17241393</v>
      </c>
      <c r="N12" s="51"/>
      <c r="O12" s="51">
        <v>37141461</v>
      </c>
      <c r="P12" s="51"/>
      <c r="Q12" s="51">
        <v>224286853</v>
      </c>
      <c r="R12" s="51"/>
      <c r="S12" s="51">
        <v>242548000</v>
      </c>
      <c r="T12" s="51"/>
      <c r="U12" s="51">
        <v>14858</v>
      </c>
      <c r="V12" s="51"/>
      <c r="W12" s="51">
        <v>25258</v>
      </c>
      <c r="X12" s="51"/>
      <c r="Y12" s="51">
        <v>19232</v>
      </c>
      <c r="Z12" s="51"/>
      <c r="AA12" s="51">
        <v>29942</v>
      </c>
      <c r="AB12" s="51"/>
      <c r="AC12" s="72">
        <v>8</v>
      </c>
      <c r="AD12" s="72">
        <v>11</v>
      </c>
      <c r="AE12" s="72">
        <v>0</v>
      </c>
      <c r="AF12" s="29">
        <v>3236386</v>
      </c>
      <c r="AG12" s="29">
        <v>2700678</v>
      </c>
      <c r="AH12" s="29">
        <v>230071</v>
      </c>
      <c r="AI12" s="29">
        <v>181532</v>
      </c>
      <c r="AJ12" s="29">
        <v>462013</v>
      </c>
      <c r="AK12" s="73">
        <v>5.5</v>
      </c>
      <c r="AL12" s="29">
        <v>423512</v>
      </c>
      <c r="AM12" s="73">
        <v>6</v>
      </c>
      <c r="AN12" s="29">
        <v>101332</v>
      </c>
      <c r="AO12" s="73">
        <v>9.5</v>
      </c>
      <c r="AP12" s="29">
        <v>96265</v>
      </c>
      <c r="AQ12" s="73">
        <v>10</v>
      </c>
      <c r="AR12" s="29">
        <v>229679</v>
      </c>
      <c r="AS12" s="73">
        <v>17</v>
      </c>
      <c r="AT12" s="29">
        <v>205503</v>
      </c>
      <c r="AU12" s="73">
        <v>19</v>
      </c>
      <c r="AV12" s="29">
        <v>72416</v>
      </c>
      <c r="AW12" s="73">
        <v>15</v>
      </c>
      <c r="AX12" s="29">
        <v>61353</v>
      </c>
      <c r="AY12" s="73">
        <v>18</v>
      </c>
      <c r="AZ12" s="97">
        <v>7550296</v>
      </c>
      <c r="BA12" s="97">
        <v>620293</v>
      </c>
      <c r="BB12" s="97">
        <v>53907</v>
      </c>
      <c r="BC12" s="97">
        <f>8216298+90623-AZ12-BA12-BB12</f>
        <v>82425</v>
      </c>
      <c r="BD12" s="97">
        <v>0</v>
      </c>
      <c r="BE12" s="97">
        <v>8306921</v>
      </c>
      <c r="BF12" s="97">
        <v>0</v>
      </c>
      <c r="BG12" s="97">
        <v>0</v>
      </c>
      <c r="BH12" s="97">
        <v>0</v>
      </c>
      <c r="BI12" s="97">
        <v>0</v>
      </c>
      <c r="BJ12" s="97">
        <v>3227977</v>
      </c>
      <c r="BK12" s="97">
        <v>3227977</v>
      </c>
      <c r="BL12" s="97">
        <v>2200000</v>
      </c>
      <c r="BM12" s="97">
        <v>85000</v>
      </c>
      <c r="BN12" s="97">
        <v>0</v>
      </c>
      <c r="BO12" s="97">
        <v>2500</v>
      </c>
      <c r="BP12" s="97">
        <v>0</v>
      </c>
      <c r="BQ12" s="97">
        <v>2287500</v>
      </c>
      <c r="BR12" s="97">
        <v>117781</v>
      </c>
      <c r="BS12" s="97">
        <v>4244</v>
      </c>
      <c r="BT12" s="97">
        <v>16459</v>
      </c>
      <c r="BU12" s="97">
        <v>132297</v>
      </c>
      <c r="BV12" s="97">
        <v>8990820</v>
      </c>
      <c r="BW12" s="97">
        <v>9261601</v>
      </c>
      <c r="BX12" s="97">
        <v>0</v>
      </c>
      <c r="BY12" s="97">
        <v>0</v>
      </c>
      <c r="BZ12" s="97">
        <v>0</v>
      </c>
      <c r="CA12" s="97">
        <v>0</v>
      </c>
      <c r="CB12" s="97">
        <v>0</v>
      </c>
      <c r="CC12" s="97">
        <v>0</v>
      </c>
      <c r="CD12" s="97">
        <v>47462</v>
      </c>
      <c r="CE12" s="97">
        <v>51104</v>
      </c>
      <c r="CF12" s="97">
        <v>278751</v>
      </c>
      <c r="CG12" s="97">
        <v>1157954</v>
      </c>
      <c r="CH12" s="97">
        <v>696099</v>
      </c>
      <c r="CI12" s="97">
        <v>2231370</v>
      </c>
      <c r="CJ12" s="97">
        <v>0</v>
      </c>
      <c r="CK12" s="97">
        <v>0</v>
      </c>
      <c r="CL12" s="97">
        <v>0</v>
      </c>
      <c r="CM12" s="97">
        <v>0</v>
      </c>
      <c r="CN12" s="97">
        <v>3552805</v>
      </c>
      <c r="CO12" s="97">
        <v>3552805</v>
      </c>
      <c r="CP12" s="97">
        <v>0</v>
      </c>
      <c r="CQ12" s="97">
        <v>0</v>
      </c>
      <c r="CR12" s="97">
        <v>0</v>
      </c>
      <c r="CS12" s="97">
        <v>0</v>
      </c>
      <c r="CT12" s="97">
        <v>1828871</v>
      </c>
      <c r="CU12" s="97">
        <v>1828871</v>
      </c>
      <c r="CV12" s="97">
        <v>1904711</v>
      </c>
      <c r="CW12" s="97">
        <v>642997</v>
      </c>
      <c r="CX12" s="97">
        <v>113470</v>
      </c>
      <c r="CY12" s="97">
        <v>1386361</v>
      </c>
      <c r="CZ12" s="97">
        <v>119997</v>
      </c>
      <c r="DA12" s="97">
        <v>4167536</v>
      </c>
      <c r="DB12" s="97">
        <v>51399</v>
      </c>
      <c r="DC12" s="97">
        <v>12850</v>
      </c>
      <c r="DD12" s="97">
        <v>0</v>
      </c>
      <c r="DE12" s="97">
        <v>0</v>
      </c>
      <c r="DF12" s="97">
        <v>0</v>
      </c>
      <c r="DG12" s="97">
        <v>64249</v>
      </c>
      <c r="DH12" s="97">
        <v>936505</v>
      </c>
      <c r="DI12" s="97">
        <v>76938</v>
      </c>
      <c r="DJ12" s="97">
        <v>6686</v>
      </c>
      <c r="DK12" s="97">
        <v>10224</v>
      </c>
      <c r="DL12" s="97">
        <v>0</v>
      </c>
      <c r="DM12" s="97">
        <v>1030353</v>
      </c>
      <c r="DN12" s="97">
        <v>3334809</v>
      </c>
      <c r="DO12" s="97">
        <v>273971</v>
      </c>
      <c r="DP12" s="97">
        <v>23809</v>
      </c>
      <c r="DQ12" s="97">
        <v>36406</v>
      </c>
      <c r="DR12" s="97">
        <v>0</v>
      </c>
      <c r="DS12" s="97">
        <v>3668995</v>
      </c>
      <c r="DT12" s="97">
        <v>324058</v>
      </c>
      <c r="DU12" s="97">
        <v>18112</v>
      </c>
      <c r="DV12" s="97">
        <v>13340</v>
      </c>
      <c r="DW12" s="97">
        <v>399684</v>
      </c>
      <c r="DX12" s="97">
        <v>0</v>
      </c>
      <c r="DY12" s="97">
        <v>755194</v>
      </c>
      <c r="DZ12" s="97">
        <v>0</v>
      </c>
      <c r="EA12" s="97">
        <v>0</v>
      </c>
      <c r="EB12" s="97">
        <v>0</v>
      </c>
      <c r="EC12" s="97">
        <v>0</v>
      </c>
      <c r="ED12" s="97">
        <v>0</v>
      </c>
      <c r="EE12" s="97">
        <v>0</v>
      </c>
      <c r="EF12" s="97">
        <v>3703</v>
      </c>
      <c r="EG12" s="97">
        <v>0</v>
      </c>
      <c r="EH12" s="97">
        <v>0</v>
      </c>
      <c r="EI12" s="97">
        <v>7500</v>
      </c>
      <c r="EJ12" s="97">
        <v>3046330</v>
      </c>
      <c r="EK12" s="97">
        <v>3057533</v>
      </c>
      <c r="EL12" s="97">
        <v>16470724</v>
      </c>
      <c r="EM12" s="97">
        <v>1785509</v>
      </c>
      <c r="EN12" s="97">
        <v>506422</v>
      </c>
      <c r="EO12" s="97">
        <v>3215351</v>
      </c>
      <c r="EP12" s="97">
        <v>21462899</v>
      </c>
      <c r="EQ12" s="97">
        <v>43440905</v>
      </c>
      <c r="ER12" s="97">
        <v>2072638</v>
      </c>
      <c r="ES12" s="97">
        <v>367779</v>
      </c>
      <c r="ET12" s="97">
        <v>365225</v>
      </c>
      <c r="EU12" s="97">
        <v>3131422</v>
      </c>
      <c r="EV12" s="97">
        <v>400003</v>
      </c>
      <c r="EW12" s="97">
        <v>6337067</v>
      </c>
      <c r="EX12" s="97">
        <v>450000</v>
      </c>
      <c r="EY12" s="97">
        <v>154614</v>
      </c>
      <c r="EZ12" s="97">
        <v>0</v>
      </c>
      <c r="FA12" s="97">
        <v>28700</v>
      </c>
      <c r="FB12" s="97">
        <v>0</v>
      </c>
      <c r="FC12" s="97">
        <v>633314</v>
      </c>
      <c r="FD12" s="97">
        <v>4362690</v>
      </c>
      <c r="FE12" s="97">
        <v>925308</v>
      </c>
      <c r="FF12" s="97">
        <v>456572</v>
      </c>
      <c r="FG12" s="97">
        <v>2768072</v>
      </c>
      <c r="FH12" s="97">
        <v>0</v>
      </c>
      <c r="FI12" s="97">
        <v>8512642</v>
      </c>
      <c r="FJ12" s="97">
        <v>0</v>
      </c>
      <c r="FK12" s="97">
        <v>0</v>
      </c>
      <c r="FL12" s="97">
        <v>0</v>
      </c>
      <c r="FM12" s="97">
        <v>0</v>
      </c>
      <c r="FN12" s="97">
        <v>0</v>
      </c>
      <c r="FO12" s="97">
        <v>0</v>
      </c>
      <c r="FP12" s="97">
        <v>0</v>
      </c>
      <c r="FQ12" s="97">
        <v>0</v>
      </c>
      <c r="FR12" s="97">
        <v>0</v>
      </c>
      <c r="FS12" s="97">
        <v>0</v>
      </c>
      <c r="FT12" s="97">
        <v>5021919</v>
      </c>
      <c r="FU12" s="97">
        <v>5021919</v>
      </c>
      <c r="FV12" s="97">
        <v>0</v>
      </c>
      <c r="FW12" s="97">
        <v>0</v>
      </c>
      <c r="FX12" s="97">
        <v>0</v>
      </c>
      <c r="FY12" s="97">
        <v>0</v>
      </c>
      <c r="FZ12" s="97">
        <v>0</v>
      </c>
      <c r="GA12" s="97">
        <v>0</v>
      </c>
      <c r="GB12" s="97">
        <v>0</v>
      </c>
      <c r="GC12" s="97">
        <v>0</v>
      </c>
      <c r="GD12" s="97">
        <v>0</v>
      </c>
      <c r="GE12" s="97">
        <v>0</v>
      </c>
      <c r="GF12" s="97">
        <v>0</v>
      </c>
      <c r="GG12" s="97">
        <v>0</v>
      </c>
      <c r="GH12" s="97">
        <v>133529</v>
      </c>
      <c r="GI12" s="97">
        <v>78324</v>
      </c>
      <c r="GJ12" s="97">
        <v>77149</v>
      </c>
      <c r="GK12" s="97">
        <v>122601</v>
      </c>
      <c r="GL12" s="97">
        <v>0</v>
      </c>
      <c r="GM12" s="97">
        <v>411603</v>
      </c>
      <c r="GN12" s="97">
        <v>770078</v>
      </c>
      <c r="GO12" s="97">
        <v>233251</v>
      </c>
      <c r="GP12" s="97">
        <v>134659</v>
      </c>
      <c r="GQ12" s="97">
        <v>993878</v>
      </c>
      <c r="GR12" s="97">
        <v>32105</v>
      </c>
      <c r="GS12" s="97">
        <v>2163971</v>
      </c>
      <c r="GT12" s="97">
        <v>470846</v>
      </c>
      <c r="GU12" s="97">
        <v>109389</v>
      </c>
      <c r="GV12" s="97">
        <v>47810</v>
      </c>
      <c r="GW12" s="97">
        <v>329612</v>
      </c>
      <c r="GX12" s="97">
        <v>472594</v>
      </c>
      <c r="GY12" s="97">
        <v>1430251</v>
      </c>
      <c r="GZ12" s="97">
        <v>0</v>
      </c>
      <c r="HA12" s="97">
        <v>0</v>
      </c>
      <c r="HB12" s="97">
        <v>0</v>
      </c>
      <c r="HC12" s="97">
        <v>0</v>
      </c>
      <c r="HD12" s="97">
        <v>1790666</v>
      </c>
      <c r="HE12" s="97">
        <v>1790666</v>
      </c>
      <c r="HF12" s="97">
        <v>0</v>
      </c>
      <c r="HG12" s="97">
        <v>0</v>
      </c>
      <c r="HH12" s="97">
        <v>0</v>
      </c>
      <c r="HI12" s="97">
        <v>0</v>
      </c>
      <c r="HJ12" s="97">
        <v>337076</v>
      </c>
      <c r="HK12" s="97">
        <v>337076</v>
      </c>
      <c r="HL12" s="97">
        <v>219984</v>
      </c>
      <c r="HM12" s="97">
        <v>27008</v>
      </c>
      <c r="HN12" s="97">
        <v>20681</v>
      </c>
      <c r="HO12" s="97">
        <v>241500</v>
      </c>
      <c r="HP12" s="97">
        <v>0</v>
      </c>
      <c r="HQ12" s="97">
        <v>509173</v>
      </c>
      <c r="HR12" s="97">
        <v>9414233</v>
      </c>
      <c r="HS12" s="97">
        <v>869711</v>
      </c>
      <c r="HT12" s="97">
        <v>340302</v>
      </c>
      <c r="HU12" s="97">
        <v>1279272</v>
      </c>
      <c r="HV12" s="97">
        <v>0</v>
      </c>
      <c r="HW12" s="97">
        <v>11903518</v>
      </c>
      <c r="HX12" s="97">
        <v>0</v>
      </c>
      <c r="HY12" s="97">
        <v>0</v>
      </c>
      <c r="HZ12" s="97">
        <v>0</v>
      </c>
      <c r="IA12" s="97">
        <v>0</v>
      </c>
      <c r="IB12" s="97">
        <v>185101</v>
      </c>
      <c r="IC12" s="97">
        <v>185101</v>
      </c>
      <c r="ID12" s="97">
        <v>0</v>
      </c>
      <c r="IE12" s="97">
        <v>0</v>
      </c>
      <c r="IF12" s="97">
        <v>0</v>
      </c>
      <c r="IG12" s="97">
        <v>0</v>
      </c>
      <c r="IH12" s="97">
        <v>1828871</v>
      </c>
      <c r="II12" s="97">
        <v>1828871</v>
      </c>
      <c r="IJ12" s="97">
        <v>0</v>
      </c>
      <c r="IK12" s="97">
        <v>0</v>
      </c>
      <c r="IL12" s="97">
        <v>0</v>
      </c>
      <c r="IM12" s="97">
        <v>0</v>
      </c>
      <c r="IN12" s="97">
        <v>134805</v>
      </c>
      <c r="IO12" s="97">
        <v>134805</v>
      </c>
      <c r="IP12" s="97">
        <v>40</v>
      </c>
      <c r="IQ12" s="97">
        <v>2020</v>
      </c>
      <c r="IR12" s="97">
        <v>0</v>
      </c>
      <c r="IS12" s="97">
        <v>5766</v>
      </c>
      <c r="IT12" s="97">
        <v>480990</v>
      </c>
      <c r="IU12" s="97">
        <v>488816</v>
      </c>
      <c r="IV12" s="97">
        <v>190714</v>
      </c>
      <c r="IW12" s="97">
        <v>5343</v>
      </c>
      <c r="IX12" s="97">
        <v>4817</v>
      </c>
      <c r="IY12" s="97">
        <v>39318</v>
      </c>
      <c r="IZ12" s="97">
        <v>1243240</v>
      </c>
      <c r="JA12" s="97">
        <v>1483432</v>
      </c>
      <c r="JB12" s="97">
        <v>18084752</v>
      </c>
      <c r="JC12" s="97">
        <v>2772747</v>
      </c>
      <c r="JD12" s="97">
        <v>1447215</v>
      </c>
      <c r="JE12" s="97">
        <v>8940141</v>
      </c>
      <c r="JF12" s="97">
        <v>11927370</v>
      </c>
      <c r="JG12" s="97">
        <v>43172225</v>
      </c>
      <c r="JH12" s="97">
        <v>0</v>
      </c>
      <c r="JI12" s="97">
        <v>0</v>
      </c>
      <c r="JJ12" s="97">
        <v>0</v>
      </c>
      <c r="JK12" s="97">
        <v>0</v>
      </c>
      <c r="JL12" s="97">
        <v>0</v>
      </c>
      <c r="JM12" s="97">
        <v>0</v>
      </c>
      <c r="JN12" s="97">
        <v>18084752</v>
      </c>
      <c r="JO12" s="97">
        <v>2772747</v>
      </c>
      <c r="JP12" s="97">
        <v>1447215</v>
      </c>
      <c r="JQ12" s="97">
        <v>8940141</v>
      </c>
      <c r="JR12" s="97">
        <v>11927370</v>
      </c>
      <c r="JS12" s="97">
        <v>43172225</v>
      </c>
      <c r="JU12" s="5">
        <f t="shared" si="0"/>
        <v>8306921</v>
      </c>
      <c r="JV12" s="29">
        <f t="shared" si="1"/>
        <v>0</v>
      </c>
      <c r="JW12" s="5">
        <f t="shared" si="2"/>
        <v>3227977</v>
      </c>
      <c r="JX12" s="29">
        <f t="shared" si="3"/>
        <v>0</v>
      </c>
      <c r="JY12" s="5">
        <f t="shared" si="4"/>
        <v>2287500</v>
      </c>
      <c r="JZ12" s="29">
        <f t="shared" si="5"/>
        <v>0</v>
      </c>
      <c r="KA12" s="5">
        <f t="shared" si="6"/>
        <v>9261601</v>
      </c>
      <c r="KB12" s="29">
        <f t="shared" si="7"/>
        <v>0</v>
      </c>
      <c r="KC12" s="5">
        <f t="shared" si="8"/>
        <v>0</v>
      </c>
      <c r="KD12" s="29">
        <f t="shared" si="9"/>
        <v>0</v>
      </c>
      <c r="KE12" s="5">
        <f t="shared" si="10"/>
        <v>2231370</v>
      </c>
      <c r="KF12" s="29">
        <f t="shared" si="11"/>
        <v>0</v>
      </c>
      <c r="KG12" s="5">
        <f t="shared" si="12"/>
        <v>3552805</v>
      </c>
      <c r="KH12" s="29">
        <f t="shared" si="13"/>
        <v>0</v>
      </c>
      <c r="KI12" s="5">
        <f t="shared" si="14"/>
        <v>1828871</v>
      </c>
      <c r="KJ12" s="29">
        <f t="shared" si="15"/>
        <v>0</v>
      </c>
      <c r="KK12" s="5">
        <f t="shared" si="16"/>
        <v>4167536</v>
      </c>
      <c r="KL12" s="29">
        <f t="shared" si="17"/>
        <v>0</v>
      </c>
      <c r="KM12" s="5">
        <f t="shared" si="18"/>
        <v>64249</v>
      </c>
      <c r="KN12" s="29">
        <f t="shared" si="19"/>
        <v>0</v>
      </c>
      <c r="KO12" s="5">
        <f t="shared" si="20"/>
        <v>1030353</v>
      </c>
      <c r="KP12" s="29">
        <f t="shared" si="21"/>
        <v>0</v>
      </c>
      <c r="KQ12" s="5">
        <f t="shared" si="22"/>
        <v>3668995</v>
      </c>
      <c r="KR12" s="29">
        <f t="shared" si="23"/>
        <v>0</v>
      </c>
      <c r="KS12" s="5">
        <f t="shared" si="24"/>
        <v>755194</v>
      </c>
      <c r="KT12" s="29">
        <f t="shared" si="25"/>
        <v>0</v>
      </c>
      <c r="KU12" s="5">
        <f t="shared" si="26"/>
        <v>0</v>
      </c>
      <c r="KV12" s="29">
        <f t="shared" si="27"/>
        <v>0</v>
      </c>
      <c r="KW12" s="5">
        <f t="shared" si="28"/>
        <v>3057533</v>
      </c>
      <c r="KX12" s="29">
        <f t="shared" si="29"/>
        <v>0</v>
      </c>
      <c r="KY12" s="5">
        <f t="shared" si="30"/>
        <v>43440905</v>
      </c>
      <c r="KZ12" s="29">
        <f t="shared" si="31"/>
        <v>0</v>
      </c>
      <c r="LA12" s="5">
        <f t="shared" si="32"/>
        <v>6337067</v>
      </c>
      <c r="LB12" s="29">
        <f t="shared" si="33"/>
        <v>0</v>
      </c>
      <c r="LC12" s="5">
        <f t="shared" si="34"/>
        <v>633314</v>
      </c>
      <c r="LD12" s="29">
        <f t="shared" si="35"/>
        <v>0</v>
      </c>
      <c r="LE12" s="5">
        <f t="shared" si="36"/>
        <v>8512642</v>
      </c>
      <c r="LF12" s="29">
        <f t="shared" si="37"/>
        <v>0</v>
      </c>
      <c r="LG12" s="5">
        <f t="shared" si="38"/>
        <v>0</v>
      </c>
      <c r="LH12" s="29">
        <f t="shared" si="39"/>
        <v>0</v>
      </c>
      <c r="LI12" s="5">
        <f t="shared" si="40"/>
        <v>5021919</v>
      </c>
      <c r="LJ12" s="29">
        <f t="shared" si="41"/>
        <v>0</v>
      </c>
      <c r="LK12" s="5">
        <f t="shared" si="42"/>
        <v>0</v>
      </c>
      <c r="LL12" s="29">
        <f t="shared" si="43"/>
        <v>0</v>
      </c>
      <c r="LM12" s="5">
        <f t="shared" si="44"/>
        <v>0</v>
      </c>
      <c r="LN12" s="29">
        <f t="shared" si="45"/>
        <v>0</v>
      </c>
      <c r="LO12" s="5">
        <f t="shared" si="46"/>
        <v>411603</v>
      </c>
      <c r="LP12" s="29">
        <f t="shared" si="47"/>
        <v>0</v>
      </c>
      <c r="LQ12" s="5">
        <f t="shared" si="48"/>
        <v>2163971</v>
      </c>
      <c r="LR12" s="29">
        <f t="shared" si="49"/>
        <v>0</v>
      </c>
      <c r="LS12" s="5">
        <f t="shared" si="50"/>
        <v>1430251</v>
      </c>
      <c r="LT12" s="29">
        <f t="shared" si="51"/>
        <v>0</v>
      </c>
      <c r="LU12" s="5">
        <f t="shared" si="52"/>
        <v>1790666</v>
      </c>
      <c r="LV12" s="29">
        <f t="shared" si="53"/>
        <v>0</v>
      </c>
      <c r="LW12" s="5">
        <f t="shared" si="54"/>
        <v>337076</v>
      </c>
      <c r="LX12" s="29">
        <f t="shared" si="55"/>
        <v>0</v>
      </c>
      <c r="LY12" s="5">
        <f t="shared" si="56"/>
        <v>509173</v>
      </c>
      <c r="LZ12" s="29">
        <f t="shared" si="57"/>
        <v>0</v>
      </c>
      <c r="MA12" s="5">
        <f t="shared" si="58"/>
        <v>11903518</v>
      </c>
      <c r="MB12" s="29">
        <f t="shared" si="59"/>
        <v>0</v>
      </c>
      <c r="MC12" s="5">
        <f t="shared" si="60"/>
        <v>185101</v>
      </c>
      <c r="MD12" s="29">
        <f t="shared" si="61"/>
        <v>0</v>
      </c>
      <c r="ME12" s="5">
        <f t="shared" si="62"/>
        <v>1828871</v>
      </c>
      <c r="MF12" s="29">
        <f t="shared" si="63"/>
        <v>0</v>
      </c>
      <c r="MG12" s="5">
        <f t="shared" si="64"/>
        <v>134805</v>
      </c>
      <c r="MH12" s="29">
        <f t="shared" si="65"/>
        <v>0</v>
      </c>
      <c r="MI12" s="5">
        <f t="shared" si="66"/>
        <v>488816</v>
      </c>
      <c r="MJ12" s="29">
        <f t="shared" si="67"/>
        <v>0</v>
      </c>
      <c r="MK12" s="5">
        <f t="shared" si="68"/>
        <v>1483432</v>
      </c>
      <c r="ML12" s="29">
        <f t="shared" si="69"/>
        <v>0</v>
      </c>
      <c r="MM12" s="5">
        <f t="shared" si="70"/>
        <v>43172225</v>
      </c>
      <c r="MN12" s="29">
        <f t="shared" si="71"/>
        <v>0</v>
      </c>
      <c r="MO12" s="5">
        <f t="shared" si="72"/>
        <v>0</v>
      </c>
      <c r="MP12" s="29">
        <f t="shared" si="73"/>
        <v>0</v>
      </c>
      <c r="MQ12" s="5">
        <f t="shared" si="74"/>
        <v>43172225</v>
      </c>
      <c r="MR12" s="29">
        <f t="shared" si="75"/>
        <v>0</v>
      </c>
      <c r="MT12" s="5">
        <f t="shared" si="76"/>
        <v>0</v>
      </c>
      <c r="MV12" s="4">
        <f t="shared" si="77"/>
        <v>0</v>
      </c>
    </row>
    <row r="13" spans="1:360" x14ac:dyDescent="0.15">
      <c r="A13" s="157" t="s">
        <v>292</v>
      </c>
      <c r="B13" s="28" t="s">
        <v>462</v>
      </c>
      <c r="C13" s="48">
        <v>201441</v>
      </c>
      <c r="D13" s="48">
        <v>2012</v>
      </c>
      <c r="E13" s="49">
        <v>1</v>
      </c>
      <c r="F13" s="49">
        <v>9</v>
      </c>
      <c r="G13" s="50">
        <v>6798</v>
      </c>
      <c r="H13" s="50">
        <v>8266</v>
      </c>
      <c r="I13" s="51">
        <v>344495064</v>
      </c>
      <c r="J13" s="51"/>
      <c r="K13" s="51">
        <v>676130</v>
      </c>
      <c r="L13" s="51"/>
      <c r="M13" s="51">
        <v>676130</v>
      </c>
      <c r="N13" s="51"/>
      <c r="O13" s="51">
        <v>34530940</v>
      </c>
      <c r="P13" s="51"/>
      <c r="Q13" s="51">
        <v>124760229</v>
      </c>
      <c r="R13" s="51"/>
      <c r="S13" s="51">
        <v>270612096</v>
      </c>
      <c r="T13" s="51"/>
      <c r="U13" s="51">
        <v>20014</v>
      </c>
      <c r="V13" s="51"/>
      <c r="W13" s="51">
        <v>27322</v>
      </c>
      <c r="X13" s="51"/>
      <c r="Y13" s="51">
        <v>23638</v>
      </c>
      <c r="Z13" s="51"/>
      <c r="AA13" s="51">
        <v>30946</v>
      </c>
      <c r="AB13" s="51"/>
      <c r="AC13" s="74">
        <v>7</v>
      </c>
      <c r="AD13" s="74">
        <v>9</v>
      </c>
      <c r="AE13" s="74">
        <v>0</v>
      </c>
      <c r="AF13" s="29">
        <v>3437947</v>
      </c>
      <c r="AG13" s="29">
        <v>2110613</v>
      </c>
      <c r="AH13" s="29">
        <v>239775</v>
      </c>
      <c r="AI13" s="29">
        <v>101322</v>
      </c>
      <c r="AJ13" s="29">
        <v>182222.57142857142</v>
      </c>
      <c r="AK13" s="73">
        <v>7</v>
      </c>
      <c r="AL13" s="29">
        <v>182222.57142857142</v>
      </c>
      <c r="AM13" s="73">
        <v>7</v>
      </c>
      <c r="AN13" s="29">
        <v>98160.444444444438</v>
      </c>
      <c r="AO13" s="73">
        <v>9</v>
      </c>
      <c r="AP13" s="29">
        <v>98160.444444444438</v>
      </c>
      <c r="AQ13" s="73">
        <v>9</v>
      </c>
      <c r="AR13" s="29">
        <v>94792.117647058825</v>
      </c>
      <c r="AS13" s="73">
        <v>17</v>
      </c>
      <c r="AT13" s="29">
        <v>94792.117647058825</v>
      </c>
      <c r="AU13" s="73">
        <v>17</v>
      </c>
      <c r="AV13" s="29">
        <v>48489.333333333336</v>
      </c>
      <c r="AW13" s="73">
        <v>12</v>
      </c>
      <c r="AX13" s="29">
        <v>48489.333333333336</v>
      </c>
      <c r="AY13" s="73">
        <v>12</v>
      </c>
      <c r="AZ13" s="97">
        <v>951823</v>
      </c>
      <c r="BA13" s="97">
        <v>99609</v>
      </c>
      <c r="BB13" s="97">
        <v>150212</v>
      </c>
      <c r="BC13" s="97">
        <v>168675</v>
      </c>
      <c r="BD13" s="97">
        <v>0</v>
      </c>
      <c r="BE13" s="97">
        <v>1370319</v>
      </c>
      <c r="BF13" s="97">
        <v>0</v>
      </c>
      <c r="BG13" s="97">
        <v>0</v>
      </c>
      <c r="BH13" s="97">
        <v>0</v>
      </c>
      <c r="BI13" s="97">
        <v>0</v>
      </c>
      <c r="BJ13" s="97">
        <v>12244351</v>
      </c>
      <c r="BK13" s="97">
        <v>12244351</v>
      </c>
      <c r="BL13" s="97">
        <v>900000</v>
      </c>
      <c r="BM13" s="97">
        <v>10000</v>
      </c>
      <c r="BN13" s="97">
        <v>0</v>
      </c>
      <c r="BO13" s="97">
        <v>11000</v>
      </c>
      <c r="BP13" s="97">
        <v>0</v>
      </c>
      <c r="BQ13" s="97">
        <v>921000</v>
      </c>
      <c r="BR13" s="97">
        <v>132040</v>
      </c>
      <c r="BS13" s="97">
        <v>103730</v>
      </c>
      <c r="BT13" s="97">
        <v>138708</v>
      </c>
      <c r="BU13" s="97">
        <v>318290</v>
      </c>
      <c r="BV13" s="97">
        <v>218686</v>
      </c>
      <c r="BW13" s="97">
        <v>911454</v>
      </c>
      <c r="BX13" s="97">
        <v>0</v>
      </c>
      <c r="BY13" s="97">
        <v>0</v>
      </c>
      <c r="BZ13" s="97">
        <v>0</v>
      </c>
      <c r="CA13" s="97">
        <v>0</v>
      </c>
      <c r="CB13" s="97">
        <v>0</v>
      </c>
      <c r="CC13" s="97">
        <v>0</v>
      </c>
      <c r="CD13" s="97">
        <v>0</v>
      </c>
      <c r="CE13" s="97">
        <v>0</v>
      </c>
      <c r="CF13" s="97">
        <v>0</v>
      </c>
      <c r="CG13" s="97">
        <v>0</v>
      </c>
      <c r="CH13" s="97">
        <v>0</v>
      </c>
      <c r="CI13" s="97">
        <v>0</v>
      </c>
      <c r="CJ13" s="97">
        <v>0</v>
      </c>
      <c r="CK13" s="97">
        <v>0</v>
      </c>
      <c r="CL13" s="97">
        <v>0</v>
      </c>
      <c r="CM13" s="97">
        <v>0</v>
      </c>
      <c r="CN13" s="97">
        <v>425103</v>
      </c>
      <c r="CO13" s="97">
        <v>425103</v>
      </c>
      <c r="CP13" s="97">
        <v>0</v>
      </c>
      <c r="CQ13" s="97">
        <v>0</v>
      </c>
      <c r="CR13" s="97">
        <v>0</v>
      </c>
      <c r="CS13" s="97">
        <v>0</v>
      </c>
      <c r="CT13" s="97">
        <v>1817541</v>
      </c>
      <c r="CU13" s="97">
        <v>1817541</v>
      </c>
      <c r="CV13" s="97">
        <v>0</v>
      </c>
      <c r="CW13" s="97">
        <v>124011</v>
      </c>
      <c r="CX13" s="97">
        <v>0</v>
      </c>
      <c r="CY13" s="97">
        <v>26390</v>
      </c>
      <c r="CZ13" s="97">
        <v>1048777</v>
      </c>
      <c r="DA13" s="97">
        <v>1199178</v>
      </c>
      <c r="DB13" s="97">
        <v>0</v>
      </c>
      <c r="DC13" s="97">
        <v>0</v>
      </c>
      <c r="DD13" s="97">
        <v>0</v>
      </c>
      <c r="DE13" s="97">
        <v>0</v>
      </c>
      <c r="DF13" s="97">
        <v>0</v>
      </c>
      <c r="DG13" s="97">
        <v>0</v>
      </c>
      <c r="DH13" s="97">
        <v>275177</v>
      </c>
      <c r="DI13" s="97">
        <v>66029</v>
      </c>
      <c r="DJ13" s="97">
        <v>55876</v>
      </c>
      <c r="DK13" s="97">
        <v>58612</v>
      </c>
      <c r="DL13" s="97">
        <v>232920</v>
      </c>
      <c r="DM13" s="97">
        <v>688614</v>
      </c>
      <c r="DN13" s="97">
        <v>0</v>
      </c>
      <c r="DO13" s="97">
        <v>0</v>
      </c>
      <c r="DP13" s="97">
        <v>0</v>
      </c>
      <c r="DQ13" s="97">
        <v>0</v>
      </c>
      <c r="DR13" s="97">
        <v>597601</v>
      </c>
      <c r="DS13" s="97">
        <v>597601</v>
      </c>
      <c r="DT13" s="97">
        <v>56904</v>
      </c>
      <c r="DU13" s="97">
        <v>4900</v>
      </c>
      <c r="DV13" s="97">
        <v>650</v>
      </c>
      <c r="DW13" s="97">
        <v>80179</v>
      </c>
      <c r="DX13" s="97">
        <v>100760</v>
      </c>
      <c r="DY13" s="97">
        <v>243393</v>
      </c>
      <c r="DZ13" s="97">
        <v>0</v>
      </c>
      <c r="EA13" s="97">
        <v>0</v>
      </c>
      <c r="EB13" s="97">
        <v>0</v>
      </c>
      <c r="EC13" s="97">
        <v>0</v>
      </c>
      <c r="ED13" s="97">
        <v>106900</v>
      </c>
      <c r="EE13" s="97">
        <v>106900</v>
      </c>
      <c r="EF13" s="97">
        <v>0</v>
      </c>
      <c r="EG13" s="97">
        <v>0</v>
      </c>
      <c r="EH13" s="97">
        <v>0</v>
      </c>
      <c r="EI13" s="97">
        <v>0</v>
      </c>
      <c r="EJ13" s="97">
        <v>206503</v>
      </c>
      <c r="EK13" s="97">
        <v>206503</v>
      </c>
      <c r="EL13" s="97">
        <v>2315944</v>
      </c>
      <c r="EM13" s="97">
        <v>408279</v>
      </c>
      <c r="EN13" s="97">
        <v>345446</v>
      </c>
      <c r="EO13" s="97">
        <v>663146</v>
      </c>
      <c r="EP13" s="97">
        <v>16999142</v>
      </c>
      <c r="EQ13" s="97">
        <v>20731957</v>
      </c>
      <c r="ER13" s="97">
        <v>2040619</v>
      </c>
      <c r="ES13" s="97">
        <v>375645</v>
      </c>
      <c r="ET13" s="97">
        <v>354648</v>
      </c>
      <c r="EU13" s="97">
        <v>2777648</v>
      </c>
      <c r="EV13" s="97">
        <v>0</v>
      </c>
      <c r="EW13" s="97">
        <v>5548560</v>
      </c>
      <c r="EX13" s="97">
        <v>450000</v>
      </c>
      <c r="EY13" s="97">
        <v>22500</v>
      </c>
      <c r="EZ13" s="97">
        <v>22000</v>
      </c>
      <c r="FA13" s="97">
        <v>0</v>
      </c>
      <c r="FB13" s="97">
        <v>0</v>
      </c>
      <c r="FC13" s="97">
        <v>494500</v>
      </c>
      <c r="FD13" s="97">
        <v>1562231</v>
      </c>
      <c r="FE13" s="97">
        <v>525074</v>
      </c>
      <c r="FF13" s="97">
        <v>542804</v>
      </c>
      <c r="FG13" s="97">
        <v>1722231</v>
      </c>
      <c r="FH13" s="97">
        <v>0</v>
      </c>
      <c r="FI13" s="97">
        <v>4352340</v>
      </c>
      <c r="FJ13" s="97">
        <v>0</v>
      </c>
      <c r="FK13" s="97">
        <v>0</v>
      </c>
      <c r="FL13" s="97">
        <v>0</v>
      </c>
      <c r="FM13" s="97">
        <v>0</v>
      </c>
      <c r="FN13" s="97">
        <v>0</v>
      </c>
      <c r="FO13" s="97">
        <v>0</v>
      </c>
      <c r="FP13" s="97">
        <v>173176</v>
      </c>
      <c r="FQ13" s="97">
        <v>23359</v>
      </c>
      <c r="FR13" s="97">
        <v>31851</v>
      </c>
      <c r="FS13" s="97">
        <v>0</v>
      </c>
      <c r="FT13" s="97">
        <v>2080097</v>
      </c>
      <c r="FU13" s="97">
        <v>2308483</v>
      </c>
      <c r="FV13" s="97">
        <v>0</v>
      </c>
      <c r="FW13" s="97">
        <v>0</v>
      </c>
      <c r="FX13" s="97">
        <v>0</v>
      </c>
      <c r="FY13" s="97">
        <v>0</v>
      </c>
      <c r="FZ13" s="97">
        <v>0</v>
      </c>
      <c r="GA13" s="97">
        <v>0</v>
      </c>
      <c r="GB13" s="97">
        <v>0</v>
      </c>
      <c r="GC13" s="97">
        <v>0</v>
      </c>
      <c r="GD13" s="97">
        <v>0</v>
      </c>
      <c r="GE13" s="97">
        <v>0</v>
      </c>
      <c r="GF13" s="97">
        <v>0</v>
      </c>
      <c r="GG13" s="97">
        <v>0</v>
      </c>
      <c r="GH13" s="97">
        <v>129234</v>
      </c>
      <c r="GI13" s="97">
        <v>58102</v>
      </c>
      <c r="GJ13" s="97">
        <v>41184</v>
      </c>
      <c r="GK13" s="97">
        <v>112577</v>
      </c>
      <c r="GL13" s="97">
        <v>0</v>
      </c>
      <c r="GM13" s="97">
        <v>341097</v>
      </c>
      <c r="GN13" s="97">
        <v>204941</v>
      </c>
      <c r="GO13" s="97">
        <v>104052</v>
      </c>
      <c r="GP13" s="97">
        <v>112790</v>
      </c>
      <c r="GQ13" s="97">
        <v>718055</v>
      </c>
      <c r="GR13" s="97">
        <v>0</v>
      </c>
      <c r="GS13" s="97">
        <v>1139838</v>
      </c>
      <c r="GT13" s="97">
        <v>287437</v>
      </c>
      <c r="GU13" s="97">
        <v>63627</v>
      </c>
      <c r="GV13" s="97">
        <v>48453</v>
      </c>
      <c r="GW13" s="97">
        <v>325799</v>
      </c>
      <c r="GX13" s="97">
        <v>0</v>
      </c>
      <c r="GY13" s="97">
        <v>725316</v>
      </c>
      <c r="GZ13" s="97">
        <v>0</v>
      </c>
      <c r="HA13" s="97">
        <v>0</v>
      </c>
      <c r="HB13" s="97">
        <v>0</v>
      </c>
      <c r="HC13" s="97">
        <v>0</v>
      </c>
      <c r="HD13" s="97">
        <v>163205</v>
      </c>
      <c r="HE13" s="97">
        <v>163205</v>
      </c>
      <c r="HF13" s="97">
        <v>0</v>
      </c>
      <c r="HG13" s="97">
        <v>0</v>
      </c>
      <c r="HH13" s="97">
        <v>0</v>
      </c>
      <c r="HI13" s="97">
        <v>0</v>
      </c>
      <c r="HJ13" s="97">
        <v>140545</v>
      </c>
      <c r="HK13" s="97">
        <v>140545</v>
      </c>
      <c r="HL13" s="97">
        <v>33100</v>
      </c>
      <c r="HM13" s="97">
        <v>2075</v>
      </c>
      <c r="HN13" s="97">
        <v>1094</v>
      </c>
      <c r="HO13" s="97">
        <v>82518</v>
      </c>
      <c r="HP13" s="97">
        <v>64799</v>
      </c>
      <c r="HQ13" s="97">
        <v>183586</v>
      </c>
      <c r="HR13" s="97">
        <v>0</v>
      </c>
      <c r="HS13" s="97">
        <v>0</v>
      </c>
      <c r="HT13" s="97">
        <v>0</v>
      </c>
      <c r="HU13" s="97">
        <v>0</v>
      </c>
      <c r="HV13" s="97">
        <v>465520</v>
      </c>
      <c r="HW13" s="97">
        <v>465520</v>
      </c>
      <c r="HX13" s="97">
        <v>0</v>
      </c>
      <c r="HY13" s="97">
        <v>0</v>
      </c>
      <c r="HZ13" s="97">
        <v>0</v>
      </c>
      <c r="IA13" s="97">
        <v>0</v>
      </c>
      <c r="IB13" s="97">
        <v>4350</v>
      </c>
      <c r="IC13" s="97">
        <v>4350</v>
      </c>
      <c r="ID13" s="97">
        <v>0</v>
      </c>
      <c r="IE13" s="97">
        <v>0</v>
      </c>
      <c r="IF13" s="97">
        <v>0</v>
      </c>
      <c r="IG13" s="97">
        <v>0</v>
      </c>
      <c r="IH13" s="97">
        <v>1817541</v>
      </c>
      <c r="II13" s="97">
        <v>1817541</v>
      </c>
      <c r="IJ13" s="97">
        <v>0</v>
      </c>
      <c r="IK13" s="97">
        <v>0</v>
      </c>
      <c r="IL13" s="97">
        <v>0</v>
      </c>
      <c r="IM13" s="97">
        <v>0</v>
      </c>
      <c r="IN13" s="97">
        <v>195876</v>
      </c>
      <c r="IO13" s="97">
        <v>195876</v>
      </c>
      <c r="IP13" s="97">
        <v>0</v>
      </c>
      <c r="IQ13" s="97">
        <v>0</v>
      </c>
      <c r="IR13" s="97">
        <v>0</v>
      </c>
      <c r="IS13" s="97">
        <v>0</v>
      </c>
      <c r="IT13" s="97">
        <v>264367</v>
      </c>
      <c r="IU13" s="97">
        <v>264367</v>
      </c>
      <c r="IV13" s="97">
        <v>0</v>
      </c>
      <c r="IW13" s="97">
        <v>0</v>
      </c>
      <c r="IX13" s="97">
        <v>0</v>
      </c>
      <c r="IY13" s="97">
        <v>0</v>
      </c>
      <c r="IZ13" s="97">
        <v>242153</v>
      </c>
      <c r="JA13" s="97">
        <v>242153</v>
      </c>
      <c r="JB13" s="97">
        <v>827888</v>
      </c>
      <c r="JC13" s="97">
        <v>251215</v>
      </c>
      <c r="JD13" s="97">
        <v>235372</v>
      </c>
      <c r="JE13" s="97">
        <v>11634349</v>
      </c>
      <c r="JF13" s="97">
        <v>5438453</v>
      </c>
      <c r="JG13" s="97">
        <v>18387277</v>
      </c>
      <c r="JH13" s="97">
        <v>0</v>
      </c>
      <c r="JI13" s="97">
        <v>0</v>
      </c>
      <c r="JJ13" s="97">
        <v>0</v>
      </c>
      <c r="JK13" s="97">
        <v>0</v>
      </c>
      <c r="JL13" s="97">
        <v>0</v>
      </c>
      <c r="JM13" s="97">
        <v>0</v>
      </c>
      <c r="JN13" s="97">
        <v>1482600</v>
      </c>
      <c r="JO13" s="97">
        <v>479071</v>
      </c>
      <c r="JP13" s="97">
        <v>438893</v>
      </c>
      <c r="JQ13" s="97">
        <v>7189904</v>
      </c>
      <c r="JR13" s="97">
        <v>8796809</v>
      </c>
      <c r="JS13" s="97">
        <v>18387277</v>
      </c>
      <c r="JU13" s="5">
        <f>SUM(AZ13:BD13)</f>
        <v>1370319</v>
      </c>
      <c r="JV13" s="29">
        <f>BE13-JU13</f>
        <v>0</v>
      </c>
      <c r="JW13" s="5">
        <f>SUM(BF13:BJ13)</f>
        <v>12244351</v>
      </c>
      <c r="JX13" s="29">
        <f>BK13-JW13</f>
        <v>0</v>
      </c>
      <c r="JY13" s="5">
        <f>SUM(BL13:BP13)</f>
        <v>921000</v>
      </c>
      <c r="JZ13" s="29">
        <f>BQ13-JY13</f>
        <v>0</v>
      </c>
      <c r="KA13" s="5">
        <f>SUM(BR13:BV13)</f>
        <v>911454</v>
      </c>
      <c r="KB13" s="29">
        <f>BW13-KA13</f>
        <v>0</v>
      </c>
      <c r="KC13" s="5">
        <f>SUM(BX13:CB13)</f>
        <v>0</v>
      </c>
      <c r="KD13" s="29">
        <f>CC13-KC13</f>
        <v>0</v>
      </c>
      <c r="KE13" s="5">
        <f>SUM(CD13:CH13)</f>
        <v>0</v>
      </c>
      <c r="KF13" s="29">
        <f>CI13-KE13</f>
        <v>0</v>
      </c>
      <c r="KG13" s="5">
        <f>SUM(CJ13:CN13)</f>
        <v>425103</v>
      </c>
      <c r="KH13" s="29">
        <f>CO13-KG13</f>
        <v>0</v>
      </c>
      <c r="KI13" s="5">
        <f>SUM(CP13:CT13)</f>
        <v>1817541</v>
      </c>
      <c r="KJ13" s="29">
        <f>CU13-KI13</f>
        <v>0</v>
      </c>
      <c r="KK13" s="5">
        <f>SUM(CV13:CZ13)</f>
        <v>1199178</v>
      </c>
      <c r="KL13" s="29">
        <f>DA13-KK13</f>
        <v>0</v>
      </c>
      <c r="KM13" s="5">
        <f>SUM(DB13:DF13)</f>
        <v>0</v>
      </c>
      <c r="KN13" s="29">
        <f>DG13-KM13</f>
        <v>0</v>
      </c>
      <c r="KO13" s="5">
        <f>SUM(DH13:DL13)</f>
        <v>688614</v>
      </c>
      <c r="KP13" s="29">
        <f>DM13-KO13</f>
        <v>0</v>
      </c>
      <c r="KQ13" s="5">
        <f>SUM(DN13:DR13)</f>
        <v>597601</v>
      </c>
      <c r="KR13" s="29">
        <f>DS13-KQ13</f>
        <v>0</v>
      </c>
      <c r="KS13" s="5">
        <f>SUM(DT13:DX13)</f>
        <v>243393</v>
      </c>
      <c r="KT13" s="29">
        <f>DY13-KS13</f>
        <v>0</v>
      </c>
      <c r="KU13" s="5">
        <f>SUM(DZ13:ED13)</f>
        <v>106900</v>
      </c>
      <c r="KV13" s="29">
        <f>EE13-KU13</f>
        <v>0</v>
      </c>
      <c r="KW13" s="5">
        <f>SUM(EF13:EJ13)</f>
        <v>206503</v>
      </c>
      <c r="KX13" s="29">
        <f>EK13-KW13</f>
        <v>0</v>
      </c>
      <c r="KY13" s="5">
        <f>SUM(EL13:EP13)</f>
        <v>20731957</v>
      </c>
      <c r="KZ13" s="29">
        <f>EQ13-KY13</f>
        <v>0</v>
      </c>
      <c r="LA13" s="5">
        <f>SUM(ER13:EV13)</f>
        <v>5548560</v>
      </c>
      <c r="LB13" s="29">
        <f>EW13-LA13</f>
        <v>0</v>
      </c>
      <c r="LC13" s="5">
        <f>SUM(EX13:FB13)</f>
        <v>494500</v>
      </c>
      <c r="LD13" s="29">
        <f>FC13-LC13</f>
        <v>0</v>
      </c>
      <c r="LE13" s="5">
        <f>SUM(FD13:FH13)</f>
        <v>4352340</v>
      </c>
      <c r="LF13" s="29">
        <f>FI13-LE13</f>
        <v>0</v>
      </c>
      <c r="LG13" s="5">
        <f>SUM(FJ13:FN13)</f>
        <v>0</v>
      </c>
      <c r="LH13" s="29">
        <f>FO13-LG13</f>
        <v>0</v>
      </c>
      <c r="LI13" s="5">
        <f>SUM(FP13:FT13)</f>
        <v>2308483</v>
      </c>
      <c r="LJ13" s="29">
        <f>FU13-LI13</f>
        <v>0</v>
      </c>
      <c r="LK13" s="5">
        <f>SUM(FV13:FZ13)</f>
        <v>0</v>
      </c>
      <c r="LL13" s="29">
        <f>GA13-LK13</f>
        <v>0</v>
      </c>
      <c r="LM13" s="5">
        <f>SUM(GB13:GF13)</f>
        <v>0</v>
      </c>
      <c r="LN13" s="29">
        <f>GG13-LM13</f>
        <v>0</v>
      </c>
      <c r="LO13" s="5">
        <f>SUM(GH13:GL13)</f>
        <v>341097</v>
      </c>
      <c r="LP13" s="29">
        <f>GM13-LO13</f>
        <v>0</v>
      </c>
      <c r="LQ13" s="5">
        <f>SUM(GN13:GR13)</f>
        <v>1139838</v>
      </c>
      <c r="LR13" s="29">
        <f>GS13-LQ13</f>
        <v>0</v>
      </c>
      <c r="LS13" s="5">
        <f>SUM(GT13:GX13)</f>
        <v>725316</v>
      </c>
      <c r="LT13" s="29">
        <f>GY13-LS13</f>
        <v>0</v>
      </c>
      <c r="LU13" s="5">
        <f>SUM(GZ13:HD13)</f>
        <v>163205</v>
      </c>
      <c r="LV13" s="29">
        <f>HE13-LU13</f>
        <v>0</v>
      </c>
      <c r="LW13" s="5">
        <f>SUM(HF13:HJ13)</f>
        <v>140545</v>
      </c>
      <c r="LX13" s="29">
        <f>HK13-LW13</f>
        <v>0</v>
      </c>
      <c r="LY13" s="5">
        <f>SUM(HL13:HP13)</f>
        <v>183586</v>
      </c>
      <c r="LZ13" s="29">
        <f>HQ13-LY13</f>
        <v>0</v>
      </c>
      <c r="MA13" s="5">
        <f>SUM(HR13:HV13)</f>
        <v>465520</v>
      </c>
      <c r="MB13" s="29">
        <f>HW13-MA13</f>
        <v>0</v>
      </c>
      <c r="MC13" s="5">
        <f>SUM(HX13:IB13)</f>
        <v>4350</v>
      </c>
      <c r="MD13" s="29">
        <f>IC13-MC13</f>
        <v>0</v>
      </c>
      <c r="ME13" s="5">
        <f>SUM(ID13:IH13)</f>
        <v>1817541</v>
      </c>
      <c r="MF13" s="29">
        <f>II13-ME13</f>
        <v>0</v>
      </c>
      <c r="MG13" s="5">
        <f>SUM(IJ13:IN13)</f>
        <v>195876</v>
      </c>
      <c r="MH13" s="29">
        <f>IO13-MG13</f>
        <v>0</v>
      </c>
      <c r="MI13" s="5">
        <f>SUM(IP13:IT13)</f>
        <v>264367</v>
      </c>
      <c r="MJ13" s="29">
        <f>IU13-MI13</f>
        <v>0</v>
      </c>
      <c r="MK13" s="5">
        <f>SUM(IV13:IZ13)</f>
        <v>242153</v>
      </c>
      <c r="ML13" s="29">
        <f>JA13-MK13</f>
        <v>0</v>
      </c>
      <c r="MM13" s="5">
        <f>SUM(JB13:JF13)</f>
        <v>18387277</v>
      </c>
      <c r="MN13" s="29">
        <f>JG13-MM13</f>
        <v>0</v>
      </c>
      <c r="MO13" s="5">
        <f>SUM(JH13:JL13)</f>
        <v>0</v>
      </c>
      <c r="MP13" s="29">
        <f>JM13-MO13</f>
        <v>0</v>
      </c>
      <c r="MQ13" s="5">
        <f>SUM(JN13:JR13)</f>
        <v>18387277</v>
      </c>
      <c r="MR13" s="29">
        <f>JS13-MQ13</f>
        <v>0</v>
      </c>
      <c r="MT13" s="5">
        <f t="shared" si="76"/>
        <v>0</v>
      </c>
      <c r="MV13" s="4">
        <f t="shared" si="77"/>
        <v>0</v>
      </c>
    </row>
    <row r="14" spans="1:360" x14ac:dyDescent="0.15">
      <c r="A14" s="157" t="s">
        <v>293</v>
      </c>
      <c r="B14" s="28" t="s">
        <v>462</v>
      </c>
      <c r="C14" s="48">
        <v>196088</v>
      </c>
      <c r="D14" s="48">
        <v>2012</v>
      </c>
      <c r="E14" s="49">
        <v>1</v>
      </c>
      <c r="F14" s="49">
        <v>9</v>
      </c>
      <c r="G14" s="53">
        <v>9560</v>
      </c>
      <c r="H14" s="53">
        <v>7947</v>
      </c>
      <c r="I14" s="54">
        <v>870831922</v>
      </c>
      <c r="J14" s="51"/>
      <c r="K14" s="54">
        <v>98000</v>
      </c>
      <c r="L14" s="51"/>
      <c r="M14" s="54">
        <v>15772847</v>
      </c>
      <c r="N14" s="51"/>
      <c r="O14" s="51">
        <v>2450000</v>
      </c>
      <c r="P14" s="51"/>
      <c r="Q14" s="54">
        <v>355828423</v>
      </c>
      <c r="R14" s="51"/>
      <c r="S14" s="54">
        <v>870831922</v>
      </c>
      <c r="T14" s="51"/>
      <c r="U14" s="54">
        <v>18747</v>
      </c>
      <c r="V14" s="54"/>
      <c r="W14" s="54">
        <v>27527</v>
      </c>
      <c r="X14" s="54"/>
      <c r="Y14" s="54">
        <v>21622</v>
      </c>
      <c r="Z14" s="54"/>
      <c r="AA14" s="54">
        <v>29196</v>
      </c>
      <c r="AB14" s="51"/>
      <c r="AC14" s="75">
        <v>10</v>
      </c>
      <c r="AD14" s="75">
        <v>10</v>
      </c>
      <c r="AE14" s="75">
        <v>0</v>
      </c>
      <c r="AF14" s="29">
        <v>3675482</v>
      </c>
      <c r="AG14" s="29">
        <v>2678827</v>
      </c>
      <c r="AH14" s="29">
        <v>264912</v>
      </c>
      <c r="AI14" s="29">
        <v>144489</v>
      </c>
      <c r="AJ14" s="76">
        <v>135468.63823933975</v>
      </c>
      <c r="AK14" s="73">
        <v>7.27</v>
      </c>
      <c r="AL14" s="29">
        <v>109428.55555555556</v>
      </c>
      <c r="AM14" s="73">
        <v>9</v>
      </c>
      <c r="AN14" s="29">
        <v>83979.189189189186</v>
      </c>
      <c r="AO14" s="73">
        <v>7.4</v>
      </c>
      <c r="AP14" s="76">
        <v>77680.75</v>
      </c>
      <c r="AQ14" s="73">
        <v>8</v>
      </c>
      <c r="AR14" s="77">
        <v>70997.844194022531</v>
      </c>
      <c r="AS14" s="78">
        <v>20.41</v>
      </c>
      <c r="AT14" s="76">
        <v>48302.2</v>
      </c>
      <c r="AU14" s="78">
        <v>30</v>
      </c>
      <c r="AV14" s="76">
        <v>46373.010380622836</v>
      </c>
      <c r="AW14" s="78">
        <v>14.45</v>
      </c>
      <c r="AX14" s="76">
        <v>31909.047619047618</v>
      </c>
      <c r="AY14" s="78">
        <v>21</v>
      </c>
      <c r="AZ14" s="100">
        <v>776597</v>
      </c>
      <c r="BA14" s="100">
        <v>191610</v>
      </c>
      <c r="BB14" s="100">
        <v>85345</v>
      </c>
      <c r="BC14" s="100">
        <v>6414</v>
      </c>
      <c r="BD14" s="100">
        <v>0</v>
      </c>
      <c r="BE14" s="100">
        <v>1059966</v>
      </c>
      <c r="BF14" s="100">
        <v>1217802</v>
      </c>
      <c r="BG14" s="100">
        <v>235437</v>
      </c>
      <c r="BH14" s="100">
        <v>624734</v>
      </c>
      <c r="BI14" s="100">
        <v>3694485</v>
      </c>
      <c r="BJ14" s="100">
        <v>2046580</v>
      </c>
      <c r="BK14" s="100">
        <v>7819038</v>
      </c>
      <c r="BL14" s="100">
        <v>1050000</v>
      </c>
      <c r="BM14" s="100">
        <v>147453</v>
      </c>
      <c r="BN14" s="100">
        <v>48000</v>
      </c>
      <c r="BO14" s="100">
        <v>26700</v>
      </c>
      <c r="BP14" s="100">
        <v>0</v>
      </c>
      <c r="BQ14" s="100">
        <v>1272153</v>
      </c>
      <c r="BR14" s="100">
        <v>31755</v>
      </c>
      <c r="BS14" s="100">
        <v>8782</v>
      </c>
      <c r="BT14" s="100">
        <v>0</v>
      </c>
      <c r="BU14" s="100">
        <v>33322</v>
      </c>
      <c r="BV14" s="100">
        <v>1247094</v>
      </c>
      <c r="BW14" s="100">
        <v>1320953</v>
      </c>
      <c r="BX14" s="97">
        <v>5341</v>
      </c>
      <c r="BY14" s="97">
        <v>25884</v>
      </c>
      <c r="BZ14" s="97">
        <v>3378</v>
      </c>
      <c r="CA14" s="97">
        <v>123722</v>
      </c>
      <c r="CB14" s="97">
        <v>0</v>
      </c>
      <c r="CC14" s="97">
        <v>158325</v>
      </c>
      <c r="CD14" s="97">
        <v>0</v>
      </c>
      <c r="CE14" s="100">
        <v>0</v>
      </c>
      <c r="CF14" s="100">
        <v>0</v>
      </c>
      <c r="CG14" s="100">
        <v>0</v>
      </c>
      <c r="CH14" s="100">
        <v>0</v>
      </c>
      <c r="CI14" s="97">
        <v>0</v>
      </c>
      <c r="CJ14" s="97">
        <v>2550003</v>
      </c>
      <c r="CK14" s="100">
        <v>577748</v>
      </c>
      <c r="CL14" s="100">
        <v>313349</v>
      </c>
      <c r="CM14" s="100">
        <v>3315069</v>
      </c>
      <c r="CN14" s="100">
        <v>3471962</v>
      </c>
      <c r="CO14" s="97">
        <v>10228131</v>
      </c>
      <c r="CP14" s="97">
        <v>0</v>
      </c>
      <c r="CQ14" s="97">
        <v>0</v>
      </c>
      <c r="CR14" s="97">
        <v>0</v>
      </c>
      <c r="CS14" s="97">
        <v>0</v>
      </c>
      <c r="CT14" s="97">
        <v>2072377</v>
      </c>
      <c r="CU14" s="97">
        <v>2072377</v>
      </c>
      <c r="CV14" s="97">
        <v>0</v>
      </c>
      <c r="CW14" s="100">
        <v>0</v>
      </c>
      <c r="CX14" s="100">
        <v>0</v>
      </c>
      <c r="CY14" s="100">
        <v>0</v>
      </c>
      <c r="CZ14" s="100">
        <v>1668671</v>
      </c>
      <c r="DA14" s="100">
        <v>1668671</v>
      </c>
      <c r="DB14" s="100">
        <v>0</v>
      </c>
      <c r="DC14" s="100">
        <v>0</v>
      </c>
      <c r="DD14" s="100">
        <v>0</v>
      </c>
      <c r="DE14" s="100">
        <v>0</v>
      </c>
      <c r="DF14" s="100">
        <v>3815</v>
      </c>
      <c r="DG14" s="100">
        <v>3815</v>
      </c>
      <c r="DH14" s="97">
        <v>70876</v>
      </c>
      <c r="DI14" s="100">
        <v>11847</v>
      </c>
      <c r="DJ14" s="100">
        <v>4817</v>
      </c>
      <c r="DK14" s="100">
        <v>1315</v>
      </c>
      <c r="DL14" s="100">
        <v>45805</v>
      </c>
      <c r="DM14" s="100">
        <v>134660</v>
      </c>
      <c r="DN14" s="97">
        <v>206733</v>
      </c>
      <c r="DO14" s="97">
        <v>118694</v>
      </c>
      <c r="DP14" s="97">
        <v>118694</v>
      </c>
      <c r="DQ14" s="97">
        <v>0</v>
      </c>
      <c r="DR14" s="97">
        <v>497760</v>
      </c>
      <c r="DS14" s="97">
        <v>941881</v>
      </c>
      <c r="DT14" s="97">
        <v>7196</v>
      </c>
      <c r="DU14" s="97">
        <v>43133</v>
      </c>
      <c r="DV14" s="97">
        <v>5987</v>
      </c>
      <c r="DW14" s="97">
        <v>206228</v>
      </c>
      <c r="DX14" s="97">
        <v>42437</v>
      </c>
      <c r="DY14" s="97">
        <v>304981</v>
      </c>
      <c r="DZ14" s="100">
        <v>89270</v>
      </c>
      <c r="EA14" s="100">
        <v>84111</v>
      </c>
      <c r="EB14" s="100">
        <v>0</v>
      </c>
      <c r="EC14" s="100">
        <v>12456</v>
      </c>
      <c r="ED14" s="100">
        <v>150</v>
      </c>
      <c r="EE14" s="100">
        <v>185987</v>
      </c>
      <c r="EF14" s="100">
        <v>5445</v>
      </c>
      <c r="EG14" s="100">
        <v>1674</v>
      </c>
      <c r="EH14" s="100">
        <v>351</v>
      </c>
      <c r="EI14" s="100">
        <v>70615</v>
      </c>
      <c r="EJ14" s="100">
        <v>231188</v>
      </c>
      <c r="EK14" s="100">
        <v>309273</v>
      </c>
      <c r="EL14" s="100">
        <v>6011018</v>
      </c>
      <c r="EM14" s="100">
        <v>1446373</v>
      </c>
      <c r="EN14" s="100">
        <v>1204655</v>
      </c>
      <c r="EO14" s="100">
        <v>7490326</v>
      </c>
      <c r="EP14" s="100">
        <v>11327839</v>
      </c>
      <c r="EQ14" s="100">
        <v>27480211</v>
      </c>
      <c r="ER14" s="100">
        <v>2213700</v>
      </c>
      <c r="ES14" s="100">
        <v>378317</v>
      </c>
      <c r="ET14" s="100">
        <v>402123</v>
      </c>
      <c r="EU14" s="100">
        <v>3360169</v>
      </c>
      <c r="EV14" s="100">
        <v>0</v>
      </c>
      <c r="EW14" s="100">
        <v>6354309</v>
      </c>
      <c r="EX14" s="100">
        <v>405263</v>
      </c>
      <c r="EY14" s="100">
        <v>2000</v>
      </c>
      <c r="EZ14" s="100">
        <v>500</v>
      </c>
      <c r="FA14" s="100">
        <v>2518</v>
      </c>
      <c r="FB14" s="100">
        <v>0</v>
      </c>
      <c r="FC14" s="100">
        <v>410281</v>
      </c>
      <c r="FD14" s="100">
        <v>1239738</v>
      </c>
      <c r="FE14" s="100">
        <v>518146</v>
      </c>
      <c r="FF14" s="100">
        <v>352459</v>
      </c>
      <c r="FG14" s="100">
        <v>1615116</v>
      </c>
      <c r="FH14" s="100">
        <v>0</v>
      </c>
      <c r="FI14" s="100">
        <v>3725459</v>
      </c>
      <c r="FJ14" s="100">
        <v>5341</v>
      </c>
      <c r="FK14" s="100">
        <v>25884</v>
      </c>
      <c r="FL14" s="100">
        <v>3378</v>
      </c>
      <c r="FM14" s="100">
        <v>123722</v>
      </c>
      <c r="FN14" s="100">
        <v>0</v>
      </c>
      <c r="FO14" s="100">
        <v>158325</v>
      </c>
      <c r="FP14" s="97">
        <v>0</v>
      </c>
      <c r="FQ14" s="97">
        <v>0</v>
      </c>
      <c r="FR14" s="97">
        <v>0</v>
      </c>
      <c r="FS14" s="97">
        <v>0</v>
      </c>
      <c r="FT14" s="97">
        <v>4461584</v>
      </c>
      <c r="FU14" s="97">
        <v>4461584</v>
      </c>
      <c r="FV14" s="97">
        <v>0</v>
      </c>
      <c r="FW14" s="97">
        <v>0</v>
      </c>
      <c r="FX14" s="97">
        <v>0</v>
      </c>
      <c r="FY14" s="97">
        <v>0</v>
      </c>
      <c r="FZ14" s="97">
        <v>0</v>
      </c>
      <c r="GA14" s="97">
        <v>0</v>
      </c>
      <c r="GB14" s="97">
        <v>63961</v>
      </c>
      <c r="GC14" s="97">
        <v>0</v>
      </c>
      <c r="GD14" s="97">
        <v>0</v>
      </c>
      <c r="GE14" s="97">
        <v>9722</v>
      </c>
      <c r="GF14" s="97">
        <v>0</v>
      </c>
      <c r="GG14" s="97">
        <v>73683</v>
      </c>
      <c r="GH14" s="97">
        <v>162867</v>
      </c>
      <c r="GI14" s="97">
        <v>50536</v>
      </c>
      <c r="GJ14" s="97">
        <v>60924</v>
      </c>
      <c r="GK14" s="97">
        <v>135074</v>
      </c>
      <c r="GL14" s="97">
        <v>0</v>
      </c>
      <c r="GM14" s="97">
        <v>409401</v>
      </c>
      <c r="GN14" s="97">
        <v>718065</v>
      </c>
      <c r="GO14" s="97">
        <v>167435</v>
      </c>
      <c r="GP14" s="97">
        <v>137787</v>
      </c>
      <c r="GQ14" s="97">
        <v>998062</v>
      </c>
      <c r="GR14" s="97">
        <v>289896</v>
      </c>
      <c r="GS14" s="97">
        <v>2311245</v>
      </c>
      <c r="GT14" s="97">
        <v>459173</v>
      </c>
      <c r="GU14" s="97">
        <v>35285</v>
      </c>
      <c r="GV14" s="97">
        <v>53722</v>
      </c>
      <c r="GW14" s="97">
        <v>353656</v>
      </c>
      <c r="GX14" s="97">
        <v>2549681</v>
      </c>
      <c r="GY14" s="97">
        <v>3451517</v>
      </c>
      <c r="GZ14" s="97">
        <v>221105</v>
      </c>
      <c r="HA14" s="97">
        <v>112695</v>
      </c>
      <c r="HB14" s="97">
        <v>58825</v>
      </c>
      <c r="HC14" s="97">
        <v>67792</v>
      </c>
      <c r="HD14" s="97">
        <v>9633</v>
      </c>
      <c r="HE14" s="97">
        <v>470050</v>
      </c>
      <c r="HF14" s="97">
        <v>0</v>
      </c>
      <c r="HG14" s="97">
        <v>0</v>
      </c>
      <c r="HH14" s="97">
        <v>0</v>
      </c>
      <c r="HI14" s="97">
        <v>0</v>
      </c>
      <c r="HJ14" s="97">
        <v>91144</v>
      </c>
      <c r="HK14" s="97">
        <v>91144</v>
      </c>
      <c r="HL14" s="97">
        <v>7196</v>
      </c>
      <c r="HM14" s="97">
        <v>43133</v>
      </c>
      <c r="HN14" s="97">
        <v>5987</v>
      </c>
      <c r="HO14" s="97">
        <v>206229</v>
      </c>
      <c r="HP14" s="97">
        <v>42436</v>
      </c>
      <c r="HQ14" s="97">
        <v>304981</v>
      </c>
      <c r="HR14" s="97">
        <v>0</v>
      </c>
      <c r="HS14" s="97">
        <v>0</v>
      </c>
      <c r="HT14" s="97">
        <v>0</v>
      </c>
      <c r="HU14" s="97">
        <v>0</v>
      </c>
      <c r="HV14" s="97">
        <v>55322</v>
      </c>
      <c r="HW14" s="97">
        <v>55322</v>
      </c>
      <c r="HX14" s="97">
        <v>0</v>
      </c>
      <c r="HY14" s="97">
        <v>0</v>
      </c>
      <c r="HZ14" s="97">
        <v>0</v>
      </c>
      <c r="IA14" s="97">
        <v>0</v>
      </c>
      <c r="IB14" s="97">
        <v>11295</v>
      </c>
      <c r="IC14" s="97">
        <v>11295</v>
      </c>
      <c r="ID14" s="97">
        <v>0</v>
      </c>
      <c r="IE14" s="97">
        <v>0</v>
      </c>
      <c r="IF14" s="97">
        <v>0</v>
      </c>
      <c r="IG14" s="97">
        <v>0</v>
      </c>
      <c r="IH14" s="97">
        <v>2072377</v>
      </c>
      <c r="II14" s="97">
        <v>2072377</v>
      </c>
      <c r="IJ14" s="97">
        <v>0</v>
      </c>
      <c r="IK14" s="97">
        <v>0</v>
      </c>
      <c r="IL14" s="97">
        <v>0</v>
      </c>
      <c r="IM14" s="97">
        <v>0</v>
      </c>
      <c r="IN14" s="97">
        <v>263809</v>
      </c>
      <c r="IO14" s="97">
        <v>263809</v>
      </c>
      <c r="IP14" s="97">
        <v>3190</v>
      </c>
      <c r="IQ14" s="97">
        <v>2020</v>
      </c>
      <c r="IR14" s="97">
        <v>794</v>
      </c>
      <c r="IS14" s="97">
        <v>9526</v>
      </c>
      <c r="IT14" s="97">
        <v>272736</v>
      </c>
      <c r="IU14" s="97">
        <v>288266</v>
      </c>
      <c r="IV14" s="97">
        <v>490394</v>
      </c>
      <c r="IW14" s="97">
        <v>107359</v>
      </c>
      <c r="IX14" s="97">
        <v>124366</v>
      </c>
      <c r="IY14" s="97">
        <v>577238</v>
      </c>
      <c r="IZ14" s="97">
        <v>1265764</v>
      </c>
      <c r="JA14" s="97">
        <v>2565121</v>
      </c>
      <c r="JB14" s="97">
        <v>5989993</v>
      </c>
      <c r="JC14" s="97">
        <v>1442810</v>
      </c>
      <c r="JD14" s="97">
        <v>1200865</v>
      </c>
      <c r="JE14" s="97">
        <v>7458824</v>
      </c>
      <c r="JF14" s="97">
        <v>11385677</v>
      </c>
      <c r="JG14" s="97">
        <v>27478169</v>
      </c>
      <c r="JH14" s="97">
        <v>0</v>
      </c>
      <c r="JI14" s="97">
        <v>0</v>
      </c>
      <c r="JJ14" s="97">
        <v>0</v>
      </c>
      <c r="JK14" s="97">
        <v>0</v>
      </c>
      <c r="JL14" s="97">
        <v>0</v>
      </c>
      <c r="JM14" s="97">
        <v>0</v>
      </c>
      <c r="JN14" s="97">
        <v>5989993</v>
      </c>
      <c r="JO14" s="97">
        <v>1442810</v>
      </c>
      <c r="JP14" s="97">
        <v>1200865</v>
      </c>
      <c r="JQ14" s="97">
        <v>7458824</v>
      </c>
      <c r="JR14" s="97">
        <v>11385677</v>
      </c>
      <c r="JS14" s="97">
        <v>27478169</v>
      </c>
      <c r="JU14" s="5">
        <f t="shared" ref="JU14:JU74" si="78">SUM(AZ14:BD14)</f>
        <v>1059966</v>
      </c>
      <c r="JV14" s="29">
        <f t="shared" ref="JV14:JV74" si="79">BE14-JU14</f>
        <v>0</v>
      </c>
      <c r="JW14" s="5">
        <f t="shared" ref="JW14:JW74" si="80">SUM(BF14:BJ14)</f>
        <v>7819038</v>
      </c>
      <c r="JX14" s="29">
        <f t="shared" ref="JX14:JX74" si="81">BK14-JW14</f>
        <v>0</v>
      </c>
      <c r="JY14" s="5">
        <f t="shared" ref="JY14:JY74" si="82">SUM(BL14:BP14)</f>
        <v>1272153</v>
      </c>
      <c r="JZ14" s="29">
        <f t="shared" ref="JZ14:JZ74" si="83">BQ14-JY14</f>
        <v>0</v>
      </c>
      <c r="KA14" s="5">
        <f t="shared" ref="KA14:KA74" si="84">SUM(BR14:BV14)</f>
        <v>1320953</v>
      </c>
      <c r="KB14" s="29">
        <f t="shared" ref="KB14:KB74" si="85">BW14-KA14</f>
        <v>0</v>
      </c>
      <c r="KC14" s="5">
        <f t="shared" ref="KC14:KC74" si="86">SUM(BX14:CB14)</f>
        <v>158325</v>
      </c>
      <c r="KD14" s="29">
        <f t="shared" ref="KD14:KD74" si="87">CC14-KC14</f>
        <v>0</v>
      </c>
      <c r="KE14" s="5">
        <f t="shared" ref="KE14:KE74" si="88">SUM(CD14:CH14)</f>
        <v>0</v>
      </c>
      <c r="KF14" s="29">
        <f t="shared" ref="KF14:KF74" si="89">CI14-KE14</f>
        <v>0</v>
      </c>
      <c r="KG14" s="5">
        <f t="shared" ref="KG14:KG74" si="90">SUM(CJ14:CN14)</f>
        <v>10228131</v>
      </c>
      <c r="KH14" s="29">
        <f t="shared" ref="KH14:KH74" si="91">CO14-KG14</f>
        <v>0</v>
      </c>
      <c r="KI14" s="5">
        <f t="shared" ref="KI14:KI74" si="92">SUM(CP14:CT14)</f>
        <v>2072377</v>
      </c>
      <c r="KJ14" s="29">
        <f t="shared" ref="KJ14:KJ74" si="93">CU14-KI14</f>
        <v>0</v>
      </c>
      <c r="KK14" s="5">
        <f t="shared" ref="KK14:KK74" si="94">SUM(CV14:CZ14)</f>
        <v>1668671</v>
      </c>
      <c r="KL14" s="29">
        <f t="shared" ref="KL14:KL74" si="95">DA14-KK14</f>
        <v>0</v>
      </c>
      <c r="KM14" s="5">
        <f t="shared" ref="KM14:KM74" si="96">SUM(DB14:DF14)</f>
        <v>3815</v>
      </c>
      <c r="KN14" s="29">
        <f t="shared" ref="KN14:KN74" si="97">DG14-KM14</f>
        <v>0</v>
      </c>
      <c r="KO14" s="5">
        <f t="shared" ref="KO14:KO74" si="98">SUM(DH14:DL14)</f>
        <v>134660</v>
      </c>
      <c r="KP14" s="29">
        <f t="shared" ref="KP14:KP74" si="99">DM14-KO14</f>
        <v>0</v>
      </c>
      <c r="KQ14" s="5">
        <f t="shared" ref="KQ14:KQ74" si="100">SUM(DN14:DR14)</f>
        <v>941881</v>
      </c>
      <c r="KR14" s="29">
        <f t="shared" ref="KR14:KR74" si="101">DS14-KQ14</f>
        <v>0</v>
      </c>
      <c r="KS14" s="5">
        <f t="shared" ref="KS14:KS74" si="102">SUM(DT14:DX14)</f>
        <v>304981</v>
      </c>
      <c r="KT14" s="29">
        <f t="shared" ref="KT14:KT74" si="103">DY14-KS14</f>
        <v>0</v>
      </c>
      <c r="KU14" s="5">
        <f t="shared" ref="KU14:KU74" si="104">SUM(DZ14:ED14)</f>
        <v>185987</v>
      </c>
      <c r="KV14" s="29">
        <f t="shared" ref="KV14:KV74" si="105">EE14-KU14</f>
        <v>0</v>
      </c>
      <c r="KW14" s="5">
        <f t="shared" ref="KW14:KW74" si="106">SUM(EF14:EJ14)</f>
        <v>309273</v>
      </c>
      <c r="KX14" s="29">
        <f t="shared" ref="KX14:KX74" si="107">EK14-KW14</f>
        <v>0</v>
      </c>
      <c r="KY14" s="5">
        <f t="shared" ref="KY14:KY74" si="108">SUM(EL14:EP14)</f>
        <v>27480211</v>
      </c>
      <c r="KZ14" s="29">
        <f t="shared" ref="KZ14:KZ74" si="109">EQ14-KY14</f>
        <v>0</v>
      </c>
      <c r="LA14" s="5">
        <f t="shared" ref="LA14:LA74" si="110">SUM(ER14:EV14)</f>
        <v>6354309</v>
      </c>
      <c r="LB14" s="29">
        <f t="shared" ref="LB14:LB74" si="111">EW14-LA14</f>
        <v>0</v>
      </c>
      <c r="LC14" s="5">
        <f t="shared" ref="LC14:LC74" si="112">SUM(EX14:FB14)</f>
        <v>410281</v>
      </c>
      <c r="LD14" s="29">
        <f t="shared" ref="LD14:LD74" si="113">FC14-LC14</f>
        <v>0</v>
      </c>
      <c r="LE14" s="5">
        <f t="shared" ref="LE14:LE74" si="114">SUM(FD14:FH14)</f>
        <v>3725459</v>
      </c>
      <c r="LF14" s="29">
        <f t="shared" ref="LF14:LF74" si="115">FI14-LE14</f>
        <v>0</v>
      </c>
      <c r="LG14" s="5">
        <f t="shared" ref="LG14:LG74" si="116">SUM(FJ14:FN14)</f>
        <v>158325</v>
      </c>
      <c r="LH14" s="29">
        <f t="shared" ref="LH14:LH74" si="117">FO14-LG14</f>
        <v>0</v>
      </c>
      <c r="LI14" s="5">
        <f t="shared" ref="LI14:LI74" si="118">SUM(FP14:FT14)</f>
        <v>4461584</v>
      </c>
      <c r="LJ14" s="29">
        <f t="shared" ref="LJ14:LJ74" si="119">FU14-LI14</f>
        <v>0</v>
      </c>
      <c r="LK14" s="5">
        <f t="shared" ref="LK14:LK74" si="120">SUM(FV14:FZ14)</f>
        <v>0</v>
      </c>
      <c r="LL14" s="29">
        <f t="shared" ref="LL14:LL74" si="121">GA14-LK14</f>
        <v>0</v>
      </c>
      <c r="LM14" s="5">
        <f t="shared" ref="LM14:LM74" si="122">SUM(GB14:GF14)</f>
        <v>73683</v>
      </c>
      <c r="LN14" s="29">
        <f t="shared" ref="LN14:LN74" si="123">GG14-LM14</f>
        <v>0</v>
      </c>
      <c r="LO14" s="5">
        <f t="shared" ref="LO14:LO74" si="124">SUM(GH14:GL14)</f>
        <v>409401</v>
      </c>
      <c r="LP14" s="29">
        <f t="shared" ref="LP14:LP74" si="125">GM14-LO14</f>
        <v>0</v>
      </c>
      <c r="LQ14" s="5">
        <f t="shared" ref="LQ14:LQ74" si="126">SUM(GN14:GR14)</f>
        <v>2311245</v>
      </c>
      <c r="LR14" s="29">
        <f t="shared" ref="LR14:LR74" si="127">GS14-LQ14</f>
        <v>0</v>
      </c>
      <c r="LS14" s="5">
        <f t="shared" ref="LS14:LS74" si="128">SUM(GT14:GX14)</f>
        <v>3451517</v>
      </c>
      <c r="LT14" s="29">
        <f t="shared" ref="LT14:LT74" si="129">GY14-LS14</f>
        <v>0</v>
      </c>
      <c r="LU14" s="5">
        <f t="shared" ref="LU14:LU74" si="130">SUM(GZ14:HD14)</f>
        <v>470050</v>
      </c>
      <c r="LV14" s="29">
        <f t="shared" ref="LV14:LV74" si="131">HE14-LU14</f>
        <v>0</v>
      </c>
      <c r="LW14" s="5">
        <f t="shared" ref="LW14:LW74" si="132">SUM(HF14:HJ14)</f>
        <v>91144</v>
      </c>
      <c r="LX14" s="29">
        <f t="shared" ref="LX14:LX74" si="133">HK14-LW14</f>
        <v>0</v>
      </c>
      <c r="LY14" s="5">
        <f t="shared" ref="LY14:LY74" si="134">SUM(HL14:HP14)</f>
        <v>304981</v>
      </c>
      <c r="LZ14" s="29">
        <f t="shared" ref="LZ14:LZ74" si="135">HQ14-LY14</f>
        <v>0</v>
      </c>
      <c r="MA14" s="5">
        <f t="shared" ref="MA14:MA74" si="136">SUM(HR14:HV14)</f>
        <v>55322</v>
      </c>
      <c r="MB14" s="29">
        <f t="shared" ref="MB14:MB74" si="137">HW14-MA14</f>
        <v>0</v>
      </c>
      <c r="MC14" s="5">
        <f t="shared" ref="MC14:MC74" si="138">SUM(HX14:IB14)</f>
        <v>11295</v>
      </c>
      <c r="MD14" s="29">
        <f t="shared" ref="MD14:MD74" si="139">IC14-MC14</f>
        <v>0</v>
      </c>
      <c r="ME14" s="5">
        <f t="shared" ref="ME14:ME74" si="140">SUM(ID14:IH14)</f>
        <v>2072377</v>
      </c>
      <c r="MF14" s="29">
        <f t="shared" ref="MF14:MF74" si="141">II14-ME14</f>
        <v>0</v>
      </c>
      <c r="MG14" s="5">
        <f t="shared" ref="MG14:MG74" si="142">SUM(IJ14:IN14)</f>
        <v>263809</v>
      </c>
      <c r="MH14" s="29">
        <f t="shared" ref="MH14:MH74" si="143">IO14-MG14</f>
        <v>0</v>
      </c>
      <c r="MI14" s="5">
        <f t="shared" ref="MI14:MI74" si="144">SUM(IP14:IT14)</f>
        <v>288266</v>
      </c>
      <c r="MJ14" s="29">
        <f t="shared" ref="MJ14:MJ74" si="145">IU14-MI14</f>
        <v>0</v>
      </c>
      <c r="MK14" s="5">
        <f t="shared" ref="MK14:MK74" si="146">SUM(IV14:IZ14)</f>
        <v>2565121</v>
      </c>
      <c r="ML14" s="29">
        <f t="shared" ref="ML14:ML74" si="147">JA14-MK14</f>
        <v>0</v>
      </c>
      <c r="MM14" s="5">
        <f t="shared" ref="MM14:MM74" si="148">SUM(JB14:JF14)</f>
        <v>27478169</v>
      </c>
      <c r="MN14" s="29">
        <f t="shared" ref="MN14:MN74" si="149">JG14-MM14</f>
        <v>0</v>
      </c>
      <c r="MO14" s="5">
        <f t="shared" ref="MO14:MO74" si="150">SUM(JH14:JL14)</f>
        <v>0</v>
      </c>
      <c r="MP14" s="29">
        <f t="shared" ref="MP14:MP74" si="151">JM14-MO14</f>
        <v>0</v>
      </c>
      <c r="MQ14" s="5">
        <f t="shared" ref="MQ14:MQ74" si="152">SUM(JN14:JR14)</f>
        <v>27478169</v>
      </c>
      <c r="MR14" s="29">
        <f t="shared" ref="MR14:MR74" si="153">JS14-MQ14</f>
        <v>0</v>
      </c>
      <c r="MT14" s="5">
        <f t="shared" si="76"/>
        <v>0</v>
      </c>
      <c r="MV14" s="4">
        <f t="shared" si="77"/>
        <v>0</v>
      </c>
    </row>
    <row r="15" spans="1:360" x14ac:dyDescent="0.15">
      <c r="A15" s="157" t="s">
        <v>294</v>
      </c>
      <c r="B15" s="28" t="s">
        <v>407</v>
      </c>
      <c r="C15" s="47">
        <v>110635</v>
      </c>
      <c r="D15" s="48">
        <v>2012</v>
      </c>
      <c r="E15" s="49">
        <v>1</v>
      </c>
      <c r="F15" s="49">
        <v>4</v>
      </c>
      <c r="G15" s="50">
        <v>12225</v>
      </c>
      <c r="H15" s="50">
        <v>13660</v>
      </c>
      <c r="I15" s="51">
        <v>2220379000</v>
      </c>
      <c r="J15" s="51"/>
      <c r="K15" s="51">
        <v>10878</v>
      </c>
      <c r="L15" s="51"/>
      <c r="M15" s="51">
        <v>101464</v>
      </c>
      <c r="N15" s="51"/>
      <c r="O15" s="51">
        <v>403060</v>
      </c>
      <c r="P15" s="51"/>
      <c r="Q15" s="51">
        <v>1845325</v>
      </c>
      <c r="R15" s="51"/>
      <c r="S15" s="51">
        <v>2091788000</v>
      </c>
      <c r="T15" s="51"/>
      <c r="U15" s="51">
        <v>30883</v>
      </c>
      <c r="V15" s="51"/>
      <c r="W15" s="51">
        <v>53761</v>
      </c>
      <c r="X15" s="51"/>
      <c r="Y15" s="51">
        <v>32634</v>
      </c>
      <c r="Z15" s="51"/>
      <c r="AA15" s="51">
        <v>55512</v>
      </c>
      <c r="AB15" s="51"/>
      <c r="AC15" s="72">
        <v>13</v>
      </c>
      <c r="AD15" s="72">
        <v>15</v>
      </c>
      <c r="AE15" s="72">
        <v>0</v>
      </c>
      <c r="AF15" s="29">
        <v>5781696</v>
      </c>
      <c r="AG15" s="29">
        <v>4249762</v>
      </c>
      <c r="AH15" s="29">
        <v>586526</v>
      </c>
      <c r="AI15" s="29">
        <v>303619</v>
      </c>
      <c r="AJ15" s="29">
        <v>590470</v>
      </c>
      <c r="AK15" s="73">
        <v>12</v>
      </c>
      <c r="AL15" s="29">
        <v>565868</v>
      </c>
      <c r="AM15" s="73">
        <v>12</v>
      </c>
      <c r="AN15" s="29">
        <v>195233</v>
      </c>
      <c r="AO15" s="73">
        <v>13</v>
      </c>
      <c r="AP15" s="29">
        <v>187724</v>
      </c>
      <c r="AQ15" s="73">
        <v>13</v>
      </c>
      <c r="AR15" s="29">
        <v>168601</v>
      </c>
      <c r="AS15" s="73">
        <v>27</v>
      </c>
      <c r="AT15" s="29">
        <v>150617</v>
      </c>
      <c r="AU15" s="73">
        <v>30</v>
      </c>
      <c r="AV15" s="29">
        <v>90407</v>
      </c>
      <c r="AW15" s="73">
        <v>23</v>
      </c>
      <c r="AX15" s="29">
        <v>78237</v>
      </c>
      <c r="AY15" s="73">
        <v>26</v>
      </c>
      <c r="AZ15" s="97">
        <v>7663291</v>
      </c>
      <c r="BA15" s="97">
        <v>2471001</v>
      </c>
      <c r="BB15" s="97">
        <v>154373</v>
      </c>
      <c r="BC15" s="97">
        <v>178384</v>
      </c>
      <c r="BD15" s="97">
        <v>659403</v>
      </c>
      <c r="BE15" s="97">
        <v>11126452</v>
      </c>
      <c r="BF15" s="97">
        <v>0</v>
      </c>
      <c r="BG15" s="97">
        <v>0</v>
      </c>
      <c r="BH15" s="97">
        <v>0</v>
      </c>
      <c r="BI15" s="97">
        <v>0</v>
      </c>
      <c r="BJ15" s="97">
        <v>2446595</v>
      </c>
      <c r="BK15" s="97">
        <v>2446595</v>
      </c>
      <c r="BL15" s="97">
        <v>3218627</v>
      </c>
      <c r="BM15" s="97">
        <v>125279</v>
      </c>
      <c r="BN15" s="97">
        <v>0</v>
      </c>
      <c r="BO15" s="97">
        <v>77000</v>
      </c>
      <c r="BP15" s="97">
        <v>0</v>
      </c>
      <c r="BQ15" s="97">
        <v>3420906</v>
      </c>
      <c r="BR15" s="97">
        <v>1110267</v>
      </c>
      <c r="BS15" s="97">
        <v>549386</v>
      </c>
      <c r="BT15" s="97">
        <v>174063</v>
      </c>
      <c r="BU15" s="97">
        <v>8253365</v>
      </c>
      <c r="BV15" s="97">
        <v>2890881</v>
      </c>
      <c r="BW15" s="97">
        <v>12977962</v>
      </c>
      <c r="BX15" s="97">
        <v>0</v>
      </c>
      <c r="BY15" s="97">
        <v>0</v>
      </c>
      <c r="BZ15" s="97">
        <v>0</v>
      </c>
      <c r="CA15" s="97">
        <v>0</v>
      </c>
      <c r="CB15" s="97">
        <v>0</v>
      </c>
      <c r="CC15" s="97">
        <v>0</v>
      </c>
      <c r="CD15" s="97">
        <v>0</v>
      </c>
      <c r="CE15" s="97">
        <v>0</v>
      </c>
      <c r="CF15" s="97">
        <v>0</v>
      </c>
      <c r="CG15" s="97">
        <v>0</v>
      </c>
      <c r="CH15" s="97">
        <v>0</v>
      </c>
      <c r="CI15" s="97">
        <v>0</v>
      </c>
      <c r="CJ15" s="97">
        <v>1455</v>
      </c>
      <c r="CK15" s="97">
        <v>0</v>
      </c>
      <c r="CL15" s="97">
        <v>1700000</v>
      </c>
      <c r="CM15" s="97">
        <v>5361405</v>
      </c>
      <c r="CN15" s="97">
        <v>8657</v>
      </c>
      <c r="CO15" s="97">
        <v>7071517</v>
      </c>
      <c r="CP15" s="97">
        <v>0</v>
      </c>
      <c r="CQ15" s="97">
        <v>0</v>
      </c>
      <c r="CR15" s="97">
        <v>0</v>
      </c>
      <c r="CS15" s="97">
        <v>0</v>
      </c>
      <c r="CT15" s="97">
        <v>0</v>
      </c>
      <c r="CU15" s="97">
        <v>0</v>
      </c>
      <c r="CV15" s="97">
        <v>9604391</v>
      </c>
      <c r="CW15" s="97">
        <v>3062646</v>
      </c>
      <c r="CX15" s="97">
        <v>159225</v>
      </c>
      <c r="CY15" s="97">
        <v>315655</v>
      </c>
      <c r="CZ15" s="97">
        <v>2136790</v>
      </c>
      <c r="DA15" s="97">
        <v>15278707</v>
      </c>
      <c r="DB15" s="97">
        <v>0</v>
      </c>
      <c r="DC15" s="97">
        <v>0</v>
      </c>
      <c r="DD15" s="97">
        <v>0</v>
      </c>
      <c r="DE15" s="97">
        <v>0</v>
      </c>
      <c r="DF15" s="97">
        <v>0</v>
      </c>
      <c r="DG15" s="97">
        <v>0</v>
      </c>
      <c r="DH15" s="97">
        <v>440088</v>
      </c>
      <c r="DI15" s="97">
        <v>134198</v>
      </c>
      <c r="DJ15" s="97">
        <v>40680</v>
      </c>
      <c r="DK15" s="97">
        <v>43889</v>
      </c>
      <c r="DL15" s="97">
        <v>9993</v>
      </c>
      <c r="DM15" s="97">
        <v>668848</v>
      </c>
      <c r="DN15" s="97">
        <v>3216341</v>
      </c>
      <c r="DO15" s="97">
        <v>1473733</v>
      </c>
      <c r="DP15" s="97">
        <v>523645</v>
      </c>
      <c r="DQ15" s="97">
        <v>1302379</v>
      </c>
      <c r="DR15" s="97">
        <v>687944</v>
      </c>
      <c r="DS15" s="97">
        <v>7204042</v>
      </c>
      <c r="DT15" s="97">
        <v>239342</v>
      </c>
      <c r="DU15" s="97">
        <v>99615</v>
      </c>
      <c r="DV15" s="97">
        <v>33929</v>
      </c>
      <c r="DW15" s="97">
        <v>1327381</v>
      </c>
      <c r="DX15" s="97">
        <v>0</v>
      </c>
      <c r="DY15" s="97">
        <v>1700267</v>
      </c>
      <c r="DZ15" s="97">
        <v>484637</v>
      </c>
      <c r="EA15" s="97">
        <v>86331</v>
      </c>
      <c r="EB15" s="97">
        <v>55842</v>
      </c>
      <c r="EC15" s="97">
        <v>3409371</v>
      </c>
      <c r="ED15" s="97">
        <v>1848638</v>
      </c>
      <c r="EE15" s="97">
        <v>5884819</v>
      </c>
      <c r="EF15" s="97">
        <v>93792</v>
      </c>
      <c r="EG15" s="97">
        <v>2560</v>
      </c>
      <c r="EH15" s="97">
        <v>12112</v>
      </c>
      <c r="EI15" s="97">
        <v>164164</v>
      </c>
      <c r="EJ15" s="97">
        <v>3130661</v>
      </c>
      <c r="EK15" s="97">
        <v>3403289</v>
      </c>
      <c r="EL15" s="97">
        <v>26072231</v>
      </c>
      <c r="EM15" s="97">
        <v>8004749</v>
      </c>
      <c r="EN15" s="97">
        <v>2853869</v>
      </c>
      <c r="EO15" s="97">
        <v>20432993</v>
      </c>
      <c r="EP15" s="97">
        <v>13819562</v>
      </c>
      <c r="EQ15" s="97">
        <v>71183404</v>
      </c>
      <c r="ER15" s="97">
        <v>3017546</v>
      </c>
      <c r="ES15" s="97">
        <v>487581</v>
      </c>
      <c r="ET15" s="97">
        <v>486486</v>
      </c>
      <c r="EU15" s="97">
        <v>6039845</v>
      </c>
      <c r="EV15" s="97">
        <v>21428</v>
      </c>
      <c r="EW15" s="97">
        <v>10052886</v>
      </c>
      <c r="EX15" s="97">
        <v>1000000</v>
      </c>
      <c r="EY15" s="97">
        <v>599040</v>
      </c>
      <c r="EZ15" s="97">
        <v>66550</v>
      </c>
      <c r="FA15" s="97">
        <v>65589</v>
      </c>
      <c r="FB15" s="97">
        <v>0</v>
      </c>
      <c r="FC15" s="97">
        <v>1731179</v>
      </c>
      <c r="FD15" s="97">
        <v>5347734</v>
      </c>
      <c r="FE15" s="97">
        <v>2688125</v>
      </c>
      <c r="FF15" s="97">
        <v>1045035</v>
      </c>
      <c r="FG15" s="97">
        <v>6702621</v>
      </c>
      <c r="FH15" s="97">
        <v>0</v>
      </c>
      <c r="FI15" s="97">
        <v>15783515</v>
      </c>
      <c r="FJ15" s="97">
        <v>0</v>
      </c>
      <c r="FK15" s="97">
        <v>0</v>
      </c>
      <c r="FL15" s="97">
        <v>0</v>
      </c>
      <c r="FM15" s="97">
        <v>0</v>
      </c>
      <c r="FN15" s="97">
        <v>0</v>
      </c>
      <c r="FO15" s="97">
        <v>0</v>
      </c>
      <c r="FP15" s="97">
        <v>1817336</v>
      </c>
      <c r="FQ15" s="97">
        <v>429857</v>
      </c>
      <c r="FR15" s="97">
        <v>308195</v>
      </c>
      <c r="FS15" s="97">
        <v>1146477</v>
      </c>
      <c r="FT15" s="97">
        <v>11011527</v>
      </c>
      <c r="FU15" s="97">
        <v>14713392</v>
      </c>
      <c r="FV15" s="97">
        <v>0</v>
      </c>
      <c r="FW15" s="97">
        <v>0</v>
      </c>
      <c r="FX15" s="97">
        <v>0</v>
      </c>
      <c r="FY15" s="97">
        <v>0</v>
      </c>
      <c r="FZ15" s="97">
        <v>0</v>
      </c>
      <c r="GA15" s="97">
        <v>0</v>
      </c>
      <c r="GB15" s="97">
        <v>0</v>
      </c>
      <c r="GC15" s="97">
        <v>0</v>
      </c>
      <c r="GD15" s="97">
        <v>0</v>
      </c>
      <c r="GE15" s="97">
        <v>5375</v>
      </c>
      <c r="GF15" s="97">
        <v>0</v>
      </c>
      <c r="GG15" s="97">
        <v>5375</v>
      </c>
      <c r="GH15" s="97">
        <v>337544</v>
      </c>
      <c r="GI15" s="97">
        <v>110027</v>
      </c>
      <c r="GJ15" s="97">
        <v>79281</v>
      </c>
      <c r="GK15" s="97">
        <v>363293</v>
      </c>
      <c r="GL15" s="97">
        <v>38160</v>
      </c>
      <c r="GM15" s="97">
        <v>928305</v>
      </c>
      <c r="GN15" s="97">
        <v>2196878</v>
      </c>
      <c r="GO15" s="97">
        <v>591224</v>
      </c>
      <c r="GP15" s="97">
        <v>336061</v>
      </c>
      <c r="GQ15" s="97">
        <v>3193550</v>
      </c>
      <c r="GR15" s="97">
        <v>129561</v>
      </c>
      <c r="GS15" s="97">
        <v>6447274</v>
      </c>
      <c r="GT15" s="97">
        <v>605141</v>
      </c>
      <c r="GU15" s="97">
        <v>73041</v>
      </c>
      <c r="GV15" s="97">
        <v>51230</v>
      </c>
      <c r="GW15" s="97">
        <v>852626</v>
      </c>
      <c r="GX15" s="97">
        <v>125518</v>
      </c>
      <c r="GY15" s="97">
        <v>1707556</v>
      </c>
      <c r="GZ15" s="97">
        <v>358994</v>
      </c>
      <c r="HA15" s="97">
        <v>377744</v>
      </c>
      <c r="HB15" s="97">
        <v>230779</v>
      </c>
      <c r="HC15" s="97">
        <v>531161</v>
      </c>
      <c r="HD15" s="97">
        <v>0</v>
      </c>
      <c r="HE15" s="97">
        <v>1498678</v>
      </c>
      <c r="HF15" s="97">
        <v>1515859</v>
      </c>
      <c r="HG15" s="97">
        <v>391098</v>
      </c>
      <c r="HH15" s="97">
        <v>158617</v>
      </c>
      <c r="HI15" s="97">
        <v>274214</v>
      </c>
      <c r="HJ15" s="97">
        <v>668328</v>
      </c>
      <c r="HK15" s="97">
        <v>3008116</v>
      </c>
      <c r="HL15" s="97">
        <v>81976</v>
      </c>
      <c r="HM15" s="97">
        <v>28406</v>
      </c>
      <c r="HN15" s="97">
        <v>27677</v>
      </c>
      <c r="HO15" s="97">
        <v>655962</v>
      </c>
      <c r="HP15" s="97">
        <v>39043</v>
      </c>
      <c r="HQ15" s="97">
        <v>833064</v>
      </c>
      <c r="HR15" s="97">
        <v>122585</v>
      </c>
      <c r="HS15" s="97">
        <v>26235</v>
      </c>
      <c r="HT15" s="97">
        <v>8144</v>
      </c>
      <c r="HU15" s="97">
        <v>498115</v>
      </c>
      <c r="HV15" s="97">
        <v>1455495</v>
      </c>
      <c r="HW15" s="97">
        <v>2110574</v>
      </c>
      <c r="HX15" s="97">
        <v>76000</v>
      </c>
      <c r="HY15" s="97">
        <v>0</v>
      </c>
      <c r="HZ15" s="97">
        <v>0</v>
      </c>
      <c r="IA15" s="97">
        <v>0</v>
      </c>
      <c r="IB15" s="97">
        <v>42654</v>
      </c>
      <c r="IC15" s="97">
        <v>118654</v>
      </c>
      <c r="ID15" s="97">
        <v>0</v>
      </c>
      <c r="IE15" s="97">
        <v>0</v>
      </c>
      <c r="IF15" s="97">
        <v>0</v>
      </c>
      <c r="IG15" s="97">
        <v>0</v>
      </c>
      <c r="IH15" s="97">
        <v>0</v>
      </c>
      <c r="II15" s="97">
        <v>0</v>
      </c>
      <c r="IJ15" s="97">
        <v>275880</v>
      </c>
      <c r="IK15" s="97">
        <v>18169</v>
      </c>
      <c r="IL15" s="97">
        <v>22245</v>
      </c>
      <c r="IM15" s="97">
        <v>513233</v>
      </c>
      <c r="IN15" s="97">
        <v>563526</v>
      </c>
      <c r="IO15" s="97">
        <v>1393053</v>
      </c>
      <c r="IP15" s="97">
        <v>60</v>
      </c>
      <c r="IQ15" s="97">
        <v>530</v>
      </c>
      <c r="IR15" s="97">
        <v>910</v>
      </c>
      <c r="IS15" s="97">
        <v>30239</v>
      </c>
      <c r="IT15" s="97">
        <v>1515829</v>
      </c>
      <c r="IU15" s="97">
        <v>1547568</v>
      </c>
      <c r="IV15" s="97">
        <v>3890340</v>
      </c>
      <c r="IW15" s="97">
        <v>91475</v>
      </c>
      <c r="IX15" s="97">
        <v>107556</v>
      </c>
      <c r="IY15" s="97">
        <v>299401</v>
      </c>
      <c r="IZ15" s="97">
        <v>2310401</v>
      </c>
      <c r="JA15" s="97">
        <v>6699173</v>
      </c>
      <c r="JB15" s="97">
        <v>20643873</v>
      </c>
      <c r="JC15" s="97">
        <v>5912552</v>
      </c>
      <c r="JD15" s="97">
        <v>2928766</v>
      </c>
      <c r="JE15" s="97">
        <v>21171701</v>
      </c>
      <c r="JF15" s="97">
        <v>17921470</v>
      </c>
      <c r="JG15" s="97">
        <v>68578362</v>
      </c>
      <c r="JH15" s="97">
        <v>1419380</v>
      </c>
      <c r="JI15" s="97">
        <v>493970</v>
      </c>
      <c r="JJ15" s="97">
        <v>45400</v>
      </c>
      <c r="JK15" s="97">
        <v>159235</v>
      </c>
      <c r="JL15" s="97">
        <v>350136</v>
      </c>
      <c r="JM15" s="97">
        <v>2468121</v>
      </c>
      <c r="JN15" s="97">
        <v>22063253</v>
      </c>
      <c r="JO15" s="97">
        <v>6406522</v>
      </c>
      <c r="JP15" s="97">
        <v>2974166</v>
      </c>
      <c r="JQ15" s="97">
        <v>21330936</v>
      </c>
      <c r="JR15" s="97">
        <v>18271606</v>
      </c>
      <c r="JS15" s="97">
        <v>71046483</v>
      </c>
      <c r="JU15" s="5">
        <f t="shared" si="78"/>
        <v>11126452</v>
      </c>
      <c r="JV15" s="29">
        <f t="shared" si="79"/>
        <v>0</v>
      </c>
      <c r="JW15" s="5">
        <f t="shared" si="80"/>
        <v>2446595</v>
      </c>
      <c r="JX15" s="29">
        <f t="shared" si="81"/>
        <v>0</v>
      </c>
      <c r="JY15" s="5">
        <f t="shared" si="82"/>
        <v>3420906</v>
      </c>
      <c r="JZ15" s="29">
        <f t="shared" si="83"/>
        <v>0</v>
      </c>
      <c r="KA15" s="5">
        <f t="shared" si="84"/>
        <v>12977962</v>
      </c>
      <c r="KB15" s="29">
        <f t="shared" si="85"/>
        <v>0</v>
      </c>
      <c r="KC15" s="5">
        <f t="shared" si="86"/>
        <v>0</v>
      </c>
      <c r="KD15" s="29">
        <f t="shared" si="87"/>
        <v>0</v>
      </c>
      <c r="KE15" s="5">
        <f t="shared" si="88"/>
        <v>0</v>
      </c>
      <c r="KF15" s="29">
        <f t="shared" si="89"/>
        <v>0</v>
      </c>
      <c r="KG15" s="5">
        <f t="shared" si="90"/>
        <v>7071517</v>
      </c>
      <c r="KH15" s="29">
        <f t="shared" si="91"/>
        <v>0</v>
      </c>
      <c r="KI15" s="5">
        <f t="shared" si="92"/>
        <v>0</v>
      </c>
      <c r="KJ15" s="29">
        <f t="shared" si="93"/>
        <v>0</v>
      </c>
      <c r="KK15" s="5">
        <f t="shared" si="94"/>
        <v>15278707</v>
      </c>
      <c r="KL15" s="29">
        <f t="shared" si="95"/>
        <v>0</v>
      </c>
      <c r="KM15" s="5">
        <f t="shared" si="96"/>
        <v>0</v>
      </c>
      <c r="KN15" s="29">
        <f t="shared" si="97"/>
        <v>0</v>
      </c>
      <c r="KO15" s="5">
        <f t="shared" si="98"/>
        <v>668848</v>
      </c>
      <c r="KP15" s="29">
        <f t="shared" si="99"/>
        <v>0</v>
      </c>
      <c r="KQ15" s="5">
        <f t="shared" si="100"/>
        <v>7204042</v>
      </c>
      <c r="KR15" s="29">
        <f t="shared" si="101"/>
        <v>0</v>
      </c>
      <c r="KS15" s="5">
        <f t="shared" si="102"/>
        <v>1700267</v>
      </c>
      <c r="KT15" s="29">
        <f t="shared" si="103"/>
        <v>0</v>
      </c>
      <c r="KU15" s="5">
        <f t="shared" si="104"/>
        <v>5884819</v>
      </c>
      <c r="KV15" s="29">
        <f t="shared" si="105"/>
        <v>0</v>
      </c>
      <c r="KW15" s="5">
        <f t="shared" si="106"/>
        <v>3403289</v>
      </c>
      <c r="KX15" s="29">
        <f t="shared" si="107"/>
        <v>0</v>
      </c>
      <c r="KY15" s="5">
        <f t="shared" si="108"/>
        <v>71183404</v>
      </c>
      <c r="KZ15" s="29">
        <f t="shared" si="109"/>
        <v>0</v>
      </c>
      <c r="LA15" s="5">
        <f t="shared" si="110"/>
        <v>10052886</v>
      </c>
      <c r="LB15" s="29">
        <f t="shared" si="111"/>
        <v>0</v>
      </c>
      <c r="LC15" s="5">
        <f t="shared" si="112"/>
        <v>1731179</v>
      </c>
      <c r="LD15" s="29">
        <f t="shared" si="113"/>
        <v>0</v>
      </c>
      <c r="LE15" s="5">
        <f t="shared" si="114"/>
        <v>15783515</v>
      </c>
      <c r="LF15" s="29">
        <f t="shared" si="115"/>
        <v>0</v>
      </c>
      <c r="LG15" s="5">
        <f t="shared" si="116"/>
        <v>0</v>
      </c>
      <c r="LH15" s="29">
        <f t="shared" si="117"/>
        <v>0</v>
      </c>
      <c r="LI15" s="5">
        <f t="shared" si="118"/>
        <v>14713392</v>
      </c>
      <c r="LJ15" s="29">
        <f t="shared" si="119"/>
        <v>0</v>
      </c>
      <c r="LK15" s="5">
        <f t="shared" si="120"/>
        <v>0</v>
      </c>
      <c r="LL15" s="29">
        <f t="shared" si="121"/>
        <v>0</v>
      </c>
      <c r="LM15" s="5">
        <f t="shared" si="122"/>
        <v>5375</v>
      </c>
      <c r="LN15" s="29">
        <f t="shared" si="123"/>
        <v>0</v>
      </c>
      <c r="LO15" s="5">
        <f t="shared" si="124"/>
        <v>928305</v>
      </c>
      <c r="LP15" s="29">
        <f t="shared" si="125"/>
        <v>0</v>
      </c>
      <c r="LQ15" s="5">
        <f t="shared" si="126"/>
        <v>6447274</v>
      </c>
      <c r="LR15" s="29">
        <f t="shared" si="127"/>
        <v>0</v>
      </c>
      <c r="LS15" s="5">
        <f t="shared" si="128"/>
        <v>1707556</v>
      </c>
      <c r="LT15" s="29">
        <f t="shared" si="129"/>
        <v>0</v>
      </c>
      <c r="LU15" s="5">
        <f t="shared" si="130"/>
        <v>1498678</v>
      </c>
      <c r="LV15" s="29">
        <f t="shared" si="131"/>
        <v>0</v>
      </c>
      <c r="LW15" s="5">
        <f t="shared" si="132"/>
        <v>3008116</v>
      </c>
      <c r="LX15" s="29">
        <f t="shared" si="133"/>
        <v>0</v>
      </c>
      <c r="LY15" s="5">
        <f t="shared" si="134"/>
        <v>833064</v>
      </c>
      <c r="LZ15" s="29">
        <f t="shared" si="135"/>
        <v>0</v>
      </c>
      <c r="MA15" s="5">
        <f t="shared" si="136"/>
        <v>2110574</v>
      </c>
      <c r="MB15" s="29">
        <f t="shared" si="137"/>
        <v>0</v>
      </c>
      <c r="MC15" s="5">
        <f t="shared" si="138"/>
        <v>118654</v>
      </c>
      <c r="MD15" s="29">
        <f t="shared" si="139"/>
        <v>0</v>
      </c>
      <c r="ME15" s="5">
        <f t="shared" si="140"/>
        <v>0</v>
      </c>
      <c r="MF15" s="29">
        <f t="shared" si="141"/>
        <v>0</v>
      </c>
      <c r="MG15" s="5">
        <f t="shared" si="142"/>
        <v>1393053</v>
      </c>
      <c r="MH15" s="29">
        <f t="shared" si="143"/>
        <v>0</v>
      </c>
      <c r="MI15" s="5">
        <f t="shared" si="144"/>
        <v>1547568</v>
      </c>
      <c r="MJ15" s="29">
        <f t="shared" si="145"/>
        <v>0</v>
      </c>
      <c r="MK15" s="5">
        <f t="shared" si="146"/>
        <v>6699173</v>
      </c>
      <c r="ML15" s="29">
        <f t="shared" si="147"/>
        <v>0</v>
      </c>
      <c r="MM15" s="5">
        <f t="shared" si="148"/>
        <v>68578362</v>
      </c>
      <c r="MN15" s="29">
        <f t="shared" si="149"/>
        <v>0</v>
      </c>
      <c r="MO15" s="5">
        <f t="shared" si="150"/>
        <v>2468121</v>
      </c>
      <c r="MP15" s="29">
        <f t="shared" si="151"/>
        <v>0</v>
      </c>
      <c r="MQ15" s="5">
        <f t="shared" si="152"/>
        <v>71046483</v>
      </c>
      <c r="MR15" s="29">
        <f t="shared" si="153"/>
        <v>0</v>
      </c>
      <c r="MT15" s="5">
        <f t="shared" si="76"/>
        <v>0</v>
      </c>
      <c r="MV15" s="4">
        <f t="shared" ref="MV15" si="154">IF(MT15=0,0,1)</f>
        <v>0</v>
      </c>
    </row>
    <row r="16" spans="1:360" x14ac:dyDescent="0.15">
      <c r="A16" s="158" t="s">
        <v>277</v>
      </c>
      <c r="B16" s="28" t="s">
        <v>405</v>
      </c>
      <c r="C16" s="48">
        <v>169248</v>
      </c>
      <c r="D16" s="48">
        <v>2012</v>
      </c>
      <c r="E16" s="49">
        <v>1</v>
      </c>
      <c r="F16" s="49">
        <v>9</v>
      </c>
      <c r="G16" s="50">
        <v>8877</v>
      </c>
      <c r="H16" s="50">
        <v>10480</v>
      </c>
      <c r="I16" s="51">
        <v>417755932</v>
      </c>
      <c r="J16" s="51"/>
      <c r="K16" s="51">
        <v>1843610</v>
      </c>
      <c r="L16" s="51"/>
      <c r="M16" s="51">
        <v>13757701</v>
      </c>
      <c r="N16" s="51"/>
      <c r="O16" s="51">
        <v>16934890</v>
      </c>
      <c r="P16" s="51"/>
      <c r="Q16" s="51">
        <v>14990852</v>
      </c>
      <c r="R16" s="51"/>
      <c r="S16" s="51"/>
      <c r="T16" s="51"/>
      <c r="U16" s="51">
        <v>19264</v>
      </c>
      <c r="V16" s="51"/>
      <c r="W16" s="51">
        <v>31304</v>
      </c>
      <c r="X16" s="51"/>
      <c r="Y16" s="51">
        <v>20556</v>
      </c>
      <c r="Z16" s="51"/>
      <c r="AA16" s="51">
        <v>33054</v>
      </c>
      <c r="AB16" s="51"/>
      <c r="AC16" s="74">
        <v>7</v>
      </c>
      <c r="AD16" s="74">
        <v>9</v>
      </c>
      <c r="AE16" s="74">
        <v>0</v>
      </c>
      <c r="AF16" s="29">
        <v>2754805</v>
      </c>
      <c r="AG16" s="29">
        <v>1909971</v>
      </c>
      <c r="AH16" s="29">
        <v>317201</v>
      </c>
      <c r="AI16" s="29">
        <v>171361</v>
      </c>
      <c r="AJ16" s="29">
        <v>251361.8</v>
      </c>
      <c r="AK16" s="73">
        <v>5</v>
      </c>
      <c r="AL16" s="29">
        <v>251361.8</v>
      </c>
      <c r="AM16" s="73">
        <v>5</v>
      </c>
      <c r="AN16" s="29">
        <v>132204.57</v>
      </c>
      <c r="AO16" s="73">
        <v>7</v>
      </c>
      <c r="AP16" s="29">
        <v>132204.57</v>
      </c>
      <c r="AQ16" s="73">
        <v>7</v>
      </c>
      <c r="AR16" s="29">
        <v>93419.95</v>
      </c>
      <c r="AS16" s="73">
        <v>21</v>
      </c>
      <c r="AT16" s="29">
        <v>93419.95</v>
      </c>
      <c r="AU16" s="73">
        <v>21</v>
      </c>
      <c r="AV16" s="29">
        <v>43304.82</v>
      </c>
      <c r="AW16" s="73">
        <v>17</v>
      </c>
      <c r="AX16" s="29">
        <v>43304.82</v>
      </c>
      <c r="AY16" s="73">
        <v>17</v>
      </c>
      <c r="AZ16" s="101">
        <v>506117</v>
      </c>
      <c r="BA16" s="102">
        <v>70964</v>
      </c>
      <c r="BB16" s="103">
        <v>14416</v>
      </c>
      <c r="BC16" s="102">
        <v>72727</v>
      </c>
      <c r="BD16" s="101">
        <v>28150</v>
      </c>
      <c r="BE16" s="97">
        <v>692374</v>
      </c>
      <c r="BF16" s="97">
        <v>0</v>
      </c>
      <c r="BG16" s="97">
        <v>0</v>
      </c>
      <c r="BH16" s="97">
        <v>0</v>
      </c>
      <c r="BI16" s="97">
        <v>0</v>
      </c>
      <c r="BJ16" s="97">
        <v>0</v>
      </c>
      <c r="BK16" s="97">
        <v>0</v>
      </c>
      <c r="BL16" s="103">
        <v>1400000</v>
      </c>
      <c r="BM16" s="101">
        <v>349000</v>
      </c>
      <c r="BN16" s="101">
        <v>35500</v>
      </c>
      <c r="BO16" s="102">
        <v>57500</v>
      </c>
      <c r="BP16" s="97">
        <v>0</v>
      </c>
      <c r="BQ16" s="97">
        <v>1842000</v>
      </c>
      <c r="BR16" s="104">
        <v>410954</v>
      </c>
      <c r="BS16" s="101">
        <v>38845</v>
      </c>
      <c r="BT16" s="101">
        <v>37127</v>
      </c>
      <c r="BU16" s="102">
        <v>364238</v>
      </c>
      <c r="BV16" s="97">
        <v>397293</v>
      </c>
      <c r="BW16" s="97">
        <v>1248457</v>
      </c>
      <c r="BX16" s="97">
        <v>0</v>
      </c>
      <c r="BY16" s="97">
        <v>0</v>
      </c>
      <c r="BZ16" s="97">
        <v>0</v>
      </c>
      <c r="CA16" s="97">
        <v>0</v>
      </c>
      <c r="CB16" s="97">
        <v>0</v>
      </c>
      <c r="CC16" s="97">
        <v>0</v>
      </c>
      <c r="CD16" s="97">
        <v>0</v>
      </c>
      <c r="CE16" s="97">
        <v>0</v>
      </c>
      <c r="CF16" s="97">
        <v>0</v>
      </c>
      <c r="CG16" s="97">
        <v>0</v>
      </c>
      <c r="CH16" s="97">
        <v>0</v>
      </c>
      <c r="CI16" s="97">
        <v>0</v>
      </c>
      <c r="CJ16" s="105">
        <v>31012</v>
      </c>
      <c r="CK16" s="105">
        <v>67629</v>
      </c>
      <c r="CL16" s="105">
        <v>5146</v>
      </c>
      <c r="CM16" s="105">
        <v>37105</v>
      </c>
      <c r="CN16" s="105">
        <v>17120058</v>
      </c>
      <c r="CO16" s="105">
        <v>17260950</v>
      </c>
      <c r="CP16" s="97">
        <v>0</v>
      </c>
      <c r="CQ16" s="97">
        <v>0</v>
      </c>
      <c r="CR16" s="97">
        <v>0</v>
      </c>
      <c r="CS16" s="97">
        <v>0</v>
      </c>
      <c r="CT16" s="97">
        <v>0</v>
      </c>
      <c r="CU16" s="97">
        <v>0</v>
      </c>
      <c r="CV16" s="105">
        <v>0</v>
      </c>
      <c r="CW16" s="105">
        <v>0</v>
      </c>
      <c r="CX16" s="105">
        <v>0</v>
      </c>
      <c r="CY16" s="105">
        <v>23490</v>
      </c>
      <c r="CZ16" s="105">
        <v>1161647</v>
      </c>
      <c r="DA16" s="105">
        <v>1185137</v>
      </c>
      <c r="DB16" s="105">
        <v>0</v>
      </c>
      <c r="DC16" s="105">
        <v>2400</v>
      </c>
      <c r="DD16" s="105">
        <v>0</v>
      </c>
      <c r="DE16" s="105">
        <v>0</v>
      </c>
      <c r="DF16" s="105">
        <v>42850</v>
      </c>
      <c r="DG16" s="105">
        <v>45250</v>
      </c>
      <c r="DH16" s="105">
        <v>37983</v>
      </c>
      <c r="DI16" s="105">
        <v>4525</v>
      </c>
      <c r="DJ16" s="105">
        <v>1401</v>
      </c>
      <c r="DK16" s="105">
        <v>66199</v>
      </c>
      <c r="DL16" s="105">
        <v>59765</v>
      </c>
      <c r="DM16" s="105">
        <v>169873</v>
      </c>
      <c r="DN16" s="105">
        <v>422918</v>
      </c>
      <c r="DO16" s="105">
        <v>117689</v>
      </c>
      <c r="DP16" s="105">
        <v>85462</v>
      </c>
      <c r="DQ16" s="105">
        <v>94914</v>
      </c>
      <c r="DR16" s="105">
        <v>288796</v>
      </c>
      <c r="DS16" s="105">
        <v>1009779</v>
      </c>
      <c r="DT16" s="105">
        <v>53465</v>
      </c>
      <c r="DU16" s="105">
        <v>25134</v>
      </c>
      <c r="DV16" s="105">
        <v>117221</v>
      </c>
      <c r="DW16" s="105">
        <v>589676</v>
      </c>
      <c r="DX16" s="105">
        <v>9589</v>
      </c>
      <c r="DY16" s="105">
        <v>795085</v>
      </c>
      <c r="DZ16" s="97">
        <v>0</v>
      </c>
      <c r="EA16" s="97">
        <v>0</v>
      </c>
      <c r="EB16" s="97">
        <v>0</v>
      </c>
      <c r="EC16" s="97">
        <v>0</v>
      </c>
      <c r="ED16" s="97">
        <v>0</v>
      </c>
      <c r="EE16" s="97">
        <v>0</v>
      </c>
      <c r="EF16" s="105">
        <v>58197</v>
      </c>
      <c r="EG16" s="105">
        <v>1058</v>
      </c>
      <c r="EH16" s="105">
        <v>505</v>
      </c>
      <c r="EI16" s="105">
        <v>5388</v>
      </c>
      <c r="EJ16" s="105">
        <v>1424808</v>
      </c>
      <c r="EK16" s="105">
        <v>1489956</v>
      </c>
      <c r="EL16" s="105">
        <v>2920646</v>
      </c>
      <c r="EM16" s="105">
        <v>677244</v>
      </c>
      <c r="EN16" s="105">
        <v>296778</v>
      </c>
      <c r="EO16" s="105">
        <v>1311237</v>
      </c>
      <c r="EP16" s="105">
        <v>20532956</v>
      </c>
      <c r="EQ16" s="105">
        <v>25738861</v>
      </c>
      <c r="ER16" s="105">
        <v>1835920</v>
      </c>
      <c r="ES16" s="105">
        <v>272979</v>
      </c>
      <c r="ET16" s="105">
        <v>290512</v>
      </c>
      <c r="EU16" s="105">
        <v>2265365</v>
      </c>
      <c r="EV16" s="105">
        <v>223278</v>
      </c>
      <c r="EW16" s="105">
        <v>4888054</v>
      </c>
      <c r="EX16" s="105">
        <v>300000</v>
      </c>
      <c r="EY16" s="105">
        <v>0</v>
      </c>
      <c r="EZ16" s="105">
        <v>0</v>
      </c>
      <c r="FA16" s="105">
        <v>0</v>
      </c>
      <c r="FB16" s="105">
        <v>0</v>
      </c>
      <c r="FC16" s="105">
        <v>300000</v>
      </c>
      <c r="FD16" s="105">
        <v>1639718</v>
      </c>
      <c r="FE16" s="105">
        <v>967234</v>
      </c>
      <c r="FF16" s="105">
        <v>444435</v>
      </c>
      <c r="FG16" s="105">
        <v>1828855</v>
      </c>
      <c r="FH16" s="105">
        <v>0</v>
      </c>
      <c r="FI16" s="105">
        <v>4880242</v>
      </c>
      <c r="FJ16" s="97">
        <v>0</v>
      </c>
      <c r="FK16" s="97">
        <v>0</v>
      </c>
      <c r="FL16" s="97">
        <v>0</v>
      </c>
      <c r="FM16" s="97">
        <v>0</v>
      </c>
      <c r="FN16" s="97">
        <v>0</v>
      </c>
      <c r="FO16" s="97">
        <v>0</v>
      </c>
      <c r="FP16" s="105">
        <v>220508</v>
      </c>
      <c r="FQ16" s="105">
        <v>104160</v>
      </c>
      <c r="FR16" s="105">
        <v>48174</v>
      </c>
      <c r="FS16" s="105">
        <v>111631</v>
      </c>
      <c r="FT16" s="105">
        <v>3087227</v>
      </c>
      <c r="FU16" s="105">
        <v>3571700</v>
      </c>
      <c r="FV16" s="97">
        <v>0</v>
      </c>
      <c r="FW16" s="97">
        <v>0</v>
      </c>
      <c r="FX16" s="97">
        <v>0</v>
      </c>
      <c r="FY16" s="97">
        <v>0</v>
      </c>
      <c r="FZ16" s="97">
        <v>0</v>
      </c>
      <c r="GA16" s="97">
        <v>0</v>
      </c>
      <c r="GB16" s="97">
        <v>0</v>
      </c>
      <c r="GC16" s="97">
        <v>0</v>
      </c>
      <c r="GD16" s="97">
        <v>0</v>
      </c>
      <c r="GE16" s="97">
        <v>0</v>
      </c>
      <c r="GF16" s="97">
        <v>0</v>
      </c>
      <c r="GG16" s="97">
        <v>0</v>
      </c>
      <c r="GH16" s="105">
        <v>154806</v>
      </c>
      <c r="GI16" s="105">
        <v>85108</v>
      </c>
      <c r="GJ16" s="105">
        <v>43569</v>
      </c>
      <c r="GK16" s="105">
        <v>205079</v>
      </c>
      <c r="GL16" s="105">
        <v>78632</v>
      </c>
      <c r="GM16" s="105">
        <v>567194</v>
      </c>
      <c r="GN16" s="105">
        <v>428547</v>
      </c>
      <c r="GO16" s="105">
        <v>237842</v>
      </c>
      <c r="GP16" s="105">
        <v>166523</v>
      </c>
      <c r="GQ16" s="105">
        <v>639436</v>
      </c>
      <c r="GR16" s="105">
        <v>128661</v>
      </c>
      <c r="GS16" s="105">
        <v>1601009</v>
      </c>
      <c r="GT16" s="105">
        <v>141889</v>
      </c>
      <c r="GU16" s="105">
        <v>49661</v>
      </c>
      <c r="GV16" s="105">
        <v>24902</v>
      </c>
      <c r="GW16" s="105">
        <v>180639</v>
      </c>
      <c r="GX16" s="105">
        <v>80546</v>
      </c>
      <c r="GY16" s="105">
        <v>477637</v>
      </c>
      <c r="GZ16" s="105">
        <v>195001</v>
      </c>
      <c r="HA16" s="105">
        <v>139028</v>
      </c>
      <c r="HB16" s="105">
        <v>41550</v>
      </c>
      <c r="HC16" s="105">
        <v>118142</v>
      </c>
      <c r="HD16" s="105">
        <v>17175</v>
      </c>
      <c r="HE16" s="105">
        <v>510896</v>
      </c>
      <c r="HF16" s="105">
        <v>159382</v>
      </c>
      <c r="HG16" s="105">
        <v>63589</v>
      </c>
      <c r="HH16" s="105">
        <v>37846</v>
      </c>
      <c r="HI16" s="105">
        <v>111727</v>
      </c>
      <c r="HJ16" s="105">
        <v>352887</v>
      </c>
      <c r="HK16" s="105">
        <v>725431</v>
      </c>
      <c r="HL16" s="105">
        <v>0</v>
      </c>
      <c r="HM16" s="105">
        <v>0</v>
      </c>
      <c r="HN16" s="105">
        <v>0</v>
      </c>
      <c r="HO16" s="105">
        <v>0</v>
      </c>
      <c r="HP16" s="105">
        <v>512175</v>
      </c>
      <c r="HQ16" s="105">
        <v>512175</v>
      </c>
      <c r="HR16" s="105">
        <v>86918</v>
      </c>
      <c r="HS16" s="105">
        <v>29247</v>
      </c>
      <c r="HT16" s="105">
        <v>11195</v>
      </c>
      <c r="HU16" s="105">
        <v>62760</v>
      </c>
      <c r="HV16" s="105">
        <v>5251926</v>
      </c>
      <c r="HW16" s="105">
        <v>5442046</v>
      </c>
      <c r="HX16" s="105">
        <v>0</v>
      </c>
      <c r="HY16" s="105">
        <v>0</v>
      </c>
      <c r="HZ16" s="105">
        <v>0</v>
      </c>
      <c r="IA16" s="105">
        <v>0</v>
      </c>
      <c r="IB16" s="105">
        <v>96335</v>
      </c>
      <c r="IC16" s="105">
        <v>96335</v>
      </c>
      <c r="ID16" s="97">
        <v>0</v>
      </c>
      <c r="IE16" s="97">
        <v>0</v>
      </c>
      <c r="IF16" s="97">
        <v>0</v>
      </c>
      <c r="IG16" s="97">
        <v>0</v>
      </c>
      <c r="IH16" s="97">
        <v>0</v>
      </c>
      <c r="II16" s="97">
        <v>0</v>
      </c>
      <c r="IJ16" s="105">
        <v>10310</v>
      </c>
      <c r="IK16" s="105">
        <v>0</v>
      </c>
      <c r="IL16" s="105">
        <v>0</v>
      </c>
      <c r="IM16" s="105">
        <v>634</v>
      </c>
      <c r="IN16" s="105">
        <v>343786</v>
      </c>
      <c r="IO16" s="105">
        <v>354730</v>
      </c>
      <c r="IP16" s="105">
        <v>100730</v>
      </c>
      <c r="IQ16" s="105">
        <v>34336</v>
      </c>
      <c r="IR16" s="105">
        <v>964</v>
      </c>
      <c r="IS16" s="105">
        <v>2831</v>
      </c>
      <c r="IT16" s="105">
        <v>14200</v>
      </c>
      <c r="IU16" s="105">
        <v>153061</v>
      </c>
      <c r="IV16" s="105">
        <v>382454</v>
      </c>
      <c r="IW16" s="105">
        <v>170767</v>
      </c>
      <c r="IX16" s="105">
        <v>37690</v>
      </c>
      <c r="IY16" s="105">
        <v>152984</v>
      </c>
      <c r="IZ16" s="105">
        <v>914456</v>
      </c>
      <c r="JA16" s="105">
        <v>1658351</v>
      </c>
      <c r="JB16" s="105">
        <v>5656183</v>
      </c>
      <c r="JC16" s="105">
        <v>2153951</v>
      </c>
      <c r="JD16" s="105">
        <v>1147360</v>
      </c>
      <c r="JE16" s="105">
        <v>5680083</v>
      </c>
      <c r="JF16" s="105">
        <v>11101284</v>
      </c>
      <c r="JG16" s="105">
        <v>25738861</v>
      </c>
      <c r="JH16" s="97">
        <v>0</v>
      </c>
      <c r="JI16" s="97">
        <v>0</v>
      </c>
      <c r="JJ16" s="97">
        <v>0</v>
      </c>
      <c r="JK16" s="97">
        <v>0</v>
      </c>
      <c r="JL16" s="97">
        <v>0</v>
      </c>
      <c r="JM16" s="97">
        <v>0</v>
      </c>
      <c r="JN16" s="105">
        <v>5656183</v>
      </c>
      <c r="JO16" s="105">
        <v>2153951</v>
      </c>
      <c r="JP16" s="105">
        <v>1147360</v>
      </c>
      <c r="JQ16" s="105">
        <v>5680083</v>
      </c>
      <c r="JR16" s="105">
        <v>11101284</v>
      </c>
      <c r="JS16" s="105">
        <v>25738861</v>
      </c>
      <c r="JU16" s="5">
        <f t="shared" si="78"/>
        <v>692374</v>
      </c>
      <c r="JV16" s="29">
        <f t="shared" si="79"/>
        <v>0</v>
      </c>
      <c r="JW16" s="5">
        <f t="shared" si="80"/>
        <v>0</v>
      </c>
      <c r="JX16" s="29">
        <f t="shared" si="81"/>
        <v>0</v>
      </c>
      <c r="JY16" s="5">
        <f t="shared" si="82"/>
        <v>1842000</v>
      </c>
      <c r="JZ16" s="29">
        <f t="shared" si="83"/>
        <v>0</v>
      </c>
      <c r="KA16" s="5">
        <f t="shared" si="84"/>
        <v>1248457</v>
      </c>
      <c r="KB16" s="29">
        <f t="shared" si="85"/>
        <v>0</v>
      </c>
      <c r="KC16" s="5">
        <f t="shared" si="86"/>
        <v>0</v>
      </c>
      <c r="KD16" s="29">
        <f t="shared" si="87"/>
        <v>0</v>
      </c>
      <c r="KE16" s="5">
        <f t="shared" si="88"/>
        <v>0</v>
      </c>
      <c r="KF16" s="29">
        <f t="shared" si="89"/>
        <v>0</v>
      </c>
      <c r="KG16" s="5">
        <f t="shared" si="90"/>
        <v>17260950</v>
      </c>
      <c r="KH16" s="29">
        <f t="shared" si="91"/>
        <v>0</v>
      </c>
      <c r="KI16" s="5">
        <f t="shared" si="92"/>
        <v>0</v>
      </c>
      <c r="KJ16" s="29">
        <f t="shared" si="93"/>
        <v>0</v>
      </c>
      <c r="KK16" s="5">
        <f t="shared" si="94"/>
        <v>1185137</v>
      </c>
      <c r="KL16" s="29">
        <f t="shared" si="95"/>
        <v>0</v>
      </c>
      <c r="KM16" s="5">
        <f t="shared" si="96"/>
        <v>45250</v>
      </c>
      <c r="KN16" s="29">
        <f t="shared" si="97"/>
        <v>0</v>
      </c>
      <c r="KO16" s="5">
        <f t="shared" si="98"/>
        <v>169873</v>
      </c>
      <c r="KP16" s="29">
        <f t="shared" si="99"/>
        <v>0</v>
      </c>
      <c r="KQ16" s="5">
        <f t="shared" si="100"/>
        <v>1009779</v>
      </c>
      <c r="KR16" s="29">
        <f t="shared" si="101"/>
        <v>0</v>
      </c>
      <c r="KS16" s="5">
        <f t="shared" si="102"/>
        <v>795085</v>
      </c>
      <c r="KT16" s="29">
        <f t="shared" si="103"/>
        <v>0</v>
      </c>
      <c r="KU16" s="5">
        <f t="shared" si="104"/>
        <v>0</v>
      </c>
      <c r="KV16" s="29">
        <f t="shared" si="105"/>
        <v>0</v>
      </c>
      <c r="KW16" s="5">
        <f t="shared" si="106"/>
        <v>1489956</v>
      </c>
      <c r="KX16" s="29">
        <f t="shared" si="107"/>
        <v>0</v>
      </c>
      <c r="KY16" s="5">
        <f t="shared" si="108"/>
        <v>25738861</v>
      </c>
      <c r="KZ16" s="29">
        <f t="shared" si="109"/>
        <v>0</v>
      </c>
      <c r="LA16" s="5">
        <f t="shared" si="110"/>
        <v>4888054</v>
      </c>
      <c r="LB16" s="29">
        <f t="shared" si="111"/>
        <v>0</v>
      </c>
      <c r="LC16" s="5">
        <f t="shared" si="112"/>
        <v>300000</v>
      </c>
      <c r="LD16" s="29">
        <f t="shared" si="113"/>
        <v>0</v>
      </c>
      <c r="LE16" s="5">
        <f t="shared" si="114"/>
        <v>4880242</v>
      </c>
      <c r="LF16" s="29">
        <f t="shared" si="115"/>
        <v>0</v>
      </c>
      <c r="LG16" s="5">
        <f t="shared" si="116"/>
        <v>0</v>
      </c>
      <c r="LH16" s="29">
        <f t="shared" si="117"/>
        <v>0</v>
      </c>
      <c r="LI16" s="5">
        <f t="shared" si="118"/>
        <v>3571700</v>
      </c>
      <c r="LJ16" s="29">
        <f t="shared" si="119"/>
        <v>0</v>
      </c>
      <c r="LK16" s="5">
        <f t="shared" si="120"/>
        <v>0</v>
      </c>
      <c r="LL16" s="29">
        <f t="shared" si="121"/>
        <v>0</v>
      </c>
      <c r="LM16" s="5">
        <f t="shared" si="122"/>
        <v>0</v>
      </c>
      <c r="LN16" s="29">
        <f t="shared" si="123"/>
        <v>0</v>
      </c>
      <c r="LO16" s="5">
        <f t="shared" si="124"/>
        <v>567194</v>
      </c>
      <c r="LP16" s="29">
        <f t="shared" si="125"/>
        <v>0</v>
      </c>
      <c r="LQ16" s="5">
        <f t="shared" si="126"/>
        <v>1601009</v>
      </c>
      <c r="LR16" s="29">
        <f t="shared" si="127"/>
        <v>0</v>
      </c>
      <c r="LS16" s="5">
        <f t="shared" si="128"/>
        <v>477637</v>
      </c>
      <c r="LT16" s="29">
        <f t="shared" si="129"/>
        <v>0</v>
      </c>
      <c r="LU16" s="5">
        <f t="shared" si="130"/>
        <v>510896</v>
      </c>
      <c r="LV16" s="29">
        <f t="shared" si="131"/>
        <v>0</v>
      </c>
      <c r="LW16" s="5">
        <f t="shared" si="132"/>
        <v>725431</v>
      </c>
      <c r="LX16" s="29">
        <f t="shared" si="133"/>
        <v>0</v>
      </c>
      <c r="LY16" s="5">
        <f t="shared" si="134"/>
        <v>512175</v>
      </c>
      <c r="LZ16" s="29">
        <f t="shared" si="135"/>
        <v>0</v>
      </c>
      <c r="MA16" s="5">
        <f t="shared" si="136"/>
        <v>5442046</v>
      </c>
      <c r="MB16" s="29">
        <f t="shared" si="137"/>
        <v>0</v>
      </c>
      <c r="MC16" s="5">
        <f t="shared" si="138"/>
        <v>96335</v>
      </c>
      <c r="MD16" s="29">
        <f t="shared" si="139"/>
        <v>0</v>
      </c>
      <c r="ME16" s="5">
        <f t="shared" si="140"/>
        <v>0</v>
      </c>
      <c r="MF16" s="29">
        <f t="shared" si="141"/>
        <v>0</v>
      </c>
      <c r="MG16" s="5">
        <f t="shared" si="142"/>
        <v>354730</v>
      </c>
      <c r="MH16" s="29">
        <f t="shared" si="143"/>
        <v>0</v>
      </c>
      <c r="MI16" s="5">
        <f t="shared" si="144"/>
        <v>153061</v>
      </c>
      <c r="MJ16" s="29">
        <f t="shared" si="145"/>
        <v>0</v>
      </c>
      <c r="MK16" s="5">
        <f t="shared" si="146"/>
        <v>1658351</v>
      </c>
      <c r="ML16" s="29">
        <f t="shared" si="147"/>
        <v>0</v>
      </c>
      <c r="MM16" s="5">
        <f t="shared" si="148"/>
        <v>25738861</v>
      </c>
      <c r="MN16" s="29">
        <f t="shared" si="149"/>
        <v>0</v>
      </c>
      <c r="MO16" s="5">
        <f t="shared" si="150"/>
        <v>0</v>
      </c>
      <c r="MP16" s="29">
        <f t="shared" si="151"/>
        <v>0</v>
      </c>
      <c r="MQ16" s="5">
        <f t="shared" si="152"/>
        <v>25738861</v>
      </c>
      <c r="MR16" s="29">
        <f t="shared" si="153"/>
        <v>0</v>
      </c>
      <c r="MT16" s="5">
        <f t="shared" si="76"/>
        <v>0</v>
      </c>
      <c r="MV16" s="4">
        <f t="shared" si="77"/>
        <v>0</v>
      </c>
    </row>
    <row r="17" spans="1:360" x14ac:dyDescent="0.15">
      <c r="A17" s="156" t="s">
        <v>278</v>
      </c>
      <c r="B17" s="25" t="s">
        <v>463</v>
      </c>
      <c r="C17" s="48">
        <v>217882</v>
      </c>
      <c r="D17" s="48">
        <v>2012</v>
      </c>
      <c r="E17" s="49">
        <v>1</v>
      </c>
      <c r="F17" s="49">
        <v>1</v>
      </c>
      <c r="G17" s="50">
        <v>8573</v>
      </c>
      <c r="H17" s="50">
        <v>7263</v>
      </c>
      <c r="I17" s="51">
        <v>706368000</v>
      </c>
      <c r="J17" s="51"/>
      <c r="K17" s="51">
        <v>1950147</v>
      </c>
      <c r="L17" s="51"/>
      <c r="M17" s="51">
        <v>18198426</v>
      </c>
      <c r="N17" s="51"/>
      <c r="O17" s="51">
        <v>25600000</v>
      </c>
      <c r="P17" s="51"/>
      <c r="Q17" s="51">
        <v>156295000</v>
      </c>
      <c r="R17" s="51"/>
      <c r="S17" s="51">
        <v>445966662</v>
      </c>
      <c r="T17" s="51"/>
      <c r="U17" s="51">
        <v>22088</v>
      </c>
      <c r="V17" s="51"/>
      <c r="W17" s="51">
        <v>39106</v>
      </c>
      <c r="X17" s="51"/>
      <c r="Y17" s="51">
        <v>25786</v>
      </c>
      <c r="Z17" s="51"/>
      <c r="AA17" s="51">
        <v>42714</v>
      </c>
      <c r="AB17" s="51"/>
      <c r="AC17" s="74">
        <v>10</v>
      </c>
      <c r="AD17" s="74">
        <v>10</v>
      </c>
      <c r="AE17" s="74">
        <v>0</v>
      </c>
      <c r="AF17" s="29">
        <v>5958207</v>
      </c>
      <c r="AG17" s="29">
        <v>4100356</v>
      </c>
      <c r="AH17" s="29">
        <v>867728</v>
      </c>
      <c r="AI17" s="29">
        <v>308990</v>
      </c>
      <c r="AJ17" s="29">
        <v>791353.29</v>
      </c>
      <c r="AK17" s="73">
        <v>7</v>
      </c>
      <c r="AL17" s="29">
        <v>791353.29</v>
      </c>
      <c r="AM17" s="73">
        <v>7</v>
      </c>
      <c r="AN17" s="29">
        <v>190460.14</v>
      </c>
      <c r="AO17" s="73">
        <v>7</v>
      </c>
      <c r="AP17" s="29">
        <v>166652.63</v>
      </c>
      <c r="AQ17" s="73">
        <v>28</v>
      </c>
      <c r="AR17" s="29">
        <v>263240.24</v>
      </c>
      <c r="AS17" s="73">
        <v>24.75</v>
      </c>
      <c r="AT17" s="29">
        <v>232685.57</v>
      </c>
      <c r="AU17" s="73">
        <v>28</v>
      </c>
      <c r="AV17" s="29">
        <v>73223.28</v>
      </c>
      <c r="AW17" s="73">
        <v>16.75</v>
      </c>
      <c r="AX17" s="29">
        <v>61324.5</v>
      </c>
      <c r="AY17" s="73">
        <v>20</v>
      </c>
      <c r="AZ17" s="97">
        <v>18966515</v>
      </c>
      <c r="BA17" s="97">
        <v>1442096</v>
      </c>
      <c r="BB17" s="97">
        <v>9104</v>
      </c>
      <c r="BC17" s="97">
        <f>21037499+9104-AZ17-BA17-BB17</f>
        <v>628888</v>
      </c>
      <c r="BD17" s="97">
        <v>0</v>
      </c>
      <c r="BE17" s="97">
        <v>21046603</v>
      </c>
      <c r="BF17" s="97">
        <v>1415674</v>
      </c>
      <c r="BG17" s="97">
        <v>129750</v>
      </c>
      <c r="BH17" s="97">
        <v>0</v>
      </c>
      <c r="BI17" s="97">
        <f>1545424+0-BF17-BG17-BH17</f>
        <v>0</v>
      </c>
      <c r="BJ17" s="97">
        <v>0</v>
      </c>
      <c r="BK17" s="97">
        <v>1545424</v>
      </c>
      <c r="BL17" s="97">
        <v>250000</v>
      </c>
      <c r="BM17" s="97">
        <v>0</v>
      </c>
      <c r="BN17" s="97">
        <v>0</v>
      </c>
      <c r="BO17" s="97">
        <f>254190+9260-BL17-BM17-BN17</f>
        <v>13450</v>
      </c>
      <c r="BP17" s="97">
        <v>0</v>
      </c>
      <c r="BQ17" s="97">
        <v>263450</v>
      </c>
      <c r="BR17" s="97">
        <v>2500753</v>
      </c>
      <c r="BS17" s="97">
        <v>451431</v>
      </c>
      <c r="BT17" s="97">
        <v>331788</v>
      </c>
      <c r="BU17" s="97">
        <f>4203531+2437869-BR17-BS17-BT17</f>
        <v>3357428</v>
      </c>
      <c r="BV17" s="97">
        <v>10070079</v>
      </c>
      <c r="BW17" s="97">
        <v>16711479</v>
      </c>
      <c r="BX17" s="97">
        <v>0</v>
      </c>
      <c r="BY17" s="97">
        <v>0</v>
      </c>
      <c r="BZ17" s="97">
        <v>0</v>
      </c>
      <c r="CA17" s="97">
        <v>0</v>
      </c>
      <c r="CB17" s="97">
        <v>0</v>
      </c>
      <c r="CC17" s="97">
        <v>0</v>
      </c>
      <c r="CD17" s="97">
        <v>0</v>
      </c>
      <c r="CE17" s="97">
        <v>0</v>
      </c>
      <c r="CF17" s="97">
        <v>0</v>
      </c>
      <c r="CG17" s="97">
        <v>0</v>
      </c>
      <c r="CH17" s="97">
        <v>0</v>
      </c>
      <c r="CI17" s="97">
        <v>0</v>
      </c>
      <c r="CJ17" s="97">
        <v>959740</v>
      </c>
      <c r="CK17" s="97">
        <v>159221</v>
      </c>
      <c r="CL17" s="97">
        <v>216754</v>
      </c>
      <c r="CM17" s="97">
        <f>2019351+1715139-CJ17-CK17-CL17</f>
        <v>2398775</v>
      </c>
      <c r="CN17" s="97">
        <v>36798</v>
      </c>
      <c r="CO17" s="97">
        <v>3771288</v>
      </c>
      <c r="CP17" s="97">
        <v>0</v>
      </c>
      <c r="CQ17" s="97">
        <v>0</v>
      </c>
      <c r="CR17" s="97">
        <v>0</v>
      </c>
      <c r="CS17" s="97">
        <v>0</v>
      </c>
      <c r="CT17" s="97">
        <v>0</v>
      </c>
      <c r="CU17" s="97">
        <v>0</v>
      </c>
      <c r="CV17" s="97">
        <v>12413500</v>
      </c>
      <c r="CW17" s="97">
        <v>4460580</v>
      </c>
      <c r="CX17" s="97">
        <v>0</v>
      </c>
      <c r="CY17" s="97">
        <f>16874080+0-CV17-CW17-CX17</f>
        <v>0</v>
      </c>
      <c r="CZ17" s="97">
        <v>254744</v>
      </c>
      <c r="DA17" s="97">
        <v>17128824</v>
      </c>
      <c r="DB17" s="106">
        <v>555000</v>
      </c>
      <c r="DC17" s="97">
        <v>175000</v>
      </c>
      <c r="DD17" s="97">
        <v>0</v>
      </c>
      <c r="DE17" s="97">
        <f>730000+0-DB17-DC17-DD17</f>
        <v>0</v>
      </c>
      <c r="DF17" s="97">
        <v>1445000</v>
      </c>
      <c r="DG17" s="97">
        <v>2175000</v>
      </c>
      <c r="DH17" s="97">
        <v>1726008</v>
      </c>
      <c r="DI17" s="97">
        <v>100827</v>
      </c>
      <c r="DJ17" s="97">
        <v>7136</v>
      </c>
      <c r="DK17" s="97">
        <f>1901559+11483-DH17-DI17-DJ17</f>
        <v>79071</v>
      </c>
      <c r="DL17" s="97">
        <v>93054</v>
      </c>
      <c r="DM17" s="97">
        <v>2006096</v>
      </c>
      <c r="DN17" s="97">
        <v>354000</v>
      </c>
      <c r="DO17" s="97">
        <v>109000</v>
      </c>
      <c r="DP17" s="97">
        <v>55500</v>
      </c>
      <c r="DQ17" s="97">
        <f>573850+117050-DN17-DO17-DP17</f>
        <v>172400</v>
      </c>
      <c r="DR17" s="97">
        <v>3716340</v>
      </c>
      <c r="DS17" s="97">
        <v>4407240</v>
      </c>
      <c r="DT17" s="97">
        <v>0</v>
      </c>
      <c r="DU17" s="97">
        <v>0</v>
      </c>
      <c r="DV17" s="97">
        <v>0</v>
      </c>
      <c r="DW17" s="97">
        <v>0</v>
      </c>
      <c r="DX17" s="97">
        <v>0</v>
      </c>
      <c r="DY17" s="97">
        <v>0</v>
      </c>
      <c r="DZ17" s="97">
        <v>0</v>
      </c>
      <c r="EA17" s="97">
        <v>0</v>
      </c>
      <c r="EB17" s="97">
        <v>0</v>
      </c>
      <c r="EC17" s="97">
        <v>0</v>
      </c>
      <c r="ED17" s="97">
        <v>214078</v>
      </c>
      <c r="EE17" s="97">
        <v>214078</v>
      </c>
      <c r="EF17" s="97">
        <v>66591</v>
      </c>
      <c r="EG17" s="97">
        <v>0</v>
      </c>
      <c r="EH17" s="97">
        <v>0</v>
      </c>
      <c r="EI17" s="97">
        <f>91899+30287-EF17-EG17-EH17</f>
        <v>55595</v>
      </c>
      <c r="EJ17" s="97">
        <v>610612</v>
      </c>
      <c r="EK17" s="97">
        <v>732798</v>
      </c>
      <c r="EL17" s="97">
        <v>39207781</v>
      </c>
      <c r="EM17" s="97">
        <v>7027905</v>
      </c>
      <c r="EN17" s="97">
        <v>620282</v>
      </c>
      <c r="EO17" s="97">
        <f>49231383+4330192-EL17-EM17-EN17</f>
        <v>6705607</v>
      </c>
      <c r="EP17" s="97">
        <v>16440705</v>
      </c>
      <c r="EQ17" s="97">
        <v>70002280</v>
      </c>
      <c r="ER17" s="97">
        <v>3363558</v>
      </c>
      <c r="ES17" s="97">
        <v>492502</v>
      </c>
      <c r="ET17" s="97">
        <v>526075</v>
      </c>
      <c r="EU17" s="97">
        <f>5958207+4100356-ER17-ES17-ET17</f>
        <v>5676428</v>
      </c>
      <c r="EV17" s="97">
        <v>881302</v>
      </c>
      <c r="EW17" s="97">
        <v>10939865</v>
      </c>
      <c r="EX17" s="97">
        <v>2050000</v>
      </c>
      <c r="EY17" s="97">
        <v>495082</v>
      </c>
      <c r="EZ17" s="97">
        <v>62500</v>
      </c>
      <c r="FA17" s="97">
        <f>2572744+70544-EX17-EY17-EZ17</f>
        <v>35706</v>
      </c>
      <c r="FB17" s="97">
        <v>0</v>
      </c>
      <c r="FC17" s="97">
        <v>2643288</v>
      </c>
      <c r="FD17" s="97">
        <f>2744932+5091683</f>
        <v>7836615</v>
      </c>
      <c r="FE17" s="97">
        <f>1497910+543109</f>
        <v>2041019</v>
      </c>
      <c r="FF17" s="97">
        <f>398735+437925</f>
        <v>836660</v>
      </c>
      <c r="FG17" s="97">
        <f>5539473+6515196+1333221+1226490-FD17-FE17-FF17</f>
        <v>3900086</v>
      </c>
      <c r="FH17" s="97">
        <f>0</f>
        <v>0</v>
      </c>
      <c r="FI17" s="97">
        <v>14614380</v>
      </c>
      <c r="FJ17" s="97">
        <v>0</v>
      </c>
      <c r="FK17" s="97">
        <v>0</v>
      </c>
      <c r="FL17" s="97">
        <v>0</v>
      </c>
      <c r="FM17" s="97">
        <v>0</v>
      </c>
      <c r="FN17" s="97">
        <v>0</v>
      </c>
      <c r="FO17" s="97">
        <v>0</v>
      </c>
      <c r="FP17" s="97">
        <v>1546963</v>
      </c>
      <c r="FQ17" s="97">
        <v>238210</v>
      </c>
      <c r="FR17" s="97">
        <v>143031</v>
      </c>
      <c r="FS17" s="97">
        <f>1850228+426281-FP17-FQ17-FR17</f>
        <v>348305</v>
      </c>
      <c r="FT17" s="97">
        <v>7602848</v>
      </c>
      <c r="FU17" s="97">
        <v>9879357</v>
      </c>
      <c r="FV17" s="97">
        <v>0</v>
      </c>
      <c r="FW17" s="97">
        <v>0</v>
      </c>
      <c r="FX17" s="97">
        <v>0</v>
      </c>
      <c r="FY17" s="97">
        <v>0</v>
      </c>
      <c r="FZ17" s="97">
        <v>0</v>
      </c>
      <c r="GA17" s="97">
        <v>0</v>
      </c>
      <c r="GB17" s="97">
        <v>355986</v>
      </c>
      <c r="GC17" s="97">
        <v>0</v>
      </c>
      <c r="GD17" s="97">
        <v>0</v>
      </c>
      <c r="GE17" s="97">
        <v>0</v>
      </c>
      <c r="GF17" s="97">
        <v>0</v>
      </c>
      <c r="GG17" s="97">
        <v>355986</v>
      </c>
      <c r="GH17" s="97">
        <v>498610</v>
      </c>
      <c r="GI17" s="97">
        <v>215782</v>
      </c>
      <c r="GJ17" s="97">
        <v>108474</v>
      </c>
      <c r="GK17" s="97">
        <f>867728+308990-GH17-GI17-GJ17</f>
        <v>353852</v>
      </c>
      <c r="GL17" s="97">
        <v>0</v>
      </c>
      <c r="GM17" s="97">
        <v>1176718</v>
      </c>
      <c r="GN17" s="97">
        <v>2922289</v>
      </c>
      <c r="GO17" s="97">
        <v>621419</v>
      </c>
      <c r="GP17" s="97">
        <v>367313</v>
      </c>
      <c r="GQ17" s="97">
        <f>4260198+1194303-GN17-GO17-GP17</f>
        <v>1543480</v>
      </c>
      <c r="GR17" s="97">
        <v>0</v>
      </c>
      <c r="GS17" s="97">
        <v>5454501</v>
      </c>
      <c r="GT17" s="97">
        <v>818608</v>
      </c>
      <c r="GU17" s="97">
        <v>156683</v>
      </c>
      <c r="GV17" s="97">
        <v>78196</v>
      </c>
      <c r="GW17" s="97">
        <f>1366085+507474-GT17-GU17-GV17</f>
        <v>820072</v>
      </c>
      <c r="GX17" s="97">
        <v>1240750</v>
      </c>
      <c r="GY17" s="97">
        <v>3114309</v>
      </c>
      <c r="GZ17" s="97">
        <v>2346413</v>
      </c>
      <c r="HA17" s="97">
        <v>331426</v>
      </c>
      <c r="HB17" s="97">
        <v>199990</v>
      </c>
      <c r="HC17" s="97">
        <f>2917623+295238-GZ17-HA17-HB17</f>
        <v>335032</v>
      </c>
      <c r="HD17" s="97">
        <v>0</v>
      </c>
      <c r="HE17" s="97">
        <v>3212861</v>
      </c>
      <c r="HF17" s="97">
        <v>0</v>
      </c>
      <c r="HG17" s="97">
        <v>0</v>
      </c>
      <c r="HH17" s="97">
        <v>0</v>
      </c>
      <c r="HI17" s="97">
        <v>0</v>
      </c>
      <c r="HJ17" s="97">
        <v>4388485</v>
      </c>
      <c r="HK17" s="97">
        <v>4388485</v>
      </c>
      <c r="HL17" s="97">
        <v>0</v>
      </c>
      <c r="HM17" s="97">
        <v>0</v>
      </c>
      <c r="HN17" s="97">
        <v>0</v>
      </c>
      <c r="HO17" s="97">
        <v>0</v>
      </c>
      <c r="HP17" s="97">
        <v>0</v>
      </c>
      <c r="HQ17" s="97">
        <v>0</v>
      </c>
      <c r="HR17" s="97">
        <v>1245431</v>
      </c>
      <c r="HS17" s="97">
        <v>1143734</v>
      </c>
      <c r="HT17" s="97">
        <v>113403</v>
      </c>
      <c r="HU17" s="97">
        <f>1571918+283595-HR17-HS17-HT17</f>
        <v>-647055</v>
      </c>
      <c r="HV17" s="97">
        <v>4515790</v>
      </c>
      <c r="HW17" s="97">
        <v>6371303</v>
      </c>
      <c r="HX17" s="97">
        <v>0</v>
      </c>
      <c r="HY17" s="97">
        <v>0</v>
      </c>
      <c r="HZ17" s="97">
        <v>0</v>
      </c>
      <c r="IA17" s="97">
        <v>0</v>
      </c>
      <c r="IB17" s="97">
        <v>235203</v>
      </c>
      <c r="IC17" s="97">
        <v>235203</v>
      </c>
      <c r="ID17" s="97">
        <v>0</v>
      </c>
      <c r="IE17" s="97">
        <v>0</v>
      </c>
      <c r="IF17" s="97">
        <v>0</v>
      </c>
      <c r="IG17" s="97">
        <v>0</v>
      </c>
      <c r="IH17" s="97">
        <v>0</v>
      </c>
      <c r="II17" s="97">
        <v>0</v>
      </c>
      <c r="IJ17" s="97">
        <v>184690</v>
      </c>
      <c r="IK17" s="97">
        <v>10575</v>
      </c>
      <c r="IL17" s="97">
        <v>23261</v>
      </c>
      <c r="IM17" s="97">
        <f>332126+87485-IJ17-IK17-IL17</f>
        <v>201085</v>
      </c>
      <c r="IN17" s="97">
        <v>18384</v>
      </c>
      <c r="IO17" s="97">
        <v>437995</v>
      </c>
      <c r="IP17" s="97">
        <v>1775</v>
      </c>
      <c r="IQ17" s="97">
        <v>1140</v>
      </c>
      <c r="IR17" s="97">
        <v>970</v>
      </c>
      <c r="IS17" s="97">
        <f>5466+3662-IP17-IQ17-IR17</f>
        <v>5243</v>
      </c>
      <c r="IT17" s="97">
        <v>30100</v>
      </c>
      <c r="IU17" s="97">
        <v>39228</v>
      </c>
      <c r="IV17" s="97">
        <v>973853</v>
      </c>
      <c r="IW17" s="97">
        <v>276015</v>
      </c>
      <c r="IX17" s="97">
        <v>87150</v>
      </c>
      <c r="IY17" s="97">
        <f>1399664+252028-IV17-IW17-IX17</f>
        <v>314674</v>
      </c>
      <c r="IZ17" s="97">
        <v>3268626</v>
      </c>
      <c r="JA17" s="97">
        <v>4920318</v>
      </c>
      <c r="JB17" s="97">
        <v>24144791</v>
      </c>
      <c r="JC17" s="97">
        <v>4994587</v>
      </c>
      <c r="JD17" s="97">
        <v>2547023</v>
      </c>
      <c r="JE17" s="97">
        <f>35512642+10089667-JB17-JC17-JD17</f>
        <v>13915908</v>
      </c>
      <c r="JF17" s="97">
        <v>22181488</v>
      </c>
      <c r="JG17" s="97">
        <v>67783797</v>
      </c>
      <c r="JH17" s="97">
        <v>0</v>
      </c>
      <c r="JI17" s="97">
        <v>0</v>
      </c>
      <c r="JJ17" s="97">
        <v>0</v>
      </c>
      <c r="JK17" s="97">
        <v>0</v>
      </c>
      <c r="JL17" s="97">
        <v>2218483</v>
      </c>
      <c r="JM17" s="97">
        <v>2218483</v>
      </c>
      <c r="JN17" s="97">
        <f>JB17+JH17</f>
        <v>24144791</v>
      </c>
      <c r="JO17" s="97">
        <f>JC17+JI17</f>
        <v>4994587</v>
      </c>
      <c r="JP17" s="97">
        <f>JD17+JJ17</f>
        <v>2547023</v>
      </c>
      <c r="JQ17" s="97">
        <f>JE17+JK17</f>
        <v>13915908</v>
      </c>
      <c r="JR17" s="97">
        <f>JF17+JL17</f>
        <v>24399971</v>
      </c>
      <c r="JS17" s="97">
        <v>70002280</v>
      </c>
      <c r="JT17" s="12"/>
      <c r="JU17" s="5">
        <f t="shared" si="78"/>
        <v>21046603</v>
      </c>
      <c r="JV17" s="29">
        <f t="shared" si="79"/>
        <v>0</v>
      </c>
      <c r="JW17" s="5">
        <f t="shared" si="80"/>
        <v>1545424</v>
      </c>
      <c r="JX17" s="29">
        <f t="shared" si="81"/>
        <v>0</v>
      </c>
      <c r="JY17" s="5">
        <f t="shared" si="82"/>
        <v>263450</v>
      </c>
      <c r="JZ17" s="29">
        <f t="shared" si="83"/>
        <v>0</v>
      </c>
      <c r="KA17" s="5">
        <f t="shared" si="84"/>
        <v>16711479</v>
      </c>
      <c r="KB17" s="29">
        <f t="shared" si="85"/>
        <v>0</v>
      </c>
      <c r="KC17" s="5">
        <f t="shared" si="86"/>
        <v>0</v>
      </c>
      <c r="KD17" s="29">
        <f t="shared" si="87"/>
        <v>0</v>
      </c>
      <c r="KE17" s="5">
        <f t="shared" si="88"/>
        <v>0</v>
      </c>
      <c r="KF17" s="29">
        <f t="shared" si="89"/>
        <v>0</v>
      </c>
      <c r="KG17" s="5">
        <f t="shared" si="90"/>
        <v>3771288</v>
      </c>
      <c r="KH17" s="29">
        <f t="shared" si="91"/>
        <v>0</v>
      </c>
      <c r="KI17" s="5">
        <f t="shared" si="92"/>
        <v>0</v>
      </c>
      <c r="KJ17" s="29">
        <f t="shared" si="93"/>
        <v>0</v>
      </c>
      <c r="KK17" s="5">
        <f t="shared" si="94"/>
        <v>17128824</v>
      </c>
      <c r="KL17" s="29">
        <f t="shared" si="95"/>
        <v>0</v>
      </c>
      <c r="KM17" s="5">
        <f t="shared" si="96"/>
        <v>2175000</v>
      </c>
      <c r="KN17" s="29">
        <f t="shared" si="97"/>
        <v>0</v>
      </c>
      <c r="KO17" s="5">
        <f t="shared" si="98"/>
        <v>2006096</v>
      </c>
      <c r="KP17" s="29">
        <f t="shared" si="99"/>
        <v>0</v>
      </c>
      <c r="KQ17" s="5">
        <f t="shared" si="100"/>
        <v>4407240</v>
      </c>
      <c r="KR17" s="29">
        <f t="shared" si="101"/>
        <v>0</v>
      </c>
      <c r="KS17" s="5">
        <f t="shared" si="102"/>
        <v>0</v>
      </c>
      <c r="KT17" s="29">
        <f t="shared" si="103"/>
        <v>0</v>
      </c>
      <c r="KU17" s="5">
        <f t="shared" si="104"/>
        <v>214078</v>
      </c>
      <c r="KV17" s="29">
        <f t="shared" si="105"/>
        <v>0</v>
      </c>
      <c r="KW17" s="5">
        <f t="shared" si="106"/>
        <v>732798</v>
      </c>
      <c r="KX17" s="29">
        <f t="shared" si="107"/>
        <v>0</v>
      </c>
      <c r="KY17" s="5">
        <f t="shared" si="108"/>
        <v>70002280</v>
      </c>
      <c r="KZ17" s="29">
        <f t="shared" si="109"/>
        <v>0</v>
      </c>
      <c r="LA17" s="5">
        <f t="shared" si="110"/>
        <v>10939865</v>
      </c>
      <c r="LB17" s="29">
        <f t="shared" si="111"/>
        <v>0</v>
      </c>
      <c r="LC17" s="5">
        <f t="shared" si="112"/>
        <v>2643288</v>
      </c>
      <c r="LD17" s="29">
        <f t="shared" si="113"/>
        <v>0</v>
      </c>
      <c r="LE17" s="5">
        <f t="shared" si="114"/>
        <v>14614380</v>
      </c>
      <c r="LF17" s="29">
        <f t="shared" si="115"/>
        <v>0</v>
      </c>
      <c r="LG17" s="5">
        <f t="shared" si="116"/>
        <v>0</v>
      </c>
      <c r="LH17" s="29">
        <f t="shared" si="117"/>
        <v>0</v>
      </c>
      <c r="LI17" s="5">
        <f t="shared" si="118"/>
        <v>9879357</v>
      </c>
      <c r="LJ17" s="29">
        <f t="shared" si="119"/>
        <v>0</v>
      </c>
      <c r="LK17" s="5">
        <f t="shared" si="120"/>
        <v>0</v>
      </c>
      <c r="LL17" s="29">
        <f t="shared" si="121"/>
        <v>0</v>
      </c>
      <c r="LM17" s="5">
        <f t="shared" si="122"/>
        <v>355986</v>
      </c>
      <c r="LN17" s="29">
        <f t="shared" si="123"/>
        <v>0</v>
      </c>
      <c r="LO17" s="5">
        <f t="shared" si="124"/>
        <v>1176718</v>
      </c>
      <c r="LP17" s="29">
        <f t="shared" si="125"/>
        <v>0</v>
      </c>
      <c r="LQ17" s="5">
        <f t="shared" si="126"/>
        <v>5454501</v>
      </c>
      <c r="LR17" s="29">
        <f t="shared" si="127"/>
        <v>0</v>
      </c>
      <c r="LS17" s="5">
        <f t="shared" si="128"/>
        <v>3114309</v>
      </c>
      <c r="LT17" s="29">
        <f t="shared" si="129"/>
        <v>0</v>
      </c>
      <c r="LU17" s="5">
        <f t="shared" si="130"/>
        <v>3212861</v>
      </c>
      <c r="LV17" s="29">
        <f t="shared" si="131"/>
        <v>0</v>
      </c>
      <c r="LW17" s="5">
        <f t="shared" si="132"/>
        <v>4388485</v>
      </c>
      <c r="LX17" s="29">
        <f t="shared" si="133"/>
        <v>0</v>
      </c>
      <c r="LY17" s="5">
        <f t="shared" si="134"/>
        <v>0</v>
      </c>
      <c r="LZ17" s="29">
        <f t="shared" si="135"/>
        <v>0</v>
      </c>
      <c r="MA17" s="5">
        <f t="shared" si="136"/>
        <v>6371303</v>
      </c>
      <c r="MB17" s="29">
        <f t="shared" si="137"/>
        <v>0</v>
      </c>
      <c r="MC17" s="5">
        <f t="shared" si="138"/>
        <v>235203</v>
      </c>
      <c r="MD17" s="29">
        <f t="shared" si="139"/>
        <v>0</v>
      </c>
      <c r="ME17" s="5">
        <f t="shared" si="140"/>
        <v>0</v>
      </c>
      <c r="MF17" s="29">
        <f t="shared" si="141"/>
        <v>0</v>
      </c>
      <c r="MG17" s="5">
        <f t="shared" si="142"/>
        <v>437995</v>
      </c>
      <c r="MH17" s="29">
        <f t="shared" si="143"/>
        <v>0</v>
      </c>
      <c r="MI17" s="5">
        <f t="shared" si="144"/>
        <v>39228</v>
      </c>
      <c r="MJ17" s="29">
        <f t="shared" si="145"/>
        <v>0</v>
      </c>
      <c r="MK17" s="5">
        <f t="shared" si="146"/>
        <v>4920318</v>
      </c>
      <c r="ML17" s="29">
        <f t="shared" si="147"/>
        <v>0</v>
      </c>
      <c r="MM17" s="5">
        <f t="shared" si="148"/>
        <v>67783797</v>
      </c>
      <c r="MN17" s="29">
        <f t="shared" si="149"/>
        <v>0</v>
      </c>
      <c r="MO17" s="5">
        <f t="shared" si="150"/>
        <v>2218483</v>
      </c>
      <c r="MP17" s="29">
        <f t="shared" si="151"/>
        <v>0</v>
      </c>
      <c r="MQ17" s="5">
        <f t="shared" si="152"/>
        <v>70002280</v>
      </c>
      <c r="MR17" s="29">
        <f t="shared" si="153"/>
        <v>0</v>
      </c>
      <c r="MT17" s="5">
        <f t="shared" si="76"/>
        <v>0</v>
      </c>
      <c r="MV17" s="4">
        <f t="shared" si="77"/>
        <v>0</v>
      </c>
    </row>
    <row r="18" spans="1:360" x14ac:dyDescent="0.15">
      <c r="A18" s="18" t="s">
        <v>279</v>
      </c>
      <c r="B18" s="28" t="s">
        <v>461</v>
      </c>
      <c r="C18" s="47">
        <v>181464</v>
      </c>
      <c r="D18" s="48">
        <v>2012</v>
      </c>
      <c r="E18" s="49">
        <v>1</v>
      </c>
      <c r="F18" s="49">
        <v>4</v>
      </c>
      <c r="G18" s="50">
        <v>13153</v>
      </c>
      <c r="H18" s="50">
        <v>11604</v>
      </c>
      <c r="I18" s="51">
        <v>1066983109</v>
      </c>
      <c r="J18" s="51"/>
      <c r="K18" s="51">
        <v>4411676</v>
      </c>
      <c r="L18" s="51"/>
      <c r="M18" s="51">
        <v>56476879</v>
      </c>
      <c r="N18" s="51"/>
      <c r="O18" s="51">
        <v>48516221</v>
      </c>
      <c r="P18" s="51"/>
      <c r="Q18" s="51">
        <v>712651066</v>
      </c>
      <c r="R18" s="51"/>
      <c r="S18" s="51">
        <v>864711148</v>
      </c>
      <c r="T18" s="51"/>
      <c r="U18" s="51">
        <v>21066</v>
      </c>
      <c r="V18" s="51"/>
      <c r="W18" s="51">
        <v>42244</v>
      </c>
      <c r="X18" s="51"/>
      <c r="Y18" s="51">
        <v>24670</v>
      </c>
      <c r="Z18" s="51"/>
      <c r="AA18" s="51">
        <v>46604</v>
      </c>
      <c r="AB18" s="51"/>
      <c r="AC18" s="72">
        <v>7</v>
      </c>
      <c r="AD18" s="72">
        <v>9</v>
      </c>
      <c r="AE18" s="72">
        <v>0</v>
      </c>
      <c r="AF18" s="29">
        <v>5131604</v>
      </c>
      <c r="AG18" s="29">
        <v>2924127</v>
      </c>
      <c r="AH18" s="29">
        <v>672317</v>
      </c>
      <c r="AI18" s="29">
        <v>285184</v>
      </c>
      <c r="AJ18" s="29">
        <v>692086.5</v>
      </c>
      <c r="AK18" s="73">
        <v>4</v>
      </c>
      <c r="AL18" s="29">
        <v>553669.19999999995</v>
      </c>
      <c r="AM18" s="73">
        <v>5</v>
      </c>
      <c r="AN18" s="29">
        <v>206250.67</v>
      </c>
      <c r="AO18" s="73">
        <v>6</v>
      </c>
      <c r="AP18" s="29">
        <v>176786.29</v>
      </c>
      <c r="AQ18" s="73">
        <v>7</v>
      </c>
      <c r="AR18" s="29">
        <v>233345.47</v>
      </c>
      <c r="AS18" s="73">
        <v>17</v>
      </c>
      <c r="AT18" s="29">
        <v>188898.71</v>
      </c>
      <c r="AU18" s="73">
        <v>21</v>
      </c>
      <c r="AV18" s="29">
        <v>82397.820000000007</v>
      </c>
      <c r="AW18" s="73">
        <v>13</v>
      </c>
      <c r="AX18" s="29">
        <v>63009.94</v>
      </c>
      <c r="AY18" s="73">
        <v>17</v>
      </c>
      <c r="AZ18" s="97">
        <v>12404545</v>
      </c>
      <c r="BA18" s="97">
        <v>1220154</v>
      </c>
      <c r="BB18" s="97">
        <v>175450</v>
      </c>
      <c r="BC18" s="97">
        <v>26022</v>
      </c>
      <c r="BD18" s="97">
        <v>0</v>
      </c>
      <c r="BE18" s="97">
        <v>13826171</v>
      </c>
      <c r="BF18" s="97">
        <v>0</v>
      </c>
      <c r="BG18" s="97">
        <v>0</v>
      </c>
      <c r="BH18" s="97">
        <v>0</v>
      </c>
      <c r="BI18" s="97">
        <v>0</v>
      </c>
      <c r="BJ18" s="97">
        <v>1554720</v>
      </c>
      <c r="BK18" s="97">
        <v>1554720</v>
      </c>
      <c r="BL18" s="97">
        <v>1900000</v>
      </c>
      <c r="BM18" s="97">
        <v>0</v>
      </c>
      <c r="BN18" s="97">
        <v>2000</v>
      </c>
      <c r="BO18" s="97">
        <v>0</v>
      </c>
      <c r="BP18" s="97">
        <v>0</v>
      </c>
      <c r="BQ18" s="97">
        <v>1902000</v>
      </c>
      <c r="BR18" s="97">
        <v>5740016</v>
      </c>
      <c r="BS18" s="97">
        <v>210849</v>
      </c>
      <c r="BT18" s="97">
        <v>42212</v>
      </c>
      <c r="BU18" s="97">
        <v>517083</v>
      </c>
      <c r="BV18" s="97">
        <v>6002385</v>
      </c>
      <c r="BW18" s="97">
        <v>12512545</v>
      </c>
      <c r="BX18" s="97">
        <v>0</v>
      </c>
      <c r="BY18" s="97">
        <v>0</v>
      </c>
      <c r="BZ18" s="97">
        <v>0</v>
      </c>
      <c r="CA18" s="97">
        <v>0</v>
      </c>
      <c r="CB18" s="97">
        <v>0</v>
      </c>
      <c r="CC18" s="97">
        <v>0</v>
      </c>
      <c r="CD18" s="97">
        <v>0</v>
      </c>
      <c r="CE18" s="97">
        <v>0</v>
      </c>
      <c r="CF18" s="97">
        <v>0</v>
      </c>
      <c r="CG18" s="97">
        <v>0</v>
      </c>
      <c r="CH18" s="97">
        <v>0</v>
      </c>
      <c r="CI18" s="97">
        <v>0</v>
      </c>
      <c r="CJ18" s="97">
        <v>0</v>
      </c>
      <c r="CK18" s="97">
        <v>0</v>
      </c>
      <c r="CL18" s="97">
        <v>0</v>
      </c>
      <c r="CM18" s="97">
        <v>0</v>
      </c>
      <c r="CN18" s="97">
        <v>14162882</v>
      </c>
      <c r="CO18" s="97">
        <v>14162882</v>
      </c>
      <c r="CP18" s="97">
        <v>0</v>
      </c>
      <c r="CQ18" s="97">
        <v>0</v>
      </c>
      <c r="CR18" s="97">
        <v>0</v>
      </c>
      <c r="CS18" s="97">
        <v>0</v>
      </c>
      <c r="CT18" s="97">
        <v>197794</v>
      </c>
      <c r="CU18" s="97">
        <v>197794</v>
      </c>
      <c r="CV18" s="97">
        <v>2954081</v>
      </c>
      <c r="CW18" s="97">
        <v>583985</v>
      </c>
      <c r="CX18" s="97">
        <v>7823</v>
      </c>
      <c r="CY18" s="97">
        <v>40250</v>
      </c>
      <c r="CZ18" s="97">
        <v>735549</v>
      </c>
      <c r="DA18" s="97">
        <v>4321688</v>
      </c>
      <c r="DB18" s="97">
        <v>40000</v>
      </c>
      <c r="DC18" s="97">
        <v>61494</v>
      </c>
      <c r="DD18" s="97">
        <v>61494</v>
      </c>
      <c r="DE18" s="97">
        <v>0</v>
      </c>
      <c r="DF18" s="97">
        <v>0</v>
      </c>
      <c r="DG18" s="97">
        <v>162988</v>
      </c>
      <c r="DH18" s="97">
        <v>707290</v>
      </c>
      <c r="DI18" s="97">
        <v>81955</v>
      </c>
      <c r="DJ18" s="97">
        <v>23045</v>
      </c>
      <c r="DK18" s="97">
        <v>14648</v>
      </c>
      <c r="DL18" s="97">
        <v>495681</v>
      </c>
      <c r="DM18" s="97">
        <v>1322619</v>
      </c>
      <c r="DN18" s="97">
        <v>79528</v>
      </c>
      <c r="DO18" s="97">
        <v>0</v>
      </c>
      <c r="DP18" s="97">
        <v>0</v>
      </c>
      <c r="DQ18" s="97">
        <v>0</v>
      </c>
      <c r="DR18" s="97">
        <v>5028522</v>
      </c>
      <c r="DS18" s="97">
        <v>5108050</v>
      </c>
      <c r="DT18" s="97">
        <v>75442</v>
      </c>
      <c r="DU18" s="97">
        <v>122116</v>
      </c>
      <c r="DV18" s="98">
        <v>94499</v>
      </c>
      <c r="DW18" s="97">
        <v>359798</v>
      </c>
      <c r="DX18" s="97">
        <v>0</v>
      </c>
      <c r="DY18" s="97">
        <v>651855</v>
      </c>
      <c r="DZ18" s="97">
        <v>285900</v>
      </c>
      <c r="EA18" s="97">
        <v>18900</v>
      </c>
      <c r="EB18" s="97">
        <v>19750</v>
      </c>
      <c r="EC18" s="97">
        <v>380361</v>
      </c>
      <c r="ED18" s="97">
        <v>107800</v>
      </c>
      <c r="EE18" s="97">
        <v>812711</v>
      </c>
      <c r="EF18" s="97">
        <v>44545</v>
      </c>
      <c r="EG18" s="97">
        <v>4250</v>
      </c>
      <c r="EH18" s="97">
        <v>0</v>
      </c>
      <c r="EI18" s="97">
        <v>5818</v>
      </c>
      <c r="EJ18" s="97">
        <v>508232</v>
      </c>
      <c r="EK18" s="97">
        <v>562845</v>
      </c>
      <c r="EL18" s="97">
        <v>24231347</v>
      </c>
      <c r="EM18" s="97">
        <v>2303703</v>
      </c>
      <c r="EN18" s="97">
        <v>426273</v>
      </c>
      <c r="EO18" s="97">
        <v>1343980</v>
      </c>
      <c r="EP18" s="97">
        <v>28793565</v>
      </c>
      <c r="EQ18" s="97">
        <v>57098868</v>
      </c>
      <c r="ER18" s="97">
        <v>3796068</v>
      </c>
      <c r="ES18" s="97">
        <v>527297</v>
      </c>
      <c r="ET18" s="97">
        <v>495070</v>
      </c>
      <c r="EU18" s="97">
        <v>3237296</v>
      </c>
      <c r="EV18" s="97">
        <v>0</v>
      </c>
      <c r="EW18" s="97">
        <v>8055731</v>
      </c>
      <c r="EX18" s="97">
        <v>200000</v>
      </c>
      <c r="EY18" s="97">
        <v>180000</v>
      </c>
      <c r="EZ18" s="97">
        <v>89000</v>
      </c>
      <c r="FA18" s="97">
        <v>2000</v>
      </c>
      <c r="FB18" s="97">
        <v>0</v>
      </c>
      <c r="FC18" s="97">
        <v>471000</v>
      </c>
      <c r="FD18" s="97">
        <v>4312274</v>
      </c>
      <c r="FE18" s="97">
        <v>1957812</v>
      </c>
      <c r="FF18" s="97">
        <v>959997</v>
      </c>
      <c r="FG18" s="97">
        <v>1813809</v>
      </c>
      <c r="FH18" s="97">
        <v>0</v>
      </c>
      <c r="FI18" s="97">
        <v>9043892</v>
      </c>
      <c r="FJ18" s="97">
        <v>0</v>
      </c>
      <c r="FK18" s="97">
        <v>0</v>
      </c>
      <c r="FL18" s="97">
        <v>0</v>
      </c>
      <c r="FM18" s="97">
        <v>0</v>
      </c>
      <c r="FN18" s="97">
        <v>0</v>
      </c>
      <c r="FO18" s="97">
        <v>0</v>
      </c>
      <c r="FP18" s="97">
        <v>506077</v>
      </c>
      <c r="FQ18" s="97">
        <v>284540</v>
      </c>
      <c r="FR18" s="97">
        <v>284939</v>
      </c>
      <c r="FS18" s="97">
        <f>844370+544472-FP18-FQ18-FR18</f>
        <v>313286</v>
      </c>
      <c r="FT18" s="97">
        <v>7659302</v>
      </c>
      <c r="FU18" s="97">
        <v>9048144</v>
      </c>
      <c r="FV18" s="97">
        <v>0</v>
      </c>
      <c r="FW18" s="97">
        <v>0</v>
      </c>
      <c r="FX18" s="97">
        <v>0</v>
      </c>
      <c r="FY18" s="97">
        <v>0</v>
      </c>
      <c r="FZ18" s="97">
        <v>0</v>
      </c>
      <c r="GA18" s="97">
        <v>0</v>
      </c>
      <c r="GB18" s="97">
        <v>0</v>
      </c>
      <c r="GC18" s="97">
        <v>0</v>
      </c>
      <c r="GD18" s="97">
        <v>0</v>
      </c>
      <c r="GE18" s="97">
        <v>0</v>
      </c>
      <c r="GF18" s="97">
        <v>0</v>
      </c>
      <c r="GG18" s="97">
        <v>0</v>
      </c>
      <c r="GH18" s="97">
        <v>500508</v>
      </c>
      <c r="GI18" s="97">
        <v>127515</v>
      </c>
      <c r="GJ18" s="97">
        <v>123194</v>
      </c>
      <c r="GK18" s="97">
        <v>206284</v>
      </c>
      <c r="GL18" s="97">
        <v>6720</v>
      </c>
      <c r="GM18" s="97">
        <v>964221</v>
      </c>
      <c r="GN18" s="97">
        <v>1180153</v>
      </c>
      <c r="GO18" s="97">
        <v>513741</v>
      </c>
      <c r="GP18" s="97">
        <v>393761</v>
      </c>
      <c r="GQ18" s="97">
        <v>1008834</v>
      </c>
      <c r="GR18" s="97">
        <v>162</v>
      </c>
      <c r="GS18" s="97">
        <v>3096651</v>
      </c>
      <c r="GT18" s="97">
        <v>481590</v>
      </c>
      <c r="GU18" s="97">
        <v>70844</v>
      </c>
      <c r="GV18" s="97">
        <v>69258</v>
      </c>
      <c r="GW18" s="97">
        <v>418961</v>
      </c>
      <c r="GX18" s="97">
        <v>168675</v>
      </c>
      <c r="GY18" s="97">
        <v>1209328</v>
      </c>
      <c r="GZ18" s="97">
        <v>2113280</v>
      </c>
      <c r="HA18" s="97">
        <v>478914</v>
      </c>
      <c r="HB18" s="97">
        <v>349735</v>
      </c>
      <c r="HC18" s="97">
        <v>161533</v>
      </c>
      <c r="HD18" s="97">
        <v>0</v>
      </c>
      <c r="HE18" s="97">
        <v>3103462</v>
      </c>
      <c r="HF18" s="97">
        <v>0</v>
      </c>
      <c r="HG18" s="97">
        <v>0</v>
      </c>
      <c r="HH18" s="97">
        <v>3575</v>
      </c>
      <c r="HI18" s="97">
        <v>52666</v>
      </c>
      <c r="HJ18" s="97">
        <v>2184978</v>
      </c>
      <c r="HK18" s="97">
        <v>2241219</v>
      </c>
      <c r="HL18" s="97">
        <v>46330</v>
      </c>
      <c r="HM18" s="97">
        <v>36497</v>
      </c>
      <c r="HN18" s="97">
        <v>22757</v>
      </c>
      <c r="HO18" s="97">
        <v>179998</v>
      </c>
      <c r="HP18" s="97">
        <v>4</v>
      </c>
      <c r="HQ18" s="97">
        <v>285586</v>
      </c>
      <c r="HR18" s="97">
        <v>22115</v>
      </c>
      <c r="HS18" s="97">
        <v>3136</v>
      </c>
      <c r="HT18" s="97">
        <v>2433</v>
      </c>
      <c r="HU18" s="97">
        <v>633416</v>
      </c>
      <c r="HV18" s="97">
        <v>9589526</v>
      </c>
      <c r="HW18" s="97">
        <v>10250626</v>
      </c>
      <c r="HX18" s="97">
        <v>0</v>
      </c>
      <c r="HY18" s="97">
        <v>0</v>
      </c>
      <c r="HZ18" s="97">
        <v>0</v>
      </c>
      <c r="IA18" s="97">
        <v>0</v>
      </c>
      <c r="IB18" s="97">
        <v>259146</v>
      </c>
      <c r="IC18" s="97">
        <v>259146</v>
      </c>
      <c r="ID18" s="97">
        <v>0</v>
      </c>
      <c r="IE18" s="97">
        <v>0</v>
      </c>
      <c r="IF18" s="97">
        <v>0</v>
      </c>
      <c r="IG18" s="97">
        <v>0</v>
      </c>
      <c r="IH18" s="97">
        <v>197794</v>
      </c>
      <c r="II18" s="97">
        <v>197794</v>
      </c>
      <c r="IJ18" s="97">
        <v>191629</v>
      </c>
      <c r="IK18" s="97">
        <v>78668</v>
      </c>
      <c r="IL18" s="97">
        <v>26157</v>
      </c>
      <c r="IM18" s="97">
        <v>153210</v>
      </c>
      <c r="IN18" s="97">
        <v>307715</v>
      </c>
      <c r="IO18" s="97">
        <v>757379</v>
      </c>
      <c r="IP18" s="97">
        <v>1870</v>
      </c>
      <c r="IQ18" s="97">
        <v>705</v>
      </c>
      <c r="IR18" s="97">
        <v>2655</v>
      </c>
      <c r="IS18" s="97">
        <v>8347</v>
      </c>
      <c r="IT18" s="97">
        <v>35052</v>
      </c>
      <c r="IU18" s="97">
        <v>48629</v>
      </c>
      <c r="IV18" s="97">
        <v>873909</v>
      </c>
      <c r="IW18" s="97">
        <v>231110</v>
      </c>
      <c r="IX18" s="97">
        <v>146245</v>
      </c>
      <c r="IY18" s="97">
        <v>449485</v>
      </c>
      <c r="IZ18" s="97">
        <v>3523689</v>
      </c>
      <c r="JA18" s="97">
        <v>5224438</v>
      </c>
      <c r="JB18" s="97">
        <v>14225803</v>
      </c>
      <c r="JC18" s="97">
        <v>4490779</v>
      </c>
      <c r="JD18" s="97">
        <v>2968776</v>
      </c>
      <c r="JE18" s="97">
        <v>8639125</v>
      </c>
      <c r="JF18" s="97">
        <v>23932763</v>
      </c>
      <c r="JG18" s="97">
        <v>54257246</v>
      </c>
      <c r="JH18" s="97">
        <v>0</v>
      </c>
      <c r="JI18" s="97">
        <v>0</v>
      </c>
      <c r="JJ18" s="97">
        <v>0</v>
      </c>
      <c r="JK18" s="97">
        <v>0</v>
      </c>
      <c r="JL18" s="97">
        <v>0</v>
      </c>
      <c r="JM18" s="97">
        <v>0</v>
      </c>
      <c r="JN18" s="97">
        <v>14225803</v>
      </c>
      <c r="JO18" s="97">
        <v>4490779</v>
      </c>
      <c r="JP18" s="97">
        <v>2968776</v>
      </c>
      <c r="JQ18" s="97">
        <v>8639125</v>
      </c>
      <c r="JR18" s="97">
        <v>23932763</v>
      </c>
      <c r="JS18" s="97">
        <v>54257246</v>
      </c>
      <c r="JT18" s="11"/>
      <c r="JU18" s="5">
        <f t="shared" si="78"/>
        <v>13826171</v>
      </c>
      <c r="JV18" s="29">
        <f t="shared" si="79"/>
        <v>0</v>
      </c>
      <c r="JW18" s="5">
        <f t="shared" si="80"/>
        <v>1554720</v>
      </c>
      <c r="JX18" s="29">
        <f t="shared" si="81"/>
        <v>0</v>
      </c>
      <c r="JY18" s="5">
        <f t="shared" si="82"/>
        <v>1902000</v>
      </c>
      <c r="JZ18" s="29">
        <f t="shared" si="83"/>
        <v>0</v>
      </c>
      <c r="KA18" s="5">
        <f t="shared" si="84"/>
        <v>12512545</v>
      </c>
      <c r="KB18" s="29">
        <f t="shared" si="85"/>
        <v>0</v>
      </c>
      <c r="KC18" s="5">
        <f t="shared" si="86"/>
        <v>0</v>
      </c>
      <c r="KD18" s="29">
        <f t="shared" si="87"/>
        <v>0</v>
      </c>
      <c r="KE18" s="5">
        <f t="shared" si="88"/>
        <v>0</v>
      </c>
      <c r="KF18" s="29">
        <f t="shared" si="89"/>
        <v>0</v>
      </c>
      <c r="KG18" s="5">
        <f t="shared" si="90"/>
        <v>14162882</v>
      </c>
      <c r="KH18" s="29">
        <f t="shared" si="91"/>
        <v>0</v>
      </c>
      <c r="KI18" s="5">
        <f t="shared" si="92"/>
        <v>197794</v>
      </c>
      <c r="KJ18" s="29">
        <f t="shared" si="93"/>
        <v>0</v>
      </c>
      <c r="KK18" s="5">
        <f t="shared" si="94"/>
        <v>4321688</v>
      </c>
      <c r="KL18" s="29">
        <f t="shared" si="95"/>
        <v>0</v>
      </c>
      <c r="KM18" s="5">
        <f t="shared" si="96"/>
        <v>162988</v>
      </c>
      <c r="KN18" s="29">
        <f t="shared" si="97"/>
        <v>0</v>
      </c>
      <c r="KO18" s="5">
        <f t="shared" si="98"/>
        <v>1322619</v>
      </c>
      <c r="KP18" s="29">
        <f t="shared" si="99"/>
        <v>0</v>
      </c>
      <c r="KQ18" s="5">
        <f t="shared" si="100"/>
        <v>5108050</v>
      </c>
      <c r="KR18" s="29">
        <f t="shared" si="101"/>
        <v>0</v>
      </c>
      <c r="KS18" s="5">
        <f t="shared" si="102"/>
        <v>651855</v>
      </c>
      <c r="KT18" s="29">
        <f t="shared" si="103"/>
        <v>0</v>
      </c>
      <c r="KU18" s="5">
        <f t="shared" si="104"/>
        <v>812711</v>
      </c>
      <c r="KV18" s="29">
        <f t="shared" si="105"/>
        <v>0</v>
      </c>
      <c r="KW18" s="5">
        <f t="shared" si="106"/>
        <v>562845</v>
      </c>
      <c r="KX18" s="29">
        <f t="shared" si="107"/>
        <v>0</v>
      </c>
      <c r="KY18" s="5">
        <f t="shared" si="108"/>
        <v>57098868</v>
      </c>
      <c r="KZ18" s="29">
        <f t="shared" si="109"/>
        <v>0</v>
      </c>
      <c r="LA18" s="5">
        <f t="shared" si="110"/>
        <v>8055731</v>
      </c>
      <c r="LB18" s="29">
        <f t="shared" si="111"/>
        <v>0</v>
      </c>
      <c r="LC18" s="5">
        <f t="shared" si="112"/>
        <v>471000</v>
      </c>
      <c r="LD18" s="29">
        <f t="shared" si="113"/>
        <v>0</v>
      </c>
      <c r="LE18" s="5">
        <f t="shared" si="114"/>
        <v>9043892</v>
      </c>
      <c r="LF18" s="29">
        <f t="shared" si="115"/>
        <v>0</v>
      </c>
      <c r="LG18" s="5">
        <f t="shared" si="116"/>
        <v>0</v>
      </c>
      <c r="LH18" s="29">
        <f t="shared" si="117"/>
        <v>0</v>
      </c>
      <c r="LI18" s="5">
        <f t="shared" si="118"/>
        <v>9048144</v>
      </c>
      <c r="LJ18" s="29">
        <f t="shared" si="119"/>
        <v>0</v>
      </c>
      <c r="LK18" s="5">
        <f t="shared" si="120"/>
        <v>0</v>
      </c>
      <c r="LL18" s="29">
        <f t="shared" si="121"/>
        <v>0</v>
      </c>
      <c r="LM18" s="5">
        <f t="shared" si="122"/>
        <v>0</v>
      </c>
      <c r="LN18" s="29">
        <f t="shared" si="123"/>
        <v>0</v>
      </c>
      <c r="LO18" s="5">
        <f t="shared" si="124"/>
        <v>964221</v>
      </c>
      <c r="LP18" s="29">
        <f t="shared" si="125"/>
        <v>0</v>
      </c>
      <c r="LQ18" s="5">
        <f t="shared" si="126"/>
        <v>3096651</v>
      </c>
      <c r="LR18" s="29">
        <f t="shared" si="127"/>
        <v>0</v>
      </c>
      <c r="LS18" s="5">
        <f t="shared" si="128"/>
        <v>1209328</v>
      </c>
      <c r="LT18" s="29">
        <f t="shared" si="129"/>
        <v>0</v>
      </c>
      <c r="LU18" s="5">
        <f t="shared" si="130"/>
        <v>3103462</v>
      </c>
      <c r="LV18" s="29">
        <f t="shared" si="131"/>
        <v>0</v>
      </c>
      <c r="LW18" s="5">
        <f t="shared" si="132"/>
        <v>2241219</v>
      </c>
      <c r="LX18" s="29">
        <f t="shared" si="133"/>
        <v>0</v>
      </c>
      <c r="LY18" s="5">
        <f t="shared" si="134"/>
        <v>285586</v>
      </c>
      <c r="LZ18" s="29">
        <f t="shared" si="135"/>
        <v>0</v>
      </c>
      <c r="MA18" s="5">
        <f t="shared" si="136"/>
        <v>10250626</v>
      </c>
      <c r="MB18" s="29">
        <f t="shared" si="137"/>
        <v>0</v>
      </c>
      <c r="MC18" s="5">
        <f t="shared" si="138"/>
        <v>259146</v>
      </c>
      <c r="MD18" s="29">
        <f t="shared" si="139"/>
        <v>0</v>
      </c>
      <c r="ME18" s="5">
        <f t="shared" si="140"/>
        <v>197794</v>
      </c>
      <c r="MF18" s="29">
        <f t="shared" si="141"/>
        <v>0</v>
      </c>
      <c r="MG18" s="5">
        <f t="shared" si="142"/>
        <v>757379</v>
      </c>
      <c r="MH18" s="29">
        <f t="shared" si="143"/>
        <v>0</v>
      </c>
      <c r="MI18" s="5">
        <f t="shared" si="144"/>
        <v>48629</v>
      </c>
      <c r="MJ18" s="29">
        <f t="shared" si="145"/>
        <v>0</v>
      </c>
      <c r="MK18" s="5">
        <f t="shared" si="146"/>
        <v>5224438</v>
      </c>
      <c r="ML18" s="29">
        <f t="shared" si="147"/>
        <v>0</v>
      </c>
      <c r="MM18" s="5">
        <f t="shared" si="148"/>
        <v>54257246</v>
      </c>
      <c r="MN18" s="29">
        <f t="shared" si="149"/>
        <v>0</v>
      </c>
      <c r="MO18" s="5">
        <f t="shared" si="150"/>
        <v>0</v>
      </c>
      <c r="MP18" s="29">
        <f t="shared" si="151"/>
        <v>0</v>
      </c>
      <c r="MQ18" s="5">
        <f t="shared" si="152"/>
        <v>54257246</v>
      </c>
      <c r="MR18" s="29">
        <f t="shared" si="153"/>
        <v>0</v>
      </c>
      <c r="MT18" s="5">
        <f t="shared" si="76"/>
        <v>0</v>
      </c>
      <c r="MV18" s="4">
        <f t="shared" si="77"/>
        <v>0</v>
      </c>
    </row>
    <row r="19" spans="1:360" x14ac:dyDescent="0.15">
      <c r="A19" s="156" t="s">
        <v>280</v>
      </c>
      <c r="B19" s="28" t="s">
        <v>405</v>
      </c>
      <c r="C19" s="48">
        <v>126818</v>
      </c>
      <c r="D19" s="48">
        <v>2012</v>
      </c>
      <c r="E19" s="49">
        <v>1</v>
      </c>
      <c r="F19" s="49">
        <v>10</v>
      </c>
      <c r="G19" s="50">
        <v>9508</v>
      </c>
      <c r="H19" s="50">
        <v>10459</v>
      </c>
      <c r="I19" s="51">
        <v>892825994</v>
      </c>
      <c r="J19" s="51"/>
      <c r="K19" s="51">
        <v>379469</v>
      </c>
      <c r="L19" s="51"/>
      <c r="M19" s="51">
        <v>28215208</v>
      </c>
      <c r="N19" s="51"/>
      <c r="O19" s="51">
        <v>2215000</v>
      </c>
      <c r="P19" s="51"/>
      <c r="Q19" s="51">
        <v>548761599</v>
      </c>
      <c r="R19" s="51"/>
      <c r="S19" s="51">
        <v>354894165</v>
      </c>
      <c r="T19" s="51"/>
      <c r="U19" s="51">
        <v>18800</v>
      </c>
      <c r="V19" s="51"/>
      <c r="W19" s="51">
        <v>34500</v>
      </c>
      <c r="X19" s="51"/>
      <c r="Y19" s="51">
        <v>21062</v>
      </c>
      <c r="Z19" s="51"/>
      <c r="AA19" s="51">
        <v>37462</v>
      </c>
      <c r="AB19" s="51"/>
      <c r="AC19" s="74">
        <v>6</v>
      </c>
      <c r="AD19" s="74">
        <v>10</v>
      </c>
      <c r="AE19" s="74">
        <v>0</v>
      </c>
      <c r="AF19" s="29">
        <v>3653193</v>
      </c>
      <c r="AG19" s="29">
        <v>2552377</v>
      </c>
      <c r="AH19" s="29">
        <v>428900</v>
      </c>
      <c r="AI19" s="29">
        <v>161777</v>
      </c>
      <c r="AJ19" s="29">
        <f>2245825/AK19</f>
        <v>561456.25</v>
      </c>
      <c r="AK19" s="73">
        <v>4</v>
      </c>
      <c r="AL19" s="29">
        <f>2245825/AM19</f>
        <v>449165</v>
      </c>
      <c r="AM19" s="73">
        <v>5</v>
      </c>
      <c r="AN19" s="29">
        <f>808226/AO19</f>
        <v>101028.25</v>
      </c>
      <c r="AO19" s="73">
        <v>8</v>
      </c>
      <c r="AP19" s="29">
        <f>808226/AQ19</f>
        <v>89802.888888888891</v>
      </c>
      <c r="AQ19" s="73">
        <v>9</v>
      </c>
      <c r="AR19" s="29">
        <f>2174526/AS19</f>
        <v>158147.34545454546</v>
      </c>
      <c r="AS19" s="73">
        <v>13.75</v>
      </c>
      <c r="AT19" s="29">
        <f>2174526/AU19</f>
        <v>135907.875</v>
      </c>
      <c r="AU19" s="73">
        <v>16</v>
      </c>
      <c r="AV19" s="29">
        <f>740782/AW19</f>
        <v>66141.25</v>
      </c>
      <c r="AW19" s="73">
        <v>11.2</v>
      </c>
      <c r="AX19" s="29">
        <f>740782/AY19</f>
        <v>52913</v>
      </c>
      <c r="AY19" s="73">
        <v>14</v>
      </c>
      <c r="AZ19" s="107">
        <v>2582430</v>
      </c>
      <c r="BA19" s="107">
        <v>380132</v>
      </c>
      <c r="BB19" s="107">
        <v>45686</v>
      </c>
      <c r="BC19" s="107">
        <v>101790</v>
      </c>
      <c r="BD19" s="107">
        <v>0</v>
      </c>
      <c r="BE19" s="107">
        <v>3110038</v>
      </c>
      <c r="BF19" s="107">
        <v>0</v>
      </c>
      <c r="BG19" s="107">
        <v>0</v>
      </c>
      <c r="BH19" s="107">
        <v>0</v>
      </c>
      <c r="BI19" s="107">
        <v>0</v>
      </c>
      <c r="BJ19" s="107">
        <v>5008595</v>
      </c>
      <c r="BK19" s="107">
        <v>5008595</v>
      </c>
      <c r="BL19" s="107">
        <v>0</v>
      </c>
      <c r="BM19" s="107">
        <v>110000</v>
      </c>
      <c r="BN19" s="107">
        <v>0</v>
      </c>
      <c r="BO19" s="107">
        <v>9260</v>
      </c>
      <c r="BP19" s="107">
        <v>0</v>
      </c>
      <c r="BQ19" s="107">
        <v>119260</v>
      </c>
      <c r="BR19" s="107">
        <v>95032</v>
      </c>
      <c r="BS19" s="107">
        <v>40227</v>
      </c>
      <c r="BT19" s="107">
        <v>12320</v>
      </c>
      <c r="BU19" s="107">
        <v>316487</v>
      </c>
      <c r="BV19" s="107">
        <v>2922095</v>
      </c>
      <c r="BW19" s="107">
        <v>3386161</v>
      </c>
      <c r="BX19" s="107">
        <v>25000</v>
      </c>
      <c r="BY19" s="107">
        <v>11600</v>
      </c>
      <c r="BZ19" s="107">
        <v>1200</v>
      </c>
      <c r="CA19" s="107">
        <v>0</v>
      </c>
      <c r="CB19" s="107">
        <v>0</v>
      </c>
      <c r="CC19" s="107">
        <v>37800</v>
      </c>
      <c r="CD19" s="97">
        <v>0</v>
      </c>
      <c r="CE19" s="97">
        <v>0</v>
      </c>
      <c r="CF19" s="97">
        <v>0</v>
      </c>
      <c r="CG19" s="97">
        <v>0</v>
      </c>
      <c r="CH19" s="97">
        <v>0</v>
      </c>
      <c r="CI19" s="97">
        <v>0</v>
      </c>
      <c r="CJ19" s="107">
        <v>0</v>
      </c>
      <c r="CK19" s="107">
        <v>0</v>
      </c>
      <c r="CL19" s="107">
        <v>0</v>
      </c>
      <c r="CM19" s="107">
        <v>0</v>
      </c>
      <c r="CN19" s="107">
        <v>7634152</v>
      </c>
      <c r="CO19" s="107">
        <v>7634152</v>
      </c>
      <c r="CP19" s="107">
        <v>782047</v>
      </c>
      <c r="CQ19" s="107">
        <v>182978</v>
      </c>
      <c r="CR19" s="107">
        <v>167698</v>
      </c>
      <c r="CS19" s="107">
        <v>260924</v>
      </c>
      <c r="CT19" s="107">
        <v>885848</v>
      </c>
      <c r="CU19" s="107">
        <v>2279495</v>
      </c>
      <c r="CV19" s="107">
        <v>0</v>
      </c>
      <c r="CW19" s="107">
        <v>102226</v>
      </c>
      <c r="CX19" s="107">
        <v>6000</v>
      </c>
      <c r="CY19" s="107">
        <v>26099</v>
      </c>
      <c r="CZ19" s="107">
        <v>3442140</v>
      </c>
      <c r="DA19" s="107">
        <v>3576465</v>
      </c>
      <c r="DB19" s="97">
        <v>0</v>
      </c>
      <c r="DC19" s="97">
        <v>0</v>
      </c>
      <c r="DD19" s="97">
        <v>0</v>
      </c>
      <c r="DE19" s="97">
        <v>0</v>
      </c>
      <c r="DF19" s="97">
        <v>0</v>
      </c>
      <c r="DG19" s="97">
        <v>0</v>
      </c>
      <c r="DH19" s="107">
        <v>336519</v>
      </c>
      <c r="DI19" s="107">
        <v>54842</v>
      </c>
      <c r="DJ19" s="107">
        <v>13606</v>
      </c>
      <c r="DK19" s="107">
        <v>22996</v>
      </c>
      <c r="DL19" s="107">
        <v>9949</v>
      </c>
      <c r="DM19" s="107">
        <v>437912</v>
      </c>
      <c r="DN19" s="107">
        <v>0</v>
      </c>
      <c r="DO19" s="107">
        <v>0</v>
      </c>
      <c r="DP19" s="107">
        <v>0</v>
      </c>
      <c r="DQ19" s="107">
        <v>0</v>
      </c>
      <c r="DR19" s="107">
        <v>2682363</v>
      </c>
      <c r="DS19" s="107">
        <v>2682363</v>
      </c>
      <c r="DT19" s="108">
        <v>111556</v>
      </c>
      <c r="DU19" s="108">
        <v>199193</v>
      </c>
      <c r="DV19" s="108">
        <v>275</v>
      </c>
      <c r="DW19" s="108">
        <v>296862</v>
      </c>
      <c r="DX19" s="108">
        <v>28365</v>
      </c>
      <c r="DY19" s="108">
        <v>636251</v>
      </c>
      <c r="DZ19" s="108">
        <v>51655</v>
      </c>
      <c r="EA19" s="108">
        <v>2651</v>
      </c>
      <c r="EB19" s="108">
        <v>696</v>
      </c>
      <c r="EC19" s="108">
        <v>67938</v>
      </c>
      <c r="ED19" s="108">
        <v>107533</v>
      </c>
      <c r="EE19" s="108">
        <v>230473</v>
      </c>
      <c r="EF19" s="108">
        <v>111531</v>
      </c>
      <c r="EG19" s="108">
        <v>356413</v>
      </c>
      <c r="EH19" s="108">
        <v>4620</v>
      </c>
      <c r="EI19" s="108">
        <v>70524</v>
      </c>
      <c r="EJ19" s="108">
        <v>1120826</v>
      </c>
      <c r="EK19" s="108">
        <v>1663914</v>
      </c>
      <c r="EL19" s="108">
        <v>4095770</v>
      </c>
      <c r="EM19" s="108">
        <v>1440262</v>
      </c>
      <c r="EN19" s="108">
        <v>252101</v>
      </c>
      <c r="EO19" s="108">
        <v>1172880</v>
      </c>
      <c r="EP19" s="108">
        <v>23841866</v>
      </c>
      <c r="EQ19" s="108">
        <v>30802879</v>
      </c>
      <c r="ER19" s="108">
        <v>2795703</v>
      </c>
      <c r="ES19" s="108">
        <v>440484</v>
      </c>
      <c r="ET19" s="108">
        <v>307953</v>
      </c>
      <c r="EU19" s="108">
        <v>2661430</v>
      </c>
      <c r="EV19" s="108">
        <v>171884</v>
      </c>
      <c r="EW19" s="108">
        <v>6377454</v>
      </c>
      <c r="EX19" s="108">
        <v>225000</v>
      </c>
      <c r="EY19" s="108">
        <v>236719</v>
      </c>
      <c r="EZ19" s="108">
        <v>6568</v>
      </c>
      <c r="FA19" s="108">
        <v>37856</v>
      </c>
      <c r="FB19" s="108">
        <v>89</v>
      </c>
      <c r="FC19" s="108">
        <v>506232</v>
      </c>
      <c r="FD19" s="108">
        <v>3061525</v>
      </c>
      <c r="FE19" s="108">
        <v>1106333</v>
      </c>
      <c r="FF19" s="108">
        <v>488819</v>
      </c>
      <c r="FG19" s="108">
        <v>1312682</v>
      </c>
      <c r="FH19" s="108">
        <v>0</v>
      </c>
      <c r="FI19" s="108">
        <v>5969359</v>
      </c>
      <c r="FJ19" s="108">
        <v>25000</v>
      </c>
      <c r="FK19" s="108">
        <v>11600</v>
      </c>
      <c r="FL19" s="108">
        <v>1200</v>
      </c>
      <c r="FM19" s="108">
        <v>0</v>
      </c>
      <c r="FN19" s="108">
        <v>0</v>
      </c>
      <c r="FO19" s="108">
        <v>37800</v>
      </c>
      <c r="FP19" s="108">
        <v>378258</v>
      </c>
      <c r="FQ19" s="108">
        <v>173700</v>
      </c>
      <c r="FR19" s="108">
        <v>71613</v>
      </c>
      <c r="FS19" s="108">
        <v>69554</v>
      </c>
      <c r="FT19" s="108">
        <v>3292865</v>
      </c>
      <c r="FU19" s="108">
        <v>3985990</v>
      </c>
      <c r="FV19" s="97">
        <v>0</v>
      </c>
      <c r="FW19" s="97">
        <v>0</v>
      </c>
      <c r="FX19" s="97">
        <v>0</v>
      </c>
      <c r="FY19" s="97">
        <v>0</v>
      </c>
      <c r="FZ19" s="97">
        <v>0</v>
      </c>
      <c r="GA19" s="97">
        <v>0</v>
      </c>
      <c r="GB19" s="108">
        <v>402724</v>
      </c>
      <c r="GC19" s="108">
        <v>0</v>
      </c>
      <c r="GD19" s="108">
        <v>0</v>
      </c>
      <c r="GE19" s="108">
        <v>0</v>
      </c>
      <c r="GF19" s="108">
        <v>0</v>
      </c>
      <c r="GG19" s="108">
        <v>402724</v>
      </c>
      <c r="GH19" s="108">
        <v>293003</v>
      </c>
      <c r="GI19" s="108">
        <v>118993</v>
      </c>
      <c r="GJ19" s="108">
        <v>80239</v>
      </c>
      <c r="GK19" s="108">
        <v>98442</v>
      </c>
      <c r="GL19" s="108">
        <v>293</v>
      </c>
      <c r="GM19" s="108">
        <v>590970</v>
      </c>
      <c r="GN19" s="108">
        <v>801549</v>
      </c>
      <c r="GO19" s="108">
        <v>239999</v>
      </c>
      <c r="GP19" s="108">
        <v>221326</v>
      </c>
      <c r="GQ19" s="108">
        <v>797202</v>
      </c>
      <c r="GR19" s="108">
        <v>0</v>
      </c>
      <c r="GS19" s="108">
        <v>2060076</v>
      </c>
      <c r="GT19" s="108">
        <v>465135</v>
      </c>
      <c r="GU19" s="108">
        <v>67746</v>
      </c>
      <c r="GV19" s="108">
        <v>60989</v>
      </c>
      <c r="GW19" s="108">
        <v>217400</v>
      </c>
      <c r="GX19" s="108">
        <v>39028</v>
      </c>
      <c r="GY19" s="108">
        <v>850298</v>
      </c>
      <c r="GZ19" s="108">
        <v>839387</v>
      </c>
      <c r="HA19" s="108">
        <v>230319</v>
      </c>
      <c r="HB19" s="108">
        <v>139554</v>
      </c>
      <c r="HC19" s="108">
        <v>100392</v>
      </c>
      <c r="HD19" s="108">
        <v>0</v>
      </c>
      <c r="HE19" s="108">
        <v>1309652</v>
      </c>
      <c r="HF19" s="108">
        <v>94498</v>
      </c>
      <c r="HG19" s="108">
        <v>17777</v>
      </c>
      <c r="HH19" s="108">
        <v>10693</v>
      </c>
      <c r="HI19" s="108">
        <v>44068</v>
      </c>
      <c r="HJ19" s="108">
        <v>1111042</v>
      </c>
      <c r="HK19" s="108">
        <v>1278078</v>
      </c>
      <c r="HL19" s="108">
        <v>88469</v>
      </c>
      <c r="HM19" s="108">
        <v>117898</v>
      </c>
      <c r="HN19" s="108">
        <v>-20290</v>
      </c>
      <c r="HO19" s="108">
        <v>168370</v>
      </c>
      <c r="HP19" s="108">
        <v>0</v>
      </c>
      <c r="HQ19" s="108">
        <v>354447</v>
      </c>
      <c r="HR19" s="108">
        <v>50650</v>
      </c>
      <c r="HS19" s="108">
        <v>184</v>
      </c>
      <c r="HT19" s="108">
        <v>0</v>
      </c>
      <c r="HU19" s="108">
        <v>105227</v>
      </c>
      <c r="HV19" s="108">
        <v>1042799</v>
      </c>
      <c r="HW19" s="108">
        <v>1198860</v>
      </c>
      <c r="HX19" s="108">
        <v>0</v>
      </c>
      <c r="HY19" s="108">
        <v>0</v>
      </c>
      <c r="HZ19" s="108">
        <v>0</v>
      </c>
      <c r="IA19" s="108">
        <v>0</v>
      </c>
      <c r="IB19" s="108">
        <v>82164</v>
      </c>
      <c r="IC19" s="108">
        <v>82164</v>
      </c>
      <c r="ID19" s="108">
        <v>782047</v>
      </c>
      <c r="IE19" s="108">
        <v>182978</v>
      </c>
      <c r="IF19" s="108">
        <v>167698</v>
      </c>
      <c r="IG19" s="108">
        <v>260924</v>
      </c>
      <c r="IH19" s="108">
        <v>885848</v>
      </c>
      <c r="II19" s="108">
        <v>2279495</v>
      </c>
      <c r="IJ19" s="108">
        <v>0</v>
      </c>
      <c r="IK19" s="108">
        <v>0</v>
      </c>
      <c r="IL19" s="108">
        <v>0</v>
      </c>
      <c r="IM19" s="108">
        <v>15</v>
      </c>
      <c r="IN19" s="108">
        <v>453630</v>
      </c>
      <c r="IO19" s="108">
        <v>453645</v>
      </c>
      <c r="IP19" s="108">
        <v>6678</v>
      </c>
      <c r="IQ19" s="108">
        <v>8488</v>
      </c>
      <c r="IR19" s="108">
        <v>802</v>
      </c>
      <c r="IS19" s="108">
        <v>23090</v>
      </c>
      <c r="IT19" s="108">
        <v>425030</v>
      </c>
      <c r="IU19" s="108">
        <v>464088</v>
      </c>
      <c r="IV19" s="108">
        <v>649928</v>
      </c>
      <c r="IW19" s="108">
        <v>91626</v>
      </c>
      <c r="IX19" s="108">
        <v>41174</v>
      </c>
      <c r="IY19" s="108">
        <v>110797</v>
      </c>
      <c r="IZ19" s="108">
        <v>1066290</v>
      </c>
      <c r="JA19" s="108">
        <v>1959815</v>
      </c>
      <c r="JB19" s="108">
        <v>10959554</v>
      </c>
      <c r="JC19" s="108">
        <v>3044844</v>
      </c>
      <c r="JD19" s="108">
        <v>1578338</v>
      </c>
      <c r="JE19" s="108">
        <v>6007449</v>
      </c>
      <c r="JF19" s="108">
        <v>8570962</v>
      </c>
      <c r="JG19" s="108">
        <v>30161147</v>
      </c>
      <c r="JH19" s="97">
        <v>0</v>
      </c>
      <c r="JI19" s="97">
        <v>0</v>
      </c>
      <c r="JJ19" s="97">
        <v>0</v>
      </c>
      <c r="JK19" s="97">
        <v>0</v>
      </c>
      <c r="JL19" s="97">
        <v>0</v>
      </c>
      <c r="JM19" s="97">
        <v>0</v>
      </c>
      <c r="JN19" s="108">
        <v>10959554</v>
      </c>
      <c r="JO19" s="108">
        <v>3044844</v>
      </c>
      <c r="JP19" s="108">
        <v>1578338</v>
      </c>
      <c r="JQ19" s="108">
        <v>6007449</v>
      </c>
      <c r="JR19" s="108">
        <v>8570962</v>
      </c>
      <c r="JS19" s="108">
        <v>30161147</v>
      </c>
      <c r="JT19" s="10"/>
      <c r="JU19" s="5">
        <f t="shared" si="78"/>
        <v>3110038</v>
      </c>
      <c r="JV19" s="29">
        <f t="shared" si="79"/>
        <v>0</v>
      </c>
      <c r="JW19" s="5">
        <f t="shared" si="80"/>
        <v>5008595</v>
      </c>
      <c r="JX19" s="29">
        <f t="shared" si="81"/>
        <v>0</v>
      </c>
      <c r="JY19" s="5">
        <f t="shared" si="82"/>
        <v>119260</v>
      </c>
      <c r="JZ19" s="29">
        <f t="shared" si="83"/>
        <v>0</v>
      </c>
      <c r="KA19" s="5">
        <f t="shared" si="84"/>
        <v>3386161</v>
      </c>
      <c r="KB19" s="29">
        <f t="shared" si="85"/>
        <v>0</v>
      </c>
      <c r="KC19" s="5">
        <f t="shared" si="86"/>
        <v>37800</v>
      </c>
      <c r="KD19" s="29">
        <f t="shared" si="87"/>
        <v>0</v>
      </c>
      <c r="KE19" s="5">
        <f t="shared" si="88"/>
        <v>0</v>
      </c>
      <c r="KF19" s="29">
        <f t="shared" si="89"/>
        <v>0</v>
      </c>
      <c r="KG19" s="5">
        <f t="shared" si="90"/>
        <v>7634152</v>
      </c>
      <c r="KH19" s="29">
        <f t="shared" si="91"/>
        <v>0</v>
      </c>
      <c r="KI19" s="5">
        <f t="shared" si="92"/>
        <v>2279495</v>
      </c>
      <c r="KJ19" s="29">
        <f t="shared" si="93"/>
        <v>0</v>
      </c>
      <c r="KK19" s="5">
        <f t="shared" si="94"/>
        <v>3576465</v>
      </c>
      <c r="KL19" s="29">
        <f t="shared" si="95"/>
        <v>0</v>
      </c>
      <c r="KM19" s="5">
        <f t="shared" si="96"/>
        <v>0</v>
      </c>
      <c r="KN19" s="29">
        <f t="shared" si="97"/>
        <v>0</v>
      </c>
      <c r="KO19" s="5">
        <f t="shared" si="98"/>
        <v>437912</v>
      </c>
      <c r="KP19" s="29">
        <f t="shared" si="99"/>
        <v>0</v>
      </c>
      <c r="KQ19" s="5">
        <f t="shared" si="100"/>
        <v>2682363</v>
      </c>
      <c r="KR19" s="29">
        <f t="shared" si="101"/>
        <v>0</v>
      </c>
      <c r="KS19" s="5">
        <f t="shared" si="102"/>
        <v>636251</v>
      </c>
      <c r="KT19" s="29">
        <f t="shared" si="103"/>
        <v>0</v>
      </c>
      <c r="KU19" s="5">
        <f t="shared" si="104"/>
        <v>230473</v>
      </c>
      <c r="KV19" s="29">
        <f t="shared" si="105"/>
        <v>0</v>
      </c>
      <c r="KW19" s="5">
        <f t="shared" si="106"/>
        <v>1663914</v>
      </c>
      <c r="KX19" s="29">
        <f t="shared" si="107"/>
        <v>0</v>
      </c>
      <c r="KY19" s="5">
        <f t="shared" si="108"/>
        <v>30802879</v>
      </c>
      <c r="KZ19" s="29">
        <f t="shared" si="109"/>
        <v>0</v>
      </c>
      <c r="LA19" s="5">
        <f t="shared" si="110"/>
        <v>6377454</v>
      </c>
      <c r="LB19" s="29">
        <f t="shared" si="111"/>
        <v>0</v>
      </c>
      <c r="LC19" s="5">
        <f t="shared" si="112"/>
        <v>506232</v>
      </c>
      <c r="LD19" s="29">
        <f t="shared" si="113"/>
        <v>0</v>
      </c>
      <c r="LE19" s="5">
        <f t="shared" si="114"/>
        <v>5969359</v>
      </c>
      <c r="LF19" s="29">
        <f t="shared" si="115"/>
        <v>0</v>
      </c>
      <c r="LG19" s="5">
        <f t="shared" si="116"/>
        <v>37800</v>
      </c>
      <c r="LH19" s="29">
        <f t="shared" si="117"/>
        <v>0</v>
      </c>
      <c r="LI19" s="5">
        <f t="shared" si="118"/>
        <v>3985990</v>
      </c>
      <c r="LJ19" s="29">
        <f t="shared" si="119"/>
        <v>0</v>
      </c>
      <c r="LK19" s="5">
        <f t="shared" si="120"/>
        <v>0</v>
      </c>
      <c r="LL19" s="29">
        <f t="shared" si="121"/>
        <v>0</v>
      </c>
      <c r="LM19" s="5">
        <f t="shared" si="122"/>
        <v>402724</v>
      </c>
      <c r="LN19" s="29">
        <f t="shared" si="123"/>
        <v>0</v>
      </c>
      <c r="LO19" s="5">
        <f t="shared" si="124"/>
        <v>590970</v>
      </c>
      <c r="LP19" s="29">
        <f t="shared" si="125"/>
        <v>0</v>
      </c>
      <c r="LQ19" s="5">
        <f t="shared" si="126"/>
        <v>2060076</v>
      </c>
      <c r="LR19" s="29">
        <f t="shared" si="127"/>
        <v>0</v>
      </c>
      <c r="LS19" s="5">
        <f t="shared" si="128"/>
        <v>850298</v>
      </c>
      <c r="LT19" s="29">
        <f t="shared" si="129"/>
        <v>0</v>
      </c>
      <c r="LU19" s="5">
        <f t="shared" si="130"/>
        <v>1309652</v>
      </c>
      <c r="LV19" s="29">
        <f t="shared" si="131"/>
        <v>0</v>
      </c>
      <c r="LW19" s="5">
        <f t="shared" si="132"/>
        <v>1278078</v>
      </c>
      <c r="LX19" s="29">
        <f t="shared" si="133"/>
        <v>0</v>
      </c>
      <c r="LY19" s="5">
        <f t="shared" si="134"/>
        <v>354447</v>
      </c>
      <c r="LZ19" s="29">
        <f t="shared" si="135"/>
        <v>0</v>
      </c>
      <c r="MA19" s="5">
        <f t="shared" si="136"/>
        <v>1198860</v>
      </c>
      <c r="MB19" s="29">
        <f t="shared" si="137"/>
        <v>0</v>
      </c>
      <c r="MC19" s="5">
        <f t="shared" si="138"/>
        <v>82164</v>
      </c>
      <c r="MD19" s="29">
        <f t="shared" si="139"/>
        <v>0</v>
      </c>
      <c r="ME19" s="5">
        <f t="shared" si="140"/>
        <v>2279495</v>
      </c>
      <c r="MF19" s="29">
        <f t="shared" si="141"/>
        <v>0</v>
      </c>
      <c r="MG19" s="5">
        <f t="shared" si="142"/>
        <v>453645</v>
      </c>
      <c r="MH19" s="29">
        <f t="shared" si="143"/>
        <v>0</v>
      </c>
      <c r="MI19" s="5">
        <f t="shared" si="144"/>
        <v>464088</v>
      </c>
      <c r="MJ19" s="29">
        <f t="shared" si="145"/>
        <v>0</v>
      </c>
      <c r="MK19" s="5">
        <f t="shared" si="146"/>
        <v>1959815</v>
      </c>
      <c r="ML19" s="29">
        <f t="shared" si="147"/>
        <v>0</v>
      </c>
      <c r="MM19" s="5">
        <f t="shared" si="148"/>
        <v>30161147</v>
      </c>
      <c r="MN19" s="29">
        <f t="shared" si="149"/>
        <v>0</v>
      </c>
      <c r="MO19" s="5">
        <f t="shared" si="150"/>
        <v>0</v>
      </c>
      <c r="MP19" s="29">
        <f t="shared" si="151"/>
        <v>0</v>
      </c>
      <c r="MQ19" s="5">
        <f t="shared" si="152"/>
        <v>30161147</v>
      </c>
      <c r="MR19" s="29">
        <f t="shared" si="153"/>
        <v>0</v>
      </c>
      <c r="MT19" s="5">
        <f t="shared" si="76"/>
        <v>0</v>
      </c>
      <c r="MV19" s="4">
        <f t="shared" si="77"/>
        <v>0</v>
      </c>
    </row>
    <row r="20" spans="1:360" x14ac:dyDescent="0.15">
      <c r="A20" s="157" t="s">
        <v>281</v>
      </c>
      <c r="B20" s="28" t="s">
        <v>462</v>
      </c>
      <c r="C20" s="48">
        <v>129020</v>
      </c>
      <c r="D20" s="48">
        <v>2012</v>
      </c>
      <c r="E20" s="49">
        <v>1</v>
      </c>
      <c r="F20" s="49">
        <v>7</v>
      </c>
      <c r="G20" s="55">
        <v>8824</v>
      </c>
      <c r="H20" s="55">
        <v>8626</v>
      </c>
      <c r="I20" s="56">
        <v>956793199</v>
      </c>
      <c r="J20" s="56"/>
      <c r="K20" s="57">
        <v>2991718</v>
      </c>
      <c r="L20" s="56"/>
      <c r="M20" s="58">
        <v>135255807</v>
      </c>
      <c r="N20" s="59"/>
      <c r="O20" s="60">
        <v>24472848</v>
      </c>
      <c r="P20" s="59"/>
      <c r="Q20" s="60">
        <v>1170722881</v>
      </c>
      <c r="R20" s="51"/>
      <c r="S20" s="61">
        <v>785838866</v>
      </c>
      <c r="T20" s="59"/>
      <c r="U20" s="60">
        <v>22948</v>
      </c>
      <c r="V20" s="59"/>
      <c r="W20" s="60">
        <v>39844</v>
      </c>
      <c r="X20" s="58"/>
      <c r="Y20" s="59">
        <v>25598</v>
      </c>
      <c r="Z20" s="58"/>
      <c r="AA20" s="61">
        <v>42594</v>
      </c>
      <c r="AB20" s="59"/>
      <c r="AC20" s="74">
        <v>11</v>
      </c>
      <c r="AD20" s="74">
        <v>13</v>
      </c>
      <c r="AE20" s="74">
        <v>0</v>
      </c>
      <c r="AF20" s="79">
        <v>5403336</v>
      </c>
      <c r="AG20" s="80">
        <v>5040507</v>
      </c>
      <c r="AH20" s="81">
        <v>552066</v>
      </c>
      <c r="AI20" s="82">
        <v>275644</v>
      </c>
      <c r="AJ20" s="81">
        <v>769747.125</v>
      </c>
      <c r="AK20" s="73">
        <v>8</v>
      </c>
      <c r="AL20" s="29">
        <v>684219.66666666663</v>
      </c>
      <c r="AM20" s="73">
        <v>9</v>
      </c>
      <c r="AN20" s="76">
        <v>334490.2</v>
      </c>
      <c r="AO20" s="78">
        <v>10</v>
      </c>
      <c r="AP20" s="76">
        <v>304082</v>
      </c>
      <c r="AQ20" s="78">
        <v>11</v>
      </c>
      <c r="AR20" s="79">
        <v>187263.40425531915</v>
      </c>
      <c r="AS20" s="83">
        <v>23.5</v>
      </c>
      <c r="AT20" s="79">
        <v>162988.51851851851</v>
      </c>
      <c r="AU20" s="84">
        <v>27</v>
      </c>
      <c r="AV20" s="29">
        <v>94089.822784810123</v>
      </c>
      <c r="AW20" s="73">
        <v>19.75</v>
      </c>
      <c r="AX20" s="29">
        <v>74330.960000000006</v>
      </c>
      <c r="AY20" s="73">
        <v>25</v>
      </c>
      <c r="AZ20" s="109">
        <v>5245722</v>
      </c>
      <c r="BA20" s="109">
        <v>3870053</v>
      </c>
      <c r="BB20" s="109">
        <v>1924571</v>
      </c>
      <c r="BC20" s="109">
        <v>77791</v>
      </c>
      <c r="BD20" s="109">
        <v>0</v>
      </c>
      <c r="BE20" s="109">
        <v>11118137</v>
      </c>
      <c r="BF20" s="109">
        <v>0</v>
      </c>
      <c r="BG20" s="109">
        <v>0</v>
      </c>
      <c r="BH20" s="109">
        <v>0</v>
      </c>
      <c r="BI20" s="109">
        <v>0</v>
      </c>
      <c r="BJ20" s="109">
        <v>9181874</v>
      </c>
      <c r="BK20" s="109">
        <v>9181874</v>
      </c>
      <c r="BL20" s="109">
        <v>800000</v>
      </c>
      <c r="BM20" s="109">
        <v>200000</v>
      </c>
      <c r="BN20" s="109">
        <v>20000</v>
      </c>
      <c r="BO20" s="109">
        <v>24500</v>
      </c>
      <c r="BP20" s="109">
        <v>0</v>
      </c>
      <c r="BQ20" s="109">
        <v>1044500</v>
      </c>
      <c r="BR20" s="109">
        <v>2649655</v>
      </c>
      <c r="BS20" s="109">
        <v>218324</v>
      </c>
      <c r="BT20" s="97">
        <v>289033</v>
      </c>
      <c r="BU20" s="97">
        <v>1603385</v>
      </c>
      <c r="BV20" s="97">
        <v>6202465</v>
      </c>
      <c r="BW20" s="97">
        <v>10962862</v>
      </c>
      <c r="BX20" s="109">
        <v>0</v>
      </c>
      <c r="BY20" s="109">
        <v>0</v>
      </c>
      <c r="BZ20" s="109">
        <v>0</v>
      </c>
      <c r="CA20" s="109">
        <v>0</v>
      </c>
      <c r="CB20" s="109">
        <v>0</v>
      </c>
      <c r="CC20" s="109">
        <v>0</v>
      </c>
      <c r="CD20" s="109">
        <v>0</v>
      </c>
      <c r="CE20" s="109">
        <v>0</v>
      </c>
      <c r="CF20" s="109">
        <v>0</v>
      </c>
      <c r="CG20" s="109">
        <v>0</v>
      </c>
      <c r="CH20" s="109">
        <v>0</v>
      </c>
      <c r="CI20" s="109">
        <v>0</v>
      </c>
      <c r="CJ20" s="109">
        <v>899</v>
      </c>
      <c r="CK20" s="109">
        <v>0</v>
      </c>
      <c r="CL20" s="109">
        <v>1629</v>
      </c>
      <c r="CM20" s="109">
        <v>1607</v>
      </c>
      <c r="CN20" s="109">
        <v>8093904</v>
      </c>
      <c r="CO20" s="109">
        <v>8098039</v>
      </c>
      <c r="CP20" s="109">
        <v>0</v>
      </c>
      <c r="CQ20" s="109">
        <v>0</v>
      </c>
      <c r="CR20" s="109">
        <v>0</v>
      </c>
      <c r="CS20" s="109">
        <v>0</v>
      </c>
      <c r="CT20" s="109">
        <v>0</v>
      </c>
      <c r="CU20" s="109">
        <v>0</v>
      </c>
      <c r="CV20" s="109">
        <v>4250000</v>
      </c>
      <c r="CW20" s="109">
        <v>2712903</v>
      </c>
      <c r="CX20" s="109">
        <v>1013875</v>
      </c>
      <c r="CY20" s="109">
        <v>126800</v>
      </c>
      <c r="CZ20" s="109">
        <v>1766700</v>
      </c>
      <c r="DA20" s="109">
        <v>9870278</v>
      </c>
      <c r="DB20" s="109">
        <v>38400</v>
      </c>
      <c r="DC20" s="109">
        <v>342324</v>
      </c>
      <c r="DD20" s="109">
        <v>1309616</v>
      </c>
      <c r="DE20" s="109">
        <v>0</v>
      </c>
      <c r="DF20" s="109">
        <v>0</v>
      </c>
      <c r="DG20" s="109">
        <v>1690340</v>
      </c>
      <c r="DH20" s="109">
        <v>46330</v>
      </c>
      <c r="DI20" s="109">
        <v>32416</v>
      </c>
      <c r="DJ20" s="109">
        <v>38857</v>
      </c>
      <c r="DK20" s="109">
        <v>23670</v>
      </c>
      <c r="DL20" s="109">
        <v>6279</v>
      </c>
      <c r="DM20" s="109">
        <v>147552</v>
      </c>
      <c r="DN20" s="109">
        <v>0</v>
      </c>
      <c r="DO20" s="109">
        <v>0</v>
      </c>
      <c r="DP20" s="109">
        <v>0</v>
      </c>
      <c r="DQ20" s="109">
        <v>0</v>
      </c>
      <c r="DR20" s="109">
        <v>10430565</v>
      </c>
      <c r="DS20" s="109">
        <v>10430565</v>
      </c>
      <c r="DT20" s="109">
        <v>7766</v>
      </c>
      <c r="DU20" s="109">
        <v>12948</v>
      </c>
      <c r="DV20" s="109">
        <v>0</v>
      </c>
      <c r="DW20" s="109">
        <v>14977</v>
      </c>
      <c r="DX20" s="109">
        <v>0</v>
      </c>
      <c r="DY20" s="109">
        <v>35691</v>
      </c>
      <c r="DZ20" s="109">
        <v>0</v>
      </c>
      <c r="EA20" s="109">
        <v>0</v>
      </c>
      <c r="EB20" s="109">
        <v>0</v>
      </c>
      <c r="EC20" s="109">
        <v>0</v>
      </c>
      <c r="ED20" s="109">
        <v>82250</v>
      </c>
      <c r="EE20" s="109">
        <v>82250</v>
      </c>
      <c r="EF20" s="109">
        <v>25093</v>
      </c>
      <c r="EG20" s="109">
        <v>0</v>
      </c>
      <c r="EH20" s="109">
        <v>6990</v>
      </c>
      <c r="EI20" s="109">
        <v>38143</v>
      </c>
      <c r="EJ20" s="109">
        <v>834595</v>
      </c>
      <c r="EK20" s="109">
        <v>904821</v>
      </c>
      <c r="EL20" s="109">
        <v>13063865</v>
      </c>
      <c r="EM20" s="109">
        <v>7388968</v>
      </c>
      <c r="EN20" s="109">
        <v>4704571</v>
      </c>
      <c r="EO20" s="109">
        <v>1810873</v>
      </c>
      <c r="EP20" s="109">
        <v>36598632</v>
      </c>
      <c r="EQ20" s="109">
        <v>63566909</v>
      </c>
      <c r="ER20" s="110">
        <v>3474661</v>
      </c>
      <c r="ES20" s="110">
        <v>454466</v>
      </c>
      <c r="ET20" s="110">
        <v>446418</v>
      </c>
      <c r="EU20" s="110">
        <v>6068298</v>
      </c>
      <c r="EV20" s="110">
        <v>386062</v>
      </c>
      <c r="EW20" s="110">
        <v>10829905</v>
      </c>
      <c r="EX20" s="110">
        <v>1300000</v>
      </c>
      <c r="EY20" s="110">
        <v>634000</v>
      </c>
      <c r="EZ20" s="110">
        <v>127000</v>
      </c>
      <c r="FA20" s="110">
        <v>35017</v>
      </c>
      <c r="FB20" s="110">
        <v>0</v>
      </c>
      <c r="FC20" s="110">
        <v>2096017</v>
      </c>
      <c r="FD20" s="110">
        <v>4532032</v>
      </c>
      <c r="FE20" s="110">
        <v>4089562</v>
      </c>
      <c r="FF20" s="110">
        <v>2752778</v>
      </c>
      <c r="FG20" s="110">
        <v>4387471</v>
      </c>
      <c r="FH20" s="110">
        <v>0</v>
      </c>
      <c r="FI20" s="110">
        <v>15761843</v>
      </c>
      <c r="FJ20" s="110">
        <v>0</v>
      </c>
      <c r="FK20" s="110">
        <v>0</v>
      </c>
      <c r="FL20" s="110">
        <v>0</v>
      </c>
      <c r="FM20" s="110">
        <v>0</v>
      </c>
      <c r="FN20" s="110">
        <v>0</v>
      </c>
      <c r="FO20" s="110">
        <v>0</v>
      </c>
      <c r="FP20" s="110">
        <v>516465</v>
      </c>
      <c r="FQ20" s="110">
        <v>439213</v>
      </c>
      <c r="FR20" s="110">
        <v>247607</v>
      </c>
      <c r="FS20" s="110">
        <v>0</v>
      </c>
      <c r="FT20" s="110">
        <v>10291257</v>
      </c>
      <c r="FU20" s="110">
        <v>11494542</v>
      </c>
      <c r="FV20" s="110">
        <v>0</v>
      </c>
      <c r="FW20" s="110">
        <v>0</v>
      </c>
      <c r="FX20" s="110">
        <v>0</v>
      </c>
      <c r="FY20" s="110">
        <v>0</v>
      </c>
      <c r="FZ20" s="110">
        <v>0</v>
      </c>
      <c r="GA20" s="110">
        <v>0</v>
      </c>
      <c r="GB20" s="110">
        <v>0</v>
      </c>
      <c r="GC20" s="110">
        <v>0</v>
      </c>
      <c r="GD20" s="110">
        <v>0</v>
      </c>
      <c r="GE20" s="110">
        <v>0</v>
      </c>
      <c r="GF20" s="110">
        <v>0</v>
      </c>
      <c r="GG20" s="110">
        <v>0</v>
      </c>
      <c r="GH20" s="110">
        <v>252777</v>
      </c>
      <c r="GI20" s="110">
        <v>117900</v>
      </c>
      <c r="GJ20" s="110">
        <v>123360</v>
      </c>
      <c r="GK20" s="110">
        <v>333673</v>
      </c>
      <c r="GL20" s="110">
        <v>19200</v>
      </c>
      <c r="GM20" s="110">
        <v>846910</v>
      </c>
      <c r="GN20" s="110">
        <v>1000715</v>
      </c>
      <c r="GO20" s="110">
        <v>1135032</v>
      </c>
      <c r="GP20" s="110">
        <v>1165313</v>
      </c>
      <c r="GQ20" s="110">
        <v>2730730</v>
      </c>
      <c r="GR20" s="110">
        <v>0</v>
      </c>
      <c r="GS20" s="110">
        <v>6031790</v>
      </c>
      <c r="GT20" s="110">
        <v>105567</v>
      </c>
      <c r="GU20" s="110">
        <v>33988</v>
      </c>
      <c r="GV20" s="110">
        <v>6250</v>
      </c>
      <c r="GW20" s="110">
        <v>277109</v>
      </c>
      <c r="GX20" s="110">
        <v>46016</v>
      </c>
      <c r="GY20" s="110">
        <v>468930</v>
      </c>
      <c r="GZ20" s="110">
        <v>2936994</v>
      </c>
      <c r="HA20" s="110">
        <v>1247747</v>
      </c>
      <c r="HB20" s="110">
        <v>968436</v>
      </c>
      <c r="HC20" s="110">
        <v>441346</v>
      </c>
      <c r="HD20" s="110">
        <v>68861</v>
      </c>
      <c r="HE20" s="110">
        <v>5663384</v>
      </c>
      <c r="HF20" s="110">
        <v>0</v>
      </c>
      <c r="HG20" s="110">
        <v>0</v>
      </c>
      <c r="HH20" s="110">
        <v>0</v>
      </c>
      <c r="HI20" s="110">
        <v>0</v>
      </c>
      <c r="HJ20" s="110">
        <v>3351052</v>
      </c>
      <c r="HK20" s="110">
        <v>3351052</v>
      </c>
      <c r="HL20" s="110">
        <v>0</v>
      </c>
      <c r="HM20" s="110">
        <v>0</v>
      </c>
      <c r="HN20" s="110">
        <v>0</v>
      </c>
      <c r="HO20" s="110">
        <v>0</v>
      </c>
      <c r="HP20" s="110">
        <v>0</v>
      </c>
      <c r="HQ20" s="110">
        <v>0</v>
      </c>
      <c r="HR20" s="110">
        <v>27339</v>
      </c>
      <c r="HS20" s="110">
        <v>141538</v>
      </c>
      <c r="HT20" s="110">
        <v>19457</v>
      </c>
      <c r="HU20" s="110">
        <v>116693</v>
      </c>
      <c r="HV20" s="110">
        <v>1803070</v>
      </c>
      <c r="HW20" s="110">
        <v>2108097</v>
      </c>
      <c r="HX20" s="110">
        <v>0</v>
      </c>
      <c r="HY20" s="110">
        <v>38489</v>
      </c>
      <c r="HZ20" s="110">
        <v>21111</v>
      </c>
      <c r="IA20" s="110">
        <v>0</v>
      </c>
      <c r="IB20" s="110">
        <v>806</v>
      </c>
      <c r="IC20" s="110">
        <v>60406</v>
      </c>
      <c r="ID20" s="110">
        <v>0</v>
      </c>
      <c r="IE20" s="110">
        <v>0</v>
      </c>
      <c r="IF20" s="110">
        <v>0</v>
      </c>
      <c r="IG20" s="110">
        <v>0</v>
      </c>
      <c r="IH20" s="110">
        <v>0</v>
      </c>
      <c r="II20" s="110">
        <v>0</v>
      </c>
      <c r="IJ20" s="110">
        <v>41204</v>
      </c>
      <c r="IK20" s="110">
        <v>8674</v>
      </c>
      <c r="IL20" s="110">
        <v>4389</v>
      </c>
      <c r="IM20" s="110">
        <v>75778</v>
      </c>
      <c r="IN20" s="110">
        <v>392981</v>
      </c>
      <c r="IO20" s="110">
        <v>523026</v>
      </c>
      <c r="IP20" s="110">
        <v>1730</v>
      </c>
      <c r="IQ20" s="110">
        <v>1345</v>
      </c>
      <c r="IR20" s="110">
        <v>640</v>
      </c>
      <c r="IS20" s="110">
        <v>22519</v>
      </c>
      <c r="IT20" s="110">
        <v>49653</v>
      </c>
      <c r="IU20" s="110">
        <v>75887</v>
      </c>
      <c r="IV20" s="110">
        <v>256038</v>
      </c>
      <c r="IW20" s="110">
        <v>291522</v>
      </c>
      <c r="IX20" s="110">
        <v>154653</v>
      </c>
      <c r="IY20" s="110">
        <v>395111</v>
      </c>
      <c r="IZ20" s="110">
        <v>3419507</v>
      </c>
      <c r="JA20" s="110">
        <v>4516831</v>
      </c>
      <c r="JB20" s="110">
        <v>14445522</v>
      </c>
      <c r="JC20" s="110">
        <v>8633476</v>
      </c>
      <c r="JD20" s="110">
        <v>6037412</v>
      </c>
      <c r="JE20" s="110">
        <v>14883745</v>
      </c>
      <c r="JF20" s="110">
        <v>19828465</v>
      </c>
      <c r="JG20" s="110">
        <v>63828620</v>
      </c>
      <c r="JH20" s="97">
        <v>0</v>
      </c>
      <c r="JI20" s="97">
        <v>0</v>
      </c>
      <c r="JJ20" s="97">
        <v>0</v>
      </c>
      <c r="JK20" s="97">
        <v>0</v>
      </c>
      <c r="JL20" s="97">
        <v>0</v>
      </c>
      <c r="JM20" s="97">
        <v>0</v>
      </c>
      <c r="JN20" s="97">
        <v>14445522</v>
      </c>
      <c r="JO20" s="97">
        <v>8633476</v>
      </c>
      <c r="JP20" s="97">
        <v>6037412</v>
      </c>
      <c r="JQ20" s="97">
        <v>14883745</v>
      </c>
      <c r="JR20" s="97">
        <v>19828465</v>
      </c>
      <c r="JS20" s="97">
        <v>63828620</v>
      </c>
      <c r="JU20" s="5">
        <f t="shared" si="78"/>
        <v>11118137</v>
      </c>
      <c r="JV20" s="29">
        <f t="shared" si="79"/>
        <v>0</v>
      </c>
      <c r="JW20" s="5">
        <f t="shared" si="80"/>
        <v>9181874</v>
      </c>
      <c r="JX20" s="29">
        <f t="shared" si="81"/>
        <v>0</v>
      </c>
      <c r="JY20" s="5">
        <f t="shared" si="82"/>
        <v>1044500</v>
      </c>
      <c r="JZ20" s="29">
        <f t="shared" si="83"/>
        <v>0</v>
      </c>
      <c r="KA20" s="5">
        <f t="shared" si="84"/>
        <v>10962862</v>
      </c>
      <c r="KB20" s="29">
        <f t="shared" si="85"/>
        <v>0</v>
      </c>
      <c r="KC20" s="5">
        <f t="shared" si="86"/>
        <v>0</v>
      </c>
      <c r="KD20" s="29">
        <f t="shared" si="87"/>
        <v>0</v>
      </c>
      <c r="KE20" s="5">
        <f t="shared" si="88"/>
        <v>0</v>
      </c>
      <c r="KF20" s="29">
        <f t="shared" si="89"/>
        <v>0</v>
      </c>
      <c r="KG20" s="5">
        <f t="shared" si="90"/>
        <v>8098039</v>
      </c>
      <c r="KH20" s="29">
        <f t="shared" si="91"/>
        <v>0</v>
      </c>
      <c r="KI20" s="5">
        <f t="shared" si="92"/>
        <v>0</v>
      </c>
      <c r="KJ20" s="29">
        <f t="shared" si="93"/>
        <v>0</v>
      </c>
      <c r="KK20" s="5">
        <f t="shared" si="94"/>
        <v>9870278</v>
      </c>
      <c r="KL20" s="29">
        <f t="shared" si="95"/>
        <v>0</v>
      </c>
      <c r="KM20" s="5">
        <f t="shared" si="96"/>
        <v>1690340</v>
      </c>
      <c r="KN20" s="29">
        <f t="shared" si="97"/>
        <v>0</v>
      </c>
      <c r="KO20" s="5">
        <f t="shared" si="98"/>
        <v>147552</v>
      </c>
      <c r="KP20" s="29">
        <f t="shared" si="99"/>
        <v>0</v>
      </c>
      <c r="KQ20" s="5">
        <f t="shared" si="100"/>
        <v>10430565</v>
      </c>
      <c r="KR20" s="29">
        <f t="shared" si="101"/>
        <v>0</v>
      </c>
      <c r="KS20" s="5">
        <f t="shared" si="102"/>
        <v>35691</v>
      </c>
      <c r="KT20" s="29">
        <f t="shared" si="103"/>
        <v>0</v>
      </c>
      <c r="KU20" s="5">
        <f t="shared" si="104"/>
        <v>82250</v>
      </c>
      <c r="KV20" s="29">
        <f t="shared" si="105"/>
        <v>0</v>
      </c>
      <c r="KW20" s="5">
        <f t="shared" si="106"/>
        <v>904821</v>
      </c>
      <c r="KX20" s="29">
        <f t="shared" si="107"/>
        <v>0</v>
      </c>
      <c r="KY20" s="5">
        <f t="shared" si="108"/>
        <v>63566909</v>
      </c>
      <c r="KZ20" s="29">
        <f t="shared" si="109"/>
        <v>0</v>
      </c>
      <c r="LA20" s="5">
        <f t="shared" si="110"/>
        <v>10829905</v>
      </c>
      <c r="LB20" s="29">
        <f t="shared" si="111"/>
        <v>0</v>
      </c>
      <c r="LC20" s="5">
        <f t="shared" si="112"/>
        <v>2096017</v>
      </c>
      <c r="LD20" s="29">
        <f t="shared" si="113"/>
        <v>0</v>
      </c>
      <c r="LE20" s="5">
        <f t="shared" si="114"/>
        <v>15761843</v>
      </c>
      <c r="LF20" s="29">
        <f t="shared" si="115"/>
        <v>0</v>
      </c>
      <c r="LG20" s="5">
        <f t="shared" si="116"/>
        <v>0</v>
      </c>
      <c r="LH20" s="29">
        <f t="shared" si="117"/>
        <v>0</v>
      </c>
      <c r="LI20" s="5">
        <f t="shared" si="118"/>
        <v>11494542</v>
      </c>
      <c r="LJ20" s="29">
        <f t="shared" si="119"/>
        <v>0</v>
      </c>
      <c r="LK20" s="5">
        <f t="shared" si="120"/>
        <v>0</v>
      </c>
      <c r="LL20" s="29">
        <f t="shared" si="121"/>
        <v>0</v>
      </c>
      <c r="LM20" s="5">
        <f t="shared" si="122"/>
        <v>0</v>
      </c>
      <c r="LN20" s="29">
        <f t="shared" si="123"/>
        <v>0</v>
      </c>
      <c r="LO20" s="5">
        <f t="shared" si="124"/>
        <v>846910</v>
      </c>
      <c r="LP20" s="29">
        <f t="shared" si="125"/>
        <v>0</v>
      </c>
      <c r="LQ20" s="5">
        <f t="shared" si="126"/>
        <v>6031790</v>
      </c>
      <c r="LR20" s="29">
        <f t="shared" si="127"/>
        <v>0</v>
      </c>
      <c r="LS20" s="5">
        <f t="shared" si="128"/>
        <v>468930</v>
      </c>
      <c r="LT20" s="29">
        <f t="shared" si="129"/>
        <v>0</v>
      </c>
      <c r="LU20" s="5">
        <f t="shared" si="130"/>
        <v>5663384</v>
      </c>
      <c r="LV20" s="29">
        <f t="shared" si="131"/>
        <v>0</v>
      </c>
      <c r="LW20" s="5">
        <f t="shared" si="132"/>
        <v>3351052</v>
      </c>
      <c r="LX20" s="29">
        <f t="shared" si="133"/>
        <v>0</v>
      </c>
      <c r="LY20" s="5">
        <f t="shared" si="134"/>
        <v>0</v>
      </c>
      <c r="LZ20" s="29">
        <f t="shared" si="135"/>
        <v>0</v>
      </c>
      <c r="MA20" s="5">
        <f t="shared" si="136"/>
        <v>2108097</v>
      </c>
      <c r="MB20" s="29">
        <f t="shared" si="137"/>
        <v>0</v>
      </c>
      <c r="MC20" s="5">
        <f t="shared" si="138"/>
        <v>60406</v>
      </c>
      <c r="MD20" s="29">
        <f t="shared" si="139"/>
        <v>0</v>
      </c>
      <c r="ME20" s="5">
        <f t="shared" si="140"/>
        <v>0</v>
      </c>
      <c r="MF20" s="29">
        <f t="shared" si="141"/>
        <v>0</v>
      </c>
      <c r="MG20" s="5">
        <f t="shared" si="142"/>
        <v>523026</v>
      </c>
      <c r="MH20" s="29">
        <f t="shared" si="143"/>
        <v>0</v>
      </c>
      <c r="MI20" s="5">
        <f t="shared" si="144"/>
        <v>75887</v>
      </c>
      <c r="MJ20" s="29">
        <f t="shared" si="145"/>
        <v>0</v>
      </c>
      <c r="MK20" s="5">
        <f t="shared" si="146"/>
        <v>4516831</v>
      </c>
      <c r="ML20" s="29">
        <f t="shared" si="147"/>
        <v>0</v>
      </c>
      <c r="MM20" s="5">
        <f t="shared" si="148"/>
        <v>63828620</v>
      </c>
      <c r="MN20" s="29">
        <f t="shared" si="149"/>
        <v>0</v>
      </c>
      <c r="MO20" s="5">
        <f t="shared" si="150"/>
        <v>0</v>
      </c>
      <c r="MP20" s="29">
        <f t="shared" si="151"/>
        <v>0</v>
      </c>
      <c r="MQ20" s="5">
        <f t="shared" si="152"/>
        <v>63828620</v>
      </c>
      <c r="MR20" s="29">
        <f t="shared" si="153"/>
        <v>0</v>
      </c>
      <c r="MT20" s="5">
        <f t="shared" si="76"/>
        <v>0</v>
      </c>
      <c r="MV20" s="4">
        <f t="shared" si="77"/>
        <v>0</v>
      </c>
    </row>
    <row r="21" spans="1:360" x14ac:dyDescent="0.15">
      <c r="A21" s="159" t="s">
        <v>428</v>
      </c>
      <c r="B21" s="28" t="s">
        <v>466</v>
      </c>
      <c r="C21" s="47">
        <v>198464</v>
      </c>
      <c r="D21" s="48">
        <v>2012</v>
      </c>
      <c r="E21" s="49">
        <v>1</v>
      </c>
      <c r="F21" s="49">
        <v>8</v>
      </c>
      <c r="G21" s="50">
        <v>8857</v>
      </c>
      <c r="H21" s="50">
        <v>12236</v>
      </c>
      <c r="I21" s="51">
        <v>843820868</v>
      </c>
      <c r="J21" s="51"/>
      <c r="K21" s="51">
        <v>5927054</v>
      </c>
      <c r="L21" s="51"/>
      <c r="M21" s="51">
        <v>32541959</v>
      </c>
      <c r="N21" s="51"/>
      <c r="O21" s="51">
        <v>39155000</v>
      </c>
      <c r="P21" s="51"/>
      <c r="Q21" s="51">
        <v>152523451</v>
      </c>
      <c r="R21" s="51"/>
      <c r="S21" s="52"/>
      <c r="T21" s="52"/>
      <c r="U21" s="52">
        <v>13664</v>
      </c>
      <c r="V21" s="52"/>
      <c r="W21" s="52">
        <v>26243</v>
      </c>
      <c r="X21" s="52"/>
      <c r="Y21" s="52">
        <v>18782</v>
      </c>
      <c r="Z21" s="52"/>
      <c r="AA21" s="52">
        <v>31360</v>
      </c>
      <c r="AB21" s="49"/>
      <c r="AC21" s="72">
        <v>9</v>
      </c>
      <c r="AD21" s="72">
        <v>10</v>
      </c>
      <c r="AE21" s="72">
        <v>0</v>
      </c>
      <c r="AF21" s="29">
        <v>3457815</v>
      </c>
      <c r="AG21" s="29">
        <v>2232386</v>
      </c>
      <c r="AH21" s="29">
        <v>398715</v>
      </c>
      <c r="AI21" s="29">
        <v>188604</v>
      </c>
      <c r="AJ21" s="29">
        <v>384351.82</v>
      </c>
      <c r="AK21" s="73">
        <v>5.5</v>
      </c>
      <c r="AL21" s="29">
        <v>301990.71000000002</v>
      </c>
      <c r="AM21" s="73">
        <v>7</v>
      </c>
      <c r="AN21" s="29">
        <v>114937.57</v>
      </c>
      <c r="AO21" s="73">
        <v>7</v>
      </c>
      <c r="AP21" s="29">
        <v>100570.38</v>
      </c>
      <c r="AQ21" s="73">
        <v>8</v>
      </c>
      <c r="AR21" s="29">
        <v>118022.77</v>
      </c>
      <c r="AS21" s="73">
        <v>19.5</v>
      </c>
      <c r="AT21" s="29">
        <v>92057.76</v>
      </c>
      <c r="AU21" s="73">
        <v>25</v>
      </c>
      <c r="AV21" s="29">
        <v>59748.08</v>
      </c>
      <c r="AW21" s="73">
        <v>12.5</v>
      </c>
      <c r="AX21" s="29">
        <v>41491.72</v>
      </c>
      <c r="AY21" s="73">
        <v>18</v>
      </c>
      <c r="AZ21" s="97">
        <v>7158016</v>
      </c>
      <c r="BA21" s="97">
        <v>469290</v>
      </c>
      <c r="BB21" s="97">
        <v>4845</v>
      </c>
      <c r="BC21" s="97">
        <v>303834</v>
      </c>
      <c r="BD21" s="97">
        <v>0</v>
      </c>
      <c r="BE21" s="97">
        <v>7935985</v>
      </c>
      <c r="BF21" s="97">
        <v>832310</v>
      </c>
      <c r="BG21" s="97">
        <v>1783521</v>
      </c>
      <c r="BH21" s="97">
        <v>1783521</v>
      </c>
      <c r="BI21" s="97">
        <v>7490789</v>
      </c>
      <c r="BJ21" s="97">
        <v>0</v>
      </c>
      <c r="BK21" s="97">
        <v>11890141</v>
      </c>
      <c r="BL21" s="97">
        <v>1795459</v>
      </c>
      <c r="BM21" s="97">
        <v>0</v>
      </c>
      <c r="BN21" s="97">
        <v>4000</v>
      </c>
      <c r="BO21" s="97">
        <v>3000</v>
      </c>
      <c r="BP21" s="97">
        <v>0</v>
      </c>
      <c r="BQ21" s="97">
        <v>1802459</v>
      </c>
      <c r="BR21" s="97">
        <v>1730032</v>
      </c>
      <c r="BS21" s="97">
        <v>302934</v>
      </c>
      <c r="BT21" s="97">
        <v>274918</v>
      </c>
      <c r="BU21" s="97">
        <v>2292117</v>
      </c>
      <c r="BV21" s="97">
        <v>509528</v>
      </c>
      <c r="BW21" s="97">
        <v>5109529</v>
      </c>
      <c r="BX21" s="97">
        <v>0</v>
      </c>
      <c r="BY21" s="97">
        <v>0</v>
      </c>
      <c r="BZ21" s="97">
        <v>0</v>
      </c>
      <c r="CA21" s="97">
        <v>0</v>
      </c>
      <c r="CB21" s="97">
        <v>0</v>
      </c>
      <c r="CC21" s="97">
        <v>0</v>
      </c>
      <c r="CD21" s="97">
        <v>0</v>
      </c>
      <c r="CE21" s="97">
        <v>0</v>
      </c>
      <c r="CF21" s="97">
        <v>0</v>
      </c>
      <c r="CG21" s="97">
        <v>0</v>
      </c>
      <c r="CH21" s="97">
        <v>1100848</v>
      </c>
      <c r="CI21" s="97">
        <v>1100848</v>
      </c>
      <c r="CJ21" s="97">
        <v>0</v>
      </c>
      <c r="CK21" s="97">
        <v>0</v>
      </c>
      <c r="CL21" s="97">
        <v>0</v>
      </c>
      <c r="CM21" s="97">
        <v>0</v>
      </c>
      <c r="CN21" s="97">
        <v>350225</v>
      </c>
      <c r="CO21" s="97">
        <v>350225</v>
      </c>
      <c r="CP21" s="97">
        <v>0</v>
      </c>
      <c r="CQ21" s="97">
        <v>0</v>
      </c>
      <c r="CR21" s="97">
        <v>0</v>
      </c>
      <c r="CS21" s="97">
        <v>0</v>
      </c>
      <c r="CT21" s="97">
        <v>1046316</v>
      </c>
      <c r="CU21" s="97">
        <v>1046316</v>
      </c>
      <c r="CV21" s="97">
        <v>0</v>
      </c>
      <c r="CW21" s="97">
        <v>0</v>
      </c>
      <c r="CX21" s="97">
        <v>0</v>
      </c>
      <c r="CY21" s="97">
        <v>0</v>
      </c>
      <c r="CZ21" s="97">
        <v>2956172</v>
      </c>
      <c r="DA21" s="97">
        <v>2956172</v>
      </c>
      <c r="DB21" s="97">
        <v>0</v>
      </c>
      <c r="DC21" s="97">
        <v>0</v>
      </c>
      <c r="DD21" s="97">
        <v>0</v>
      </c>
      <c r="DE21" s="97">
        <v>0</v>
      </c>
      <c r="DF21" s="97">
        <v>0</v>
      </c>
      <c r="DG21" s="97">
        <v>0</v>
      </c>
      <c r="DH21" s="97">
        <v>307504</v>
      </c>
      <c r="DI21" s="97">
        <v>87858</v>
      </c>
      <c r="DJ21" s="97">
        <v>0</v>
      </c>
      <c r="DK21" s="97">
        <v>43929</v>
      </c>
      <c r="DL21" s="97">
        <v>555319</v>
      </c>
      <c r="DM21" s="97">
        <v>994610</v>
      </c>
      <c r="DN21" s="97">
        <v>146000</v>
      </c>
      <c r="DO21" s="97">
        <v>42625</v>
      </c>
      <c r="DP21" s="97">
        <v>17730</v>
      </c>
      <c r="DQ21" s="97">
        <v>70575</v>
      </c>
      <c r="DR21" s="97">
        <v>1197091</v>
      </c>
      <c r="DS21" s="97">
        <v>1474021</v>
      </c>
      <c r="DT21" s="97">
        <v>92346</v>
      </c>
      <c r="DU21" s="97">
        <v>87379</v>
      </c>
      <c r="DV21" s="97">
        <v>78065</v>
      </c>
      <c r="DW21" s="97">
        <v>205221</v>
      </c>
      <c r="DX21" s="97">
        <v>3890</v>
      </c>
      <c r="DY21" s="97">
        <v>466901</v>
      </c>
      <c r="DZ21" s="97">
        <v>0</v>
      </c>
      <c r="EA21" s="97">
        <v>0</v>
      </c>
      <c r="EB21" s="97">
        <v>0</v>
      </c>
      <c r="EC21" s="97">
        <v>0</v>
      </c>
      <c r="ED21" s="97">
        <v>147902</v>
      </c>
      <c r="EE21" s="97">
        <v>147902</v>
      </c>
      <c r="EF21" s="97">
        <v>0</v>
      </c>
      <c r="EG21" s="97">
        <v>0</v>
      </c>
      <c r="EH21" s="97">
        <v>0</v>
      </c>
      <c r="EI21" s="97">
        <v>47850</v>
      </c>
      <c r="EJ21" s="97">
        <v>252213</v>
      </c>
      <c r="EK21" s="97">
        <v>300063</v>
      </c>
      <c r="EL21" s="97">
        <v>12061667</v>
      </c>
      <c r="EM21" s="97">
        <v>2773607</v>
      </c>
      <c r="EN21" s="97">
        <v>2163079</v>
      </c>
      <c r="EO21" s="97">
        <v>10457315</v>
      </c>
      <c r="EP21" s="97">
        <v>8119504</v>
      </c>
      <c r="EQ21" s="97">
        <v>35575172</v>
      </c>
      <c r="ER21" s="97">
        <v>2140050</v>
      </c>
      <c r="ES21" s="97">
        <v>374729</v>
      </c>
      <c r="ET21" s="97">
        <v>340074</v>
      </c>
      <c r="EU21" s="97">
        <v>2835348</v>
      </c>
      <c r="EV21" s="97">
        <v>472938</v>
      </c>
      <c r="EW21" s="97">
        <v>6163139</v>
      </c>
      <c r="EX21" s="97">
        <v>628133</v>
      </c>
      <c r="EY21" s="97">
        <v>17000</v>
      </c>
      <c r="EZ21" s="97">
        <v>9000</v>
      </c>
      <c r="FA21" s="97">
        <v>33750</v>
      </c>
      <c r="FB21" s="97">
        <v>0</v>
      </c>
      <c r="FC21" s="97">
        <v>687883</v>
      </c>
      <c r="FD21" s="97">
        <v>2476638</v>
      </c>
      <c r="FE21" s="97">
        <v>1068491</v>
      </c>
      <c r="FF21" s="97">
        <v>543820</v>
      </c>
      <c r="FG21" s="97">
        <v>1877844</v>
      </c>
      <c r="FH21" s="97">
        <v>0</v>
      </c>
      <c r="FI21" s="97">
        <v>5966793</v>
      </c>
      <c r="FJ21" s="97">
        <v>0</v>
      </c>
      <c r="FK21" s="97">
        <v>0</v>
      </c>
      <c r="FL21" s="97">
        <v>0</v>
      </c>
      <c r="FM21" s="97">
        <v>0</v>
      </c>
      <c r="FN21" s="97">
        <v>0</v>
      </c>
      <c r="FO21" s="97">
        <v>0</v>
      </c>
      <c r="FP21" s="97">
        <v>594337</v>
      </c>
      <c r="FQ21" s="97">
        <v>177851</v>
      </c>
      <c r="FR21" s="97">
        <v>135877</v>
      </c>
      <c r="FS21" s="97">
        <v>210934</v>
      </c>
      <c r="FT21" s="97">
        <v>5742903</v>
      </c>
      <c r="FU21" s="97">
        <v>6861902</v>
      </c>
      <c r="FV21" s="97">
        <v>0</v>
      </c>
      <c r="FW21" s="97">
        <v>0</v>
      </c>
      <c r="FX21" s="97">
        <v>0</v>
      </c>
      <c r="FY21" s="97">
        <v>0</v>
      </c>
      <c r="FZ21" s="97">
        <v>0</v>
      </c>
      <c r="GA21" s="97">
        <v>0</v>
      </c>
      <c r="GB21" s="97">
        <v>0</v>
      </c>
      <c r="GC21" s="97">
        <v>0</v>
      </c>
      <c r="GD21" s="97">
        <v>0</v>
      </c>
      <c r="GE21" s="97">
        <v>0</v>
      </c>
      <c r="GF21" s="97">
        <v>0</v>
      </c>
      <c r="GG21" s="97">
        <v>0</v>
      </c>
      <c r="GH21" s="97">
        <v>245794</v>
      </c>
      <c r="GI21" s="97">
        <v>86927</v>
      </c>
      <c r="GJ21" s="97">
        <v>80653</v>
      </c>
      <c r="GK21" s="97">
        <v>173945</v>
      </c>
      <c r="GL21" s="97">
        <v>0</v>
      </c>
      <c r="GM21" s="97">
        <v>587319</v>
      </c>
      <c r="GN21" s="97">
        <v>1119949</v>
      </c>
      <c r="GO21" s="97">
        <v>371422</v>
      </c>
      <c r="GP21" s="97">
        <v>316257</v>
      </c>
      <c r="GQ21" s="97">
        <v>1153517</v>
      </c>
      <c r="GR21" s="97">
        <v>273961</v>
      </c>
      <c r="GS21" s="97">
        <v>3235106</v>
      </c>
      <c r="GT21" s="97">
        <v>486565</v>
      </c>
      <c r="GU21" s="97">
        <v>83697</v>
      </c>
      <c r="GV21" s="97">
        <v>60430</v>
      </c>
      <c r="GW21" s="97">
        <v>505761</v>
      </c>
      <c r="GX21" s="97">
        <v>648750</v>
      </c>
      <c r="GY21" s="97">
        <v>1785203</v>
      </c>
      <c r="GZ21" s="97">
        <v>1371032</v>
      </c>
      <c r="HA21" s="97">
        <v>228512</v>
      </c>
      <c r="HB21" s="97">
        <v>76607</v>
      </c>
      <c r="HC21" s="97">
        <v>182356</v>
      </c>
      <c r="HD21" s="97">
        <v>0</v>
      </c>
      <c r="HE21" s="97">
        <v>1858507</v>
      </c>
      <c r="HF21" s="97">
        <v>9758</v>
      </c>
      <c r="HG21" s="97">
        <v>4816</v>
      </c>
      <c r="HH21" s="97">
        <v>4794</v>
      </c>
      <c r="HI21" s="97">
        <v>42361</v>
      </c>
      <c r="HJ21" s="97">
        <v>201973</v>
      </c>
      <c r="HK21" s="97">
        <v>263702</v>
      </c>
      <c r="HL21" s="97">
        <v>49267</v>
      </c>
      <c r="HM21" s="97">
        <v>21553</v>
      </c>
      <c r="HN21" s="97">
        <v>47561</v>
      </c>
      <c r="HO21" s="97">
        <v>51931</v>
      </c>
      <c r="HP21" s="97">
        <v>2193</v>
      </c>
      <c r="HQ21" s="97">
        <v>172505</v>
      </c>
      <c r="HR21" s="97">
        <v>296465</v>
      </c>
      <c r="HS21" s="97">
        <v>3201</v>
      </c>
      <c r="HT21" s="97">
        <v>1904</v>
      </c>
      <c r="HU21" s="97">
        <v>195660</v>
      </c>
      <c r="HV21" s="97">
        <v>1308906</v>
      </c>
      <c r="HW21" s="97">
        <v>1806136</v>
      </c>
      <c r="HX21" s="97">
        <v>0</v>
      </c>
      <c r="HY21" s="97">
        <v>0</v>
      </c>
      <c r="HZ21" s="97">
        <v>0</v>
      </c>
      <c r="IA21" s="97">
        <v>0</v>
      </c>
      <c r="IB21" s="97">
        <v>37803</v>
      </c>
      <c r="IC21" s="97">
        <v>37803</v>
      </c>
      <c r="ID21" s="97">
        <v>0</v>
      </c>
      <c r="IE21" s="97">
        <v>0</v>
      </c>
      <c r="IF21" s="97">
        <v>0</v>
      </c>
      <c r="IG21" s="97">
        <v>0</v>
      </c>
      <c r="IH21" s="97">
        <v>1046316</v>
      </c>
      <c r="II21" s="97">
        <v>1046316</v>
      </c>
      <c r="IJ21" s="97">
        <v>0</v>
      </c>
      <c r="IK21" s="97">
        <v>0</v>
      </c>
      <c r="IL21" s="97">
        <v>0</v>
      </c>
      <c r="IM21" s="97">
        <v>0</v>
      </c>
      <c r="IN21" s="97">
        <v>514813</v>
      </c>
      <c r="IO21" s="97">
        <v>514813</v>
      </c>
      <c r="IP21" s="97">
        <v>3913</v>
      </c>
      <c r="IQ21" s="97">
        <v>3545</v>
      </c>
      <c r="IR21" s="97">
        <v>2581</v>
      </c>
      <c r="IS21" s="97">
        <v>42345</v>
      </c>
      <c r="IT21" s="97">
        <v>3452</v>
      </c>
      <c r="IU21" s="97">
        <v>55836</v>
      </c>
      <c r="IV21" s="97">
        <v>289412</v>
      </c>
      <c r="IW21" s="97">
        <v>76380</v>
      </c>
      <c r="IX21" s="97">
        <v>89197</v>
      </c>
      <c r="IY21" s="97">
        <v>187156</v>
      </c>
      <c r="IZ21" s="97">
        <v>1938387</v>
      </c>
      <c r="JA21" s="97">
        <v>2580532</v>
      </c>
      <c r="JB21" s="97">
        <v>9711313</v>
      </c>
      <c r="JC21" s="97">
        <v>2518124</v>
      </c>
      <c r="JD21" s="97">
        <v>1708755</v>
      </c>
      <c r="JE21" s="97">
        <v>7492908</v>
      </c>
      <c r="JF21" s="97">
        <v>12192395</v>
      </c>
      <c r="JG21" s="97">
        <v>33623495</v>
      </c>
      <c r="JH21" s="97">
        <v>0</v>
      </c>
      <c r="JI21" s="97">
        <v>0</v>
      </c>
      <c r="JJ21" s="97">
        <v>0</v>
      </c>
      <c r="JK21" s="97">
        <v>0</v>
      </c>
      <c r="JL21" s="97">
        <v>0</v>
      </c>
      <c r="JM21" s="97">
        <v>0</v>
      </c>
      <c r="JN21" s="97">
        <v>9711313</v>
      </c>
      <c r="JO21" s="97">
        <v>2518124</v>
      </c>
      <c r="JP21" s="97">
        <v>1708755</v>
      </c>
      <c r="JQ21" s="97">
        <v>7492908</v>
      </c>
      <c r="JR21" s="97">
        <v>12192395</v>
      </c>
      <c r="JS21" s="97">
        <v>33623495</v>
      </c>
      <c r="JU21" s="5">
        <f t="shared" si="78"/>
        <v>7935985</v>
      </c>
      <c r="JV21" s="29">
        <f t="shared" si="79"/>
        <v>0</v>
      </c>
      <c r="JW21" s="5">
        <f t="shared" si="80"/>
        <v>11890141</v>
      </c>
      <c r="JX21" s="29">
        <f t="shared" si="81"/>
        <v>0</v>
      </c>
      <c r="JY21" s="5">
        <f t="shared" si="82"/>
        <v>1802459</v>
      </c>
      <c r="JZ21" s="29">
        <f t="shared" si="83"/>
        <v>0</v>
      </c>
      <c r="KA21" s="5">
        <f t="shared" si="84"/>
        <v>5109529</v>
      </c>
      <c r="KB21" s="29">
        <f t="shared" si="85"/>
        <v>0</v>
      </c>
      <c r="KC21" s="5">
        <f t="shared" si="86"/>
        <v>0</v>
      </c>
      <c r="KD21" s="29">
        <f t="shared" si="87"/>
        <v>0</v>
      </c>
      <c r="KE21" s="5">
        <f t="shared" si="88"/>
        <v>1100848</v>
      </c>
      <c r="KF21" s="29">
        <f t="shared" si="89"/>
        <v>0</v>
      </c>
      <c r="KG21" s="5">
        <f t="shared" si="90"/>
        <v>350225</v>
      </c>
      <c r="KH21" s="29">
        <f t="shared" si="91"/>
        <v>0</v>
      </c>
      <c r="KI21" s="5">
        <f t="shared" si="92"/>
        <v>1046316</v>
      </c>
      <c r="KJ21" s="29">
        <f t="shared" si="93"/>
        <v>0</v>
      </c>
      <c r="KK21" s="5">
        <f t="shared" si="94"/>
        <v>2956172</v>
      </c>
      <c r="KL21" s="29">
        <f t="shared" si="95"/>
        <v>0</v>
      </c>
      <c r="KM21" s="5">
        <f t="shared" si="96"/>
        <v>0</v>
      </c>
      <c r="KN21" s="29">
        <f t="shared" si="97"/>
        <v>0</v>
      </c>
      <c r="KO21" s="5">
        <f t="shared" si="98"/>
        <v>994610</v>
      </c>
      <c r="KP21" s="29">
        <f t="shared" si="99"/>
        <v>0</v>
      </c>
      <c r="KQ21" s="5">
        <f t="shared" si="100"/>
        <v>1474021</v>
      </c>
      <c r="KR21" s="29">
        <f t="shared" si="101"/>
        <v>0</v>
      </c>
      <c r="KS21" s="5">
        <f t="shared" si="102"/>
        <v>466901</v>
      </c>
      <c r="KT21" s="29">
        <f t="shared" si="103"/>
        <v>0</v>
      </c>
      <c r="KU21" s="5">
        <f t="shared" si="104"/>
        <v>147902</v>
      </c>
      <c r="KV21" s="29">
        <f t="shared" si="105"/>
        <v>0</v>
      </c>
      <c r="KW21" s="5">
        <f t="shared" si="106"/>
        <v>300063</v>
      </c>
      <c r="KX21" s="29">
        <f t="shared" si="107"/>
        <v>0</v>
      </c>
      <c r="KY21" s="5">
        <f t="shared" si="108"/>
        <v>35575172</v>
      </c>
      <c r="KZ21" s="29">
        <f t="shared" si="109"/>
        <v>0</v>
      </c>
      <c r="LA21" s="5">
        <f t="shared" si="110"/>
        <v>6163139</v>
      </c>
      <c r="LB21" s="29">
        <f t="shared" si="111"/>
        <v>0</v>
      </c>
      <c r="LC21" s="5">
        <f t="shared" si="112"/>
        <v>687883</v>
      </c>
      <c r="LD21" s="29">
        <f t="shared" si="113"/>
        <v>0</v>
      </c>
      <c r="LE21" s="5">
        <f t="shared" si="114"/>
        <v>5966793</v>
      </c>
      <c r="LF21" s="29">
        <f t="shared" si="115"/>
        <v>0</v>
      </c>
      <c r="LG21" s="5">
        <f t="shared" si="116"/>
        <v>0</v>
      </c>
      <c r="LH21" s="29">
        <f t="shared" si="117"/>
        <v>0</v>
      </c>
      <c r="LI21" s="5">
        <f t="shared" si="118"/>
        <v>6861902</v>
      </c>
      <c r="LJ21" s="29">
        <f t="shared" si="119"/>
        <v>0</v>
      </c>
      <c r="LK21" s="5">
        <f t="shared" si="120"/>
        <v>0</v>
      </c>
      <c r="LL21" s="29">
        <f t="shared" si="121"/>
        <v>0</v>
      </c>
      <c r="LM21" s="5">
        <f t="shared" si="122"/>
        <v>0</v>
      </c>
      <c r="LN21" s="29">
        <f t="shared" si="123"/>
        <v>0</v>
      </c>
      <c r="LO21" s="5">
        <f t="shared" si="124"/>
        <v>587319</v>
      </c>
      <c r="LP21" s="29">
        <f t="shared" si="125"/>
        <v>0</v>
      </c>
      <c r="LQ21" s="5">
        <f t="shared" si="126"/>
        <v>3235106</v>
      </c>
      <c r="LR21" s="29">
        <f t="shared" si="127"/>
        <v>0</v>
      </c>
      <c r="LS21" s="5">
        <f t="shared" si="128"/>
        <v>1785203</v>
      </c>
      <c r="LT21" s="29">
        <f t="shared" si="129"/>
        <v>0</v>
      </c>
      <c r="LU21" s="5">
        <f t="shared" si="130"/>
        <v>1858507</v>
      </c>
      <c r="LV21" s="29">
        <f t="shared" si="131"/>
        <v>0</v>
      </c>
      <c r="LW21" s="5">
        <f t="shared" si="132"/>
        <v>263702</v>
      </c>
      <c r="LX21" s="29">
        <f t="shared" si="133"/>
        <v>0</v>
      </c>
      <c r="LY21" s="5">
        <f t="shared" si="134"/>
        <v>172505</v>
      </c>
      <c r="LZ21" s="29">
        <f t="shared" si="135"/>
        <v>0</v>
      </c>
      <c r="MA21" s="5">
        <f t="shared" si="136"/>
        <v>1806136</v>
      </c>
      <c r="MB21" s="29">
        <f t="shared" si="137"/>
        <v>0</v>
      </c>
      <c r="MC21" s="5">
        <f t="shared" si="138"/>
        <v>37803</v>
      </c>
      <c r="MD21" s="29">
        <f t="shared" si="139"/>
        <v>0</v>
      </c>
      <c r="ME21" s="5">
        <f t="shared" si="140"/>
        <v>1046316</v>
      </c>
      <c r="MF21" s="29">
        <f t="shared" si="141"/>
        <v>0</v>
      </c>
      <c r="MG21" s="5">
        <f t="shared" si="142"/>
        <v>514813</v>
      </c>
      <c r="MH21" s="29">
        <f t="shared" si="143"/>
        <v>0</v>
      </c>
      <c r="MI21" s="5">
        <f t="shared" si="144"/>
        <v>55836</v>
      </c>
      <c r="MJ21" s="29">
        <f t="shared" si="145"/>
        <v>0</v>
      </c>
      <c r="MK21" s="5">
        <f t="shared" si="146"/>
        <v>2580532</v>
      </c>
      <c r="ML21" s="29">
        <f t="shared" si="147"/>
        <v>0</v>
      </c>
      <c r="MM21" s="5">
        <f t="shared" si="148"/>
        <v>33623495</v>
      </c>
      <c r="MN21" s="29">
        <f t="shared" si="149"/>
        <v>0</v>
      </c>
      <c r="MO21" s="5">
        <f t="shared" si="150"/>
        <v>0</v>
      </c>
      <c r="MP21" s="29">
        <f t="shared" si="151"/>
        <v>0</v>
      </c>
      <c r="MQ21" s="5">
        <f t="shared" si="152"/>
        <v>33623495</v>
      </c>
      <c r="MR21" s="29">
        <f t="shared" si="153"/>
        <v>0</v>
      </c>
      <c r="MT21" s="5">
        <f t="shared" si="76"/>
        <v>0</v>
      </c>
      <c r="MV21" s="4">
        <f t="shared" si="77"/>
        <v>0</v>
      </c>
    </row>
    <row r="22" spans="1:360" x14ac:dyDescent="0.15">
      <c r="A22" s="155" t="s">
        <v>429</v>
      </c>
      <c r="B22" s="28" t="s">
        <v>406</v>
      </c>
      <c r="C22" s="48">
        <v>169798</v>
      </c>
      <c r="D22" s="48">
        <v>2012</v>
      </c>
      <c r="E22" s="49">
        <v>1</v>
      </c>
      <c r="F22" s="49">
        <v>9</v>
      </c>
      <c r="G22" s="50">
        <v>9246</v>
      </c>
      <c r="H22" s="50">
        <v>12413</v>
      </c>
      <c r="I22" s="51">
        <v>332625074</v>
      </c>
      <c r="J22" s="51"/>
      <c r="K22" s="51">
        <v>1440110</v>
      </c>
      <c r="L22" s="51"/>
      <c r="M22" s="51">
        <v>15516502</v>
      </c>
      <c r="N22" s="51"/>
      <c r="O22" s="51">
        <v>30451389</v>
      </c>
      <c r="P22" s="51"/>
      <c r="Q22" s="51">
        <v>234145000</v>
      </c>
      <c r="R22" s="51"/>
      <c r="S22" s="51">
        <v>264155942</v>
      </c>
      <c r="T22" s="51"/>
      <c r="U22" s="51">
        <v>17770</v>
      </c>
      <c r="V22" s="51"/>
      <c r="W22" s="51">
        <v>32182</v>
      </c>
      <c r="X22" s="51"/>
      <c r="Y22" s="51">
        <v>19376</v>
      </c>
      <c r="Z22" s="51"/>
      <c r="AA22" s="51">
        <v>34388</v>
      </c>
      <c r="AB22" s="51"/>
      <c r="AC22" s="72">
        <v>9</v>
      </c>
      <c r="AD22" s="72">
        <v>12</v>
      </c>
      <c r="AE22" s="72">
        <v>0</v>
      </c>
      <c r="AF22" s="29">
        <v>3787334</v>
      </c>
      <c r="AG22" s="29">
        <v>3309918</v>
      </c>
      <c r="AH22" s="29">
        <v>358028</v>
      </c>
      <c r="AI22" s="29">
        <v>145563</v>
      </c>
      <c r="AJ22" s="29">
        <v>199302.57</v>
      </c>
      <c r="AK22" s="73">
        <v>7</v>
      </c>
      <c r="AL22" s="29">
        <v>199302.57</v>
      </c>
      <c r="AM22" s="73">
        <v>7</v>
      </c>
      <c r="AN22" s="29">
        <v>88122.7</v>
      </c>
      <c r="AO22" s="73">
        <v>10</v>
      </c>
      <c r="AP22" s="29">
        <v>88122.7</v>
      </c>
      <c r="AQ22" s="73">
        <v>10</v>
      </c>
      <c r="AR22" s="29">
        <v>101728.06</v>
      </c>
      <c r="AS22" s="73">
        <v>18</v>
      </c>
      <c r="AT22" s="29">
        <v>101728.06</v>
      </c>
      <c r="AU22" s="73">
        <v>18</v>
      </c>
      <c r="AV22" s="29">
        <v>53083.58</v>
      </c>
      <c r="AW22" s="73">
        <v>12</v>
      </c>
      <c r="AX22" s="29">
        <v>53083.58</v>
      </c>
      <c r="AY22" s="73">
        <v>12</v>
      </c>
      <c r="AZ22" s="97">
        <v>87702</v>
      </c>
      <c r="BA22" s="97">
        <v>71308</v>
      </c>
      <c r="BB22" s="97">
        <v>14963</v>
      </c>
      <c r="BC22" s="97">
        <v>0</v>
      </c>
      <c r="BD22" s="97">
        <v>0</v>
      </c>
      <c r="BE22" s="97">
        <f>SUM(AZ22:BD22)</f>
        <v>173973</v>
      </c>
      <c r="BF22" s="97">
        <v>1572843</v>
      </c>
      <c r="BG22" s="97">
        <v>0</v>
      </c>
      <c r="BH22" s="97">
        <v>0</v>
      </c>
      <c r="BI22" s="97">
        <v>0</v>
      </c>
      <c r="BJ22" s="97">
        <v>0</v>
      </c>
      <c r="BK22" s="97">
        <v>1572843</v>
      </c>
      <c r="BL22" s="97">
        <v>1154150</v>
      </c>
      <c r="BM22" s="97">
        <v>135000</v>
      </c>
      <c r="BN22" s="97">
        <v>15000</v>
      </c>
      <c r="BO22" s="97">
        <v>21700</v>
      </c>
      <c r="BP22" s="97">
        <v>0</v>
      </c>
      <c r="BQ22" s="97">
        <f>SUM(BL22:BP22)</f>
        <v>1325850</v>
      </c>
      <c r="BR22" s="97">
        <v>201015</v>
      </c>
      <c r="BS22" s="97">
        <v>7964</v>
      </c>
      <c r="BT22" s="97">
        <v>6105</v>
      </c>
      <c r="BU22" s="97">
        <v>302954</v>
      </c>
      <c r="BV22" s="97">
        <v>45792</v>
      </c>
      <c r="BW22" s="97">
        <v>563830</v>
      </c>
      <c r="BX22" s="97">
        <v>0</v>
      </c>
      <c r="BY22" s="97">
        <v>0</v>
      </c>
      <c r="BZ22" s="97">
        <v>0</v>
      </c>
      <c r="CA22" s="97">
        <v>0</v>
      </c>
      <c r="CB22" s="97">
        <v>0</v>
      </c>
      <c r="CC22" s="97">
        <v>0</v>
      </c>
      <c r="CD22" s="97">
        <v>0</v>
      </c>
      <c r="CE22" s="97">
        <v>0</v>
      </c>
      <c r="CF22" s="97">
        <v>0</v>
      </c>
      <c r="CG22" s="97">
        <v>0</v>
      </c>
      <c r="CH22" s="97">
        <v>0</v>
      </c>
      <c r="CI22" s="97">
        <v>0</v>
      </c>
      <c r="CJ22" s="97">
        <v>3126585</v>
      </c>
      <c r="CK22" s="97">
        <v>1443145</v>
      </c>
      <c r="CL22" s="97">
        <v>1211817</v>
      </c>
      <c r="CM22" s="97">
        <v>7023032</v>
      </c>
      <c r="CN22" s="97">
        <v>3952347</v>
      </c>
      <c r="CO22" s="97">
        <f>SUM(CJ22:CN22)</f>
        <v>16756926</v>
      </c>
      <c r="CP22" s="97">
        <v>1282839</v>
      </c>
      <c r="CQ22" s="97">
        <v>588298</v>
      </c>
      <c r="CR22" s="97">
        <v>354342</v>
      </c>
      <c r="CS22" s="97">
        <v>1428723</v>
      </c>
      <c r="CT22" s="97">
        <v>2314954</v>
      </c>
      <c r="CU22" s="97">
        <f>SUM(CP22:CT22)</f>
        <v>5969156</v>
      </c>
      <c r="CV22" s="97">
        <v>228811</v>
      </c>
      <c r="CW22" s="97">
        <v>0</v>
      </c>
      <c r="CX22" s="97">
        <v>27388</v>
      </c>
      <c r="CY22" s="97">
        <v>0</v>
      </c>
      <c r="CZ22" s="97">
        <v>2053822</v>
      </c>
      <c r="DA22" s="97">
        <f>SUM(CV22:CZ22)</f>
        <v>2310021</v>
      </c>
      <c r="DB22" s="97">
        <v>0</v>
      </c>
      <c r="DC22" s="97">
        <v>0</v>
      </c>
      <c r="DD22" s="97">
        <v>0</v>
      </c>
      <c r="DE22" s="97">
        <v>0</v>
      </c>
      <c r="DF22" s="97">
        <v>0</v>
      </c>
      <c r="DG22" s="97">
        <v>0</v>
      </c>
      <c r="DH22" s="97">
        <v>0</v>
      </c>
      <c r="DI22" s="97">
        <v>0</v>
      </c>
      <c r="DJ22" s="97">
        <v>0</v>
      </c>
      <c r="DK22" s="97">
        <v>0</v>
      </c>
      <c r="DL22" s="97">
        <v>2086</v>
      </c>
      <c r="DM22" s="97">
        <f>SUM(DK22:DL22)</f>
        <v>2086</v>
      </c>
      <c r="DN22" s="97">
        <v>0</v>
      </c>
      <c r="DO22" s="97">
        <v>0</v>
      </c>
      <c r="DP22" s="97">
        <v>0</v>
      </c>
      <c r="DQ22" s="97">
        <v>0</v>
      </c>
      <c r="DR22" s="97">
        <v>18315</v>
      </c>
      <c r="DS22" s="97">
        <v>18315</v>
      </c>
      <c r="DT22" s="97">
        <v>15217</v>
      </c>
      <c r="DU22" s="97">
        <v>3912</v>
      </c>
      <c r="DV22" s="97">
        <v>780</v>
      </c>
      <c r="DW22" s="97">
        <v>71889</v>
      </c>
      <c r="DX22" s="97">
        <v>39222</v>
      </c>
      <c r="DY22" s="97">
        <f>SUM(DT22:DX22)</f>
        <v>131020</v>
      </c>
      <c r="DZ22" s="97">
        <v>0</v>
      </c>
      <c r="EA22" s="97">
        <v>0</v>
      </c>
      <c r="EB22" s="97">
        <v>0</v>
      </c>
      <c r="EC22" s="97">
        <v>0</v>
      </c>
      <c r="ED22" s="97">
        <v>0</v>
      </c>
      <c r="EE22" s="97">
        <v>0</v>
      </c>
      <c r="EF22" s="97">
        <v>34802</v>
      </c>
      <c r="EG22" s="97">
        <v>0</v>
      </c>
      <c r="EH22" s="97">
        <v>0</v>
      </c>
      <c r="EI22" s="97">
        <v>2786</v>
      </c>
      <c r="EJ22" s="97">
        <v>201297</v>
      </c>
      <c r="EK22" s="97">
        <v>238885</v>
      </c>
      <c r="EL22" s="97">
        <v>7703964</v>
      </c>
      <c r="EM22" s="97">
        <v>2249627</v>
      </c>
      <c r="EN22" s="97">
        <v>1630395</v>
      </c>
      <c r="EO22" s="97">
        <v>8851084</v>
      </c>
      <c r="EP22" s="97">
        <v>8627835</v>
      </c>
      <c r="EQ22" s="97">
        <f>SUM(EL22:EP22)</f>
        <v>29062905</v>
      </c>
      <c r="ER22" s="97">
        <v>2189640</v>
      </c>
      <c r="ES22" s="97">
        <v>334560</v>
      </c>
      <c r="ET22" s="97">
        <v>409963</v>
      </c>
      <c r="EU22" s="97">
        <v>4163089</v>
      </c>
      <c r="EV22" s="97">
        <v>0</v>
      </c>
      <c r="EW22" s="97">
        <f>SUM(ER22:EV22)</f>
        <v>7097252</v>
      </c>
      <c r="EX22" s="97">
        <v>732500</v>
      </c>
      <c r="EY22" s="97">
        <v>0</v>
      </c>
      <c r="EZ22" s="97">
        <v>4000</v>
      </c>
      <c r="FA22" s="97">
        <v>0</v>
      </c>
      <c r="FB22" s="97">
        <v>0</v>
      </c>
      <c r="FC22" s="97">
        <f>SUM(EX22:FB22)</f>
        <v>736500</v>
      </c>
      <c r="FD22" s="97">
        <v>1648053</v>
      </c>
      <c r="FE22" s="97">
        <v>803231</v>
      </c>
      <c r="FF22" s="97">
        <v>490377</v>
      </c>
      <c r="FG22" s="97">
        <v>1693866</v>
      </c>
      <c r="FH22" s="97">
        <v>108926</v>
      </c>
      <c r="FI22" s="97">
        <f>SUM(FD22:FH22)</f>
        <v>4744453</v>
      </c>
      <c r="FJ22" s="97">
        <v>0</v>
      </c>
      <c r="FK22" s="97">
        <v>0</v>
      </c>
      <c r="FL22" s="97">
        <v>0</v>
      </c>
      <c r="FM22" s="97">
        <v>0</v>
      </c>
      <c r="FN22" s="97">
        <v>0</v>
      </c>
      <c r="FO22" s="97">
        <v>0</v>
      </c>
      <c r="FP22" s="97">
        <v>195559</v>
      </c>
      <c r="FQ22" s="97">
        <v>58799</v>
      </c>
      <c r="FR22" s="97">
        <v>36109</v>
      </c>
      <c r="FS22" s="97">
        <v>124310</v>
      </c>
      <c r="FT22" s="97">
        <v>2155155</v>
      </c>
      <c r="FU22" s="97">
        <f>SUM(FP22:FT22)</f>
        <v>2569932</v>
      </c>
      <c r="FV22" s="97">
        <v>0</v>
      </c>
      <c r="FW22" s="97">
        <v>0</v>
      </c>
      <c r="FX22" s="97">
        <v>0</v>
      </c>
      <c r="FY22" s="97">
        <v>0</v>
      </c>
      <c r="FZ22" s="97">
        <v>0</v>
      </c>
      <c r="GA22" s="97">
        <v>0</v>
      </c>
      <c r="GB22" s="97">
        <v>0</v>
      </c>
      <c r="GC22" s="97">
        <v>0</v>
      </c>
      <c r="GD22" s="97">
        <v>0</v>
      </c>
      <c r="GE22" s="97">
        <v>0</v>
      </c>
      <c r="GF22" s="97">
        <v>0</v>
      </c>
      <c r="GG22" s="97">
        <v>0</v>
      </c>
      <c r="GH22" s="97">
        <v>190308</v>
      </c>
      <c r="GI22" s="97">
        <v>53044</v>
      </c>
      <c r="GJ22" s="97">
        <v>26529</v>
      </c>
      <c r="GK22" s="97">
        <v>233710</v>
      </c>
      <c r="GL22" s="97">
        <v>64703</v>
      </c>
      <c r="GM22" s="97">
        <f>SUM(GH22:GL22)</f>
        <v>568294</v>
      </c>
      <c r="GN22" s="97">
        <v>303203</v>
      </c>
      <c r="GO22" s="97">
        <v>213448</v>
      </c>
      <c r="GP22" s="97">
        <v>137822</v>
      </c>
      <c r="GQ22" s="97">
        <v>653086</v>
      </c>
      <c r="GR22" s="97">
        <v>19165</v>
      </c>
      <c r="GS22" s="97">
        <v>1326724</v>
      </c>
      <c r="GT22" s="97">
        <v>414823</v>
      </c>
      <c r="GU22" s="97">
        <v>122715</v>
      </c>
      <c r="GV22" s="97">
        <v>79894</v>
      </c>
      <c r="GW22" s="97">
        <v>370392</v>
      </c>
      <c r="GX22" s="97">
        <v>224855</v>
      </c>
      <c r="GY22" s="97">
        <f>SUM(GT22:GX22)</f>
        <v>1212679</v>
      </c>
      <c r="GZ22" s="97">
        <v>152785</v>
      </c>
      <c r="HA22" s="97">
        <v>93775</v>
      </c>
      <c r="HB22" s="97">
        <v>40686</v>
      </c>
      <c r="HC22" s="97">
        <v>60686</v>
      </c>
      <c r="HD22" s="97">
        <v>0</v>
      </c>
      <c r="HE22" s="97">
        <f>SUM(GZ22:HD22)</f>
        <v>347932</v>
      </c>
      <c r="HF22" s="97">
        <v>98719</v>
      </c>
      <c r="HG22" s="97">
        <v>34647</v>
      </c>
      <c r="HH22" s="97">
        <v>35727</v>
      </c>
      <c r="HI22" s="97">
        <v>12550</v>
      </c>
      <c r="HJ22" s="97">
        <v>639050</v>
      </c>
      <c r="HK22" s="97">
        <f>SUM(HF22:HJ22)</f>
        <v>820693</v>
      </c>
      <c r="HL22" s="97">
        <v>13365</v>
      </c>
      <c r="HM22" s="97">
        <v>15986</v>
      </c>
      <c r="HN22" s="97">
        <v>3469</v>
      </c>
      <c r="HO22" s="97">
        <v>65832</v>
      </c>
      <c r="HP22" s="97">
        <v>0</v>
      </c>
      <c r="HQ22" s="97">
        <f>SUM(HL22:HP22)</f>
        <v>98652</v>
      </c>
      <c r="HR22" s="97">
        <v>350808</v>
      </c>
      <c r="HS22" s="97">
        <v>39063</v>
      </c>
      <c r="HT22" s="97">
        <v>11519</v>
      </c>
      <c r="HU22" s="97">
        <v>70758</v>
      </c>
      <c r="HV22" s="97">
        <v>242203</v>
      </c>
      <c r="HW22" s="97">
        <v>714351</v>
      </c>
      <c r="HX22" s="97">
        <v>0</v>
      </c>
      <c r="HY22" s="97">
        <v>0</v>
      </c>
      <c r="HZ22" s="97">
        <v>0</v>
      </c>
      <c r="IA22" s="97">
        <v>0</v>
      </c>
      <c r="IB22" s="97">
        <v>27310</v>
      </c>
      <c r="IC22" s="97">
        <v>27310</v>
      </c>
      <c r="ID22" s="97">
        <v>1282839</v>
      </c>
      <c r="IE22" s="97">
        <v>588298</v>
      </c>
      <c r="IF22" s="97">
        <v>354342</v>
      </c>
      <c r="IG22" s="97">
        <v>1428723</v>
      </c>
      <c r="IH22" s="97">
        <v>2314954</v>
      </c>
      <c r="II22" s="97">
        <f>SUM(ID22:IH22)</f>
        <v>5969156</v>
      </c>
      <c r="IJ22" s="97">
        <v>4714</v>
      </c>
      <c r="IK22" s="97">
        <v>1356</v>
      </c>
      <c r="IL22" s="97">
        <v>1024</v>
      </c>
      <c r="IM22" s="97">
        <v>1619</v>
      </c>
      <c r="IN22" s="97">
        <v>502572</v>
      </c>
      <c r="IO22" s="97">
        <f>SUM(IJ22:IN22)</f>
        <v>511285</v>
      </c>
      <c r="IP22" s="97">
        <v>0</v>
      </c>
      <c r="IQ22" s="97">
        <v>0</v>
      </c>
      <c r="IR22" s="97">
        <v>0</v>
      </c>
      <c r="IS22" s="97">
        <v>0</v>
      </c>
      <c r="IT22" s="97">
        <v>277983</v>
      </c>
      <c r="IU22" s="97">
        <v>277983</v>
      </c>
      <c r="IV22" s="97">
        <v>167418</v>
      </c>
      <c r="IW22" s="97">
        <v>11105</v>
      </c>
      <c r="IX22" s="97">
        <v>6644</v>
      </c>
      <c r="IY22" s="97">
        <v>180692</v>
      </c>
      <c r="IZ22" s="97">
        <v>409063</v>
      </c>
      <c r="JA22" s="97">
        <f>SUM(IV22:IZ22)</f>
        <v>774922</v>
      </c>
      <c r="JB22" s="97">
        <v>7744734</v>
      </c>
      <c r="JC22" s="97">
        <v>2370027</v>
      </c>
      <c r="JD22" s="97">
        <v>1638105</v>
      </c>
      <c r="JE22" s="97">
        <v>9059313</v>
      </c>
      <c r="JF22" s="97">
        <v>6985939</v>
      </c>
      <c r="JG22" s="97">
        <v>27798118</v>
      </c>
      <c r="JH22" s="97">
        <v>0</v>
      </c>
      <c r="JI22" s="97">
        <v>0</v>
      </c>
      <c r="JJ22" s="97">
        <v>0</v>
      </c>
      <c r="JK22" s="97">
        <v>0</v>
      </c>
      <c r="JL22" s="97">
        <v>0</v>
      </c>
      <c r="JM22" s="97">
        <v>0</v>
      </c>
      <c r="JN22" s="99">
        <v>7744734</v>
      </c>
      <c r="JO22" s="99">
        <v>2370027</v>
      </c>
      <c r="JP22" s="99">
        <v>1638105</v>
      </c>
      <c r="JQ22" s="99">
        <v>9059313</v>
      </c>
      <c r="JR22" s="99">
        <v>6985939</v>
      </c>
      <c r="JS22" s="99">
        <v>27798118</v>
      </c>
      <c r="JT22" s="12"/>
      <c r="JU22" s="5">
        <f t="shared" si="78"/>
        <v>173973</v>
      </c>
      <c r="JV22" s="29">
        <f t="shared" si="79"/>
        <v>0</v>
      </c>
      <c r="JW22" s="5">
        <f t="shared" si="80"/>
        <v>1572843</v>
      </c>
      <c r="JX22" s="29">
        <f t="shared" si="81"/>
        <v>0</v>
      </c>
      <c r="JY22" s="5">
        <f t="shared" si="82"/>
        <v>1325850</v>
      </c>
      <c r="JZ22" s="29">
        <f t="shared" si="83"/>
        <v>0</v>
      </c>
      <c r="KA22" s="5">
        <f t="shared" si="84"/>
        <v>563830</v>
      </c>
      <c r="KB22" s="29">
        <f t="shared" si="85"/>
        <v>0</v>
      </c>
      <c r="KC22" s="5">
        <f t="shared" si="86"/>
        <v>0</v>
      </c>
      <c r="KD22" s="29">
        <f t="shared" si="87"/>
        <v>0</v>
      </c>
      <c r="KE22" s="5">
        <f t="shared" si="88"/>
        <v>0</v>
      </c>
      <c r="KF22" s="29">
        <f t="shared" si="89"/>
        <v>0</v>
      </c>
      <c r="KG22" s="5">
        <f t="shared" si="90"/>
        <v>16756926</v>
      </c>
      <c r="KH22" s="29">
        <f t="shared" si="91"/>
        <v>0</v>
      </c>
      <c r="KI22" s="5">
        <f t="shared" si="92"/>
        <v>5969156</v>
      </c>
      <c r="KJ22" s="29">
        <f t="shared" si="93"/>
        <v>0</v>
      </c>
      <c r="KK22" s="5">
        <f t="shared" si="94"/>
        <v>2310021</v>
      </c>
      <c r="KL22" s="29">
        <f t="shared" si="95"/>
        <v>0</v>
      </c>
      <c r="KM22" s="5">
        <f t="shared" si="96"/>
        <v>0</v>
      </c>
      <c r="KN22" s="29">
        <f t="shared" si="97"/>
        <v>0</v>
      </c>
      <c r="KO22" s="5">
        <f t="shared" si="98"/>
        <v>2086</v>
      </c>
      <c r="KP22" s="29">
        <f t="shared" si="99"/>
        <v>0</v>
      </c>
      <c r="KQ22" s="5">
        <f t="shared" si="100"/>
        <v>18315</v>
      </c>
      <c r="KR22" s="29">
        <f t="shared" si="101"/>
        <v>0</v>
      </c>
      <c r="KS22" s="5">
        <f t="shared" si="102"/>
        <v>131020</v>
      </c>
      <c r="KT22" s="29">
        <f t="shared" si="103"/>
        <v>0</v>
      </c>
      <c r="KU22" s="5">
        <f t="shared" si="104"/>
        <v>0</v>
      </c>
      <c r="KV22" s="29">
        <f t="shared" si="105"/>
        <v>0</v>
      </c>
      <c r="KW22" s="5">
        <f t="shared" si="106"/>
        <v>238885</v>
      </c>
      <c r="KX22" s="29">
        <f t="shared" si="107"/>
        <v>0</v>
      </c>
      <c r="KY22" s="5">
        <f t="shared" si="108"/>
        <v>29062905</v>
      </c>
      <c r="KZ22" s="29">
        <f t="shared" si="109"/>
        <v>0</v>
      </c>
      <c r="LA22" s="5">
        <f t="shared" si="110"/>
        <v>7097252</v>
      </c>
      <c r="LB22" s="29">
        <f t="shared" si="111"/>
        <v>0</v>
      </c>
      <c r="LC22" s="5">
        <f t="shared" si="112"/>
        <v>736500</v>
      </c>
      <c r="LD22" s="29">
        <f t="shared" si="113"/>
        <v>0</v>
      </c>
      <c r="LE22" s="5">
        <f t="shared" si="114"/>
        <v>4744453</v>
      </c>
      <c r="LF22" s="29">
        <f t="shared" si="115"/>
        <v>0</v>
      </c>
      <c r="LG22" s="5">
        <f t="shared" si="116"/>
        <v>0</v>
      </c>
      <c r="LH22" s="29">
        <f t="shared" si="117"/>
        <v>0</v>
      </c>
      <c r="LI22" s="5">
        <f t="shared" si="118"/>
        <v>2569932</v>
      </c>
      <c r="LJ22" s="29">
        <f t="shared" si="119"/>
        <v>0</v>
      </c>
      <c r="LK22" s="5">
        <f t="shared" si="120"/>
        <v>0</v>
      </c>
      <c r="LL22" s="29">
        <f t="shared" si="121"/>
        <v>0</v>
      </c>
      <c r="LM22" s="5">
        <f t="shared" si="122"/>
        <v>0</v>
      </c>
      <c r="LN22" s="29">
        <f t="shared" si="123"/>
        <v>0</v>
      </c>
      <c r="LO22" s="5">
        <f t="shared" si="124"/>
        <v>568294</v>
      </c>
      <c r="LP22" s="29">
        <f t="shared" si="125"/>
        <v>0</v>
      </c>
      <c r="LQ22" s="5">
        <f t="shared" si="126"/>
        <v>1326724</v>
      </c>
      <c r="LR22" s="29">
        <f t="shared" si="127"/>
        <v>0</v>
      </c>
      <c r="LS22" s="5">
        <f t="shared" si="128"/>
        <v>1212679</v>
      </c>
      <c r="LT22" s="29">
        <f t="shared" si="129"/>
        <v>0</v>
      </c>
      <c r="LU22" s="5">
        <f t="shared" si="130"/>
        <v>347932</v>
      </c>
      <c r="LV22" s="29">
        <f t="shared" si="131"/>
        <v>0</v>
      </c>
      <c r="LW22" s="5">
        <f t="shared" si="132"/>
        <v>820693</v>
      </c>
      <c r="LX22" s="29">
        <f t="shared" si="133"/>
        <v>0</v>
      </c>
      <c r="LY22" s="5">
        <f t="shared" si="134"/>
        <v>98652</v>
      </c>
      <c r="LZ22" s="29">
        <f t="shared" si="135"/>
        <v>0</v>
      </c>
      <c r="MA22" s="5">
        <f t="shared" si="136"/>
        <v>714351</v>
      </c>
      <c r="MB22" s="29">
        <f t="shared" si="137"/>
        <v>0</v>
      </c>
      <c r="MC22" s="5">
        <f t="shared" si="138"/>
        <v>27310</v>
      </c>
      <c r="MD22" s="29">
        <f t="shared" si="139"/>
        <v>0</v>
      </c>
      <c r="ME22" s="5">
        <f t="shared" si="140"/>
        <v>5969156</v>
      </c>
      <c r="MF22" s="29">
        <f t="shared" si="141"/>
        <v>0</v>
      </c>
      <c r="MG22" s="5">
        <f t="shared" si="142"/>
        <v>511285</v>
      </c>
      <c r="MH22" s="29">
        <f t="shared" si="143"/>
        <v>0</v>
      </c>
      <c r="MI22" s="5">
        <f t="shared" si="144"/>
        <v>277983</v>
      </c>
      <c r="MJ22" s="29">
        <f t="shared" si="145"/>
        <v>0</v>
      </c>
      <c r="MK22" s="5">
        <f t="shared" si="146"/>
        <v>774922</v>
      </c>
      <c r="ML22" s="29">
        <f t="shared" si="147"/>
        <v>0</v>
      </c>
      <c r="MM22" s="5">
        <f t="shared" si="148"/>
        <v>27798118</v>
      </c>
      <c r="MN22" s="29">
        <f t="shared" si="149"/>
        <v>0</v>
      </c>
      <c r="MO22" s="5">
        <f t="shared" si="150"/>
        <v>0</v>
      </c>
      <c r="MP22" s="29">
        <f t="shared" si="151"/>
        <v>0</v>
      </c>
      <c r="MQ22" s="5">
        <f t="shared" si="152"/>
        <v>27798118</v>
      </c>
      <c r="MR22" s="29">
        <f t="shared" si="153"/>
        <v>0</v>
      </c>
      <c r="MT22" s="5">
        <f t="shared" si="76"/>
        <v>0</v>
      </c>
      <c r="MV22" s="4">
        <f t="shared" si="77"/>
        <v>0</v>
      </c>
    </row>
    <row r="23" spans="1:360" x14ac:dyDescent="0.15">
      <c r="A23" s="155" t="s">
        <v>430</v>
      </c>
      <c r="B23" s="28" t="s">
        <v>406</v>
      </c>
      <c r="C23" s="47">
        <v>134130</v>
      </c>
      <c r="D23" s="48">
        <v>2012</v>
      </c>
      <c r="E23" s="49">
        <v>1</v>
      </c>
      <c r="F23" s="49">
        <v>5</v>
      </c>
      <c r="G23" s="50">
        <v>13331</v>
      </c>
      <c r="H23" s="50">
        <v>17012</v>
      </c>
      <c r="I23" s="51">
        <v>2318503000</v>
      </c>
      <c r="J23" s="51"/>
      <c r="K23" s="51">
        <v>6098804</v>
      </c>
      <c r="L23" s="51"/>
      <c r="M23" s="51">
        <v>13407040</v>
      </c>
      <c r="N23" s="51"/>
      <c r="O23" s="51">
        <v>92790000</v>
      </c>
      <c r="P23" s="51"/>
      <c r="Q23" s="51">
        <v>131378621</v>
      </c>
      <c r="R23" s="51"/>
      <c r="S23" s="51">
        <v>2120048000</v>
      </c>
      <c r="T23" s="51"/>
      <c r="U23" s="51">
        <v>15290</v>
      </c>
      <c r="V23" s="51"/>
      <c r="W23" s="51">
        <v>37526</v>
      </c>
      <c r="X23" s="51"/>
      <c r="Y23" s="51">
        <v>19830</v>
      </c>
      <c r="Z23" s="51"/>
      <c r="AA23" s="51">
        <v>42066</v>
      </c>
      <c r="AB23" s="51"/>
      <c r="AC23" s="30">
        <v>9</v>
      </c>
      <c r="AD23" s="30">
        <v>12</v>
      </c>
      <c r="AE23" s="30">
        <v>0</v>
      </c>
      <c r="AF23" s="29">
        <v>4125023</v>
      </c>
      <c r="AG23" s="29">
        <v>4477051</v>
      </c>
      <c r="AH23" s="29">
        <v>1053664</v>
      </c>
      <c r="AI23" s="29">
        <v>504447</v>
      </c>
      <c r="AJ23" s="29">
        <v>1270588</v>
      </c>
      <c r="AK23" s="73">
        <v>6</v>
      </c>
      <c r="AL23" s="29">
        <v>1089076</v>
      </c>
      <c r="AM23" s="73">
        <v>7</v>
      </c>
      <c r="AN23" s="29">
        <v>271359</v>
      </c>
      <c r="AO23" s="73">
        <v>9</v>
      </c>
      <c r="AP23" s="29">
        <v>244223</v>
      </c>
      <c r="AQ23" s="73">
        <v>10</v>
      </c>
      <c r="AR23" s="29">
        <v>243704</v>
      </c>
      <c r="AS23" s="73">
        <v>22</v>
      </c>
      <c r="AT23" s="29">
        <v>191481</v>
      </c>
      <c r="AU23" s="73">
        <v>28</v>
      </c>
      <c r="AV23" s="29">
        <v>110537</v>
      </c>
      <c r="AW23" s="73">
        <v>20</v>
      </c>
      <c r="AX23" s="29">
        <v>88430</v>
      </c>
      <c r="AY23" s="73">
        <v>25</v>
      </c>
      <c r="AZ23" s="97">
        <v>20319221</v>
      </c>
      <c r="BA23" s="97">
        <v>1949004</v>
      </c>
      <c r="BB23" s="97">
        <v>36455</v>
      </c>
      <c r="BC23" s="97">
        <v>558655</v>
      </c>
      <c r="BD23" s="97">
        <v>717363</v>
      </c>
      <c r="BE23" s="97">
        <f>SUM(AZ23:BD23)</f>
        <v>23580698</v>
      </c>
      <c r="BF23" s="97">
        <v>0</v>
      </c>
      <c r="BG23" s="97">
        <v>0</v>
      </c>
      <c r="BH23" s="97">
        <v>0</v>
      </c>
      <c r="BI23" s="97">
        <v>0</v>
      </c>
      <c r="BJ23" s="97">
        <v>2420030</v>
      </c>
      <c r="BK23" s="97">
        <v>2420030</v>
      </c>
      <c r="BL23" s="97">
        <v>549200</v>
      </c>
      <c r="BM23" s="97">
        <v>0</v>
      </c>
      <c r="BN23" s="97">
        <v>0</v>
      </c>
      <c r="BO23" s="97">
        <v>25000</v>
      </c>
      <c r="BP23" s="97">
        <v>0</v>
      </c>
      <c r="BQ23" s="97">
        <f>SUM(BL23:BP23)</f>
        <v>574200</v>
      </c>
      <c r="BR23" s="97">
        <v>35871054</v>
      </c>
      <c r="BS23" s="97">
        <v>1791862</v>
      </c>
      <c r="BT23" s="97">
        <v>0</v>
      </c>
      <c r="BU23" s="97">
        <v>3205338</v>
      </c>
      <c r="BV23" s="97">
        <v>5257733</v>
      </c>
      <c r="BW23" s="97">
        <v>46125987</v>
      </c>
      <c r="BX23" s="97">
        <v>200000</v>
      </c>
      <c r="BY23" s="97">
        <v>225000</v>
      </c>
      <c r="BZ23" s="97">
        <v>25000</v>
      </c>
      <c r="CA23" s="97">
        <v>55000</v>
      </c>
      <c r="CB23" s="97">
        <v>0</v>
      </c>
      <c r="CC23" s="97">
        <f>SUM(BX23:CB23)</f>
        <v>505000</v>
      </c>
      <c r="CD23" s="97">
        <v>0</v>
      </c>
      <c r="CE23" s="97">
        <v>0</v>
      </c>
      <c r="CF23" s="97">
        <v>0</v>
      </c>
      <c r="CG23" s="97">
        <v>0</v>
      </c>
      <c r="CH23" s="97">
        <v>1936427</v>
      </c>
      <c r="CI23" s="97">
        <v>1936427</v>
      </c>
      <c r="CJ23" s="97">
        <v>0</v>
      </c>
      <c r="CK23" s="97">
        <v>0</v>
      </c>
      <c r="CL23" s="97">
        <v>0</v>
      </c>
      <c r="CM23" s="97">
        <v>0</v>
      </c>
      <c r="CN23" s="97">
        <v>0</v>
      </c>
      <c r="CO23" s="97">
        <v>0</v>
      </c>
      <c r="CP23" s="97">
        <v>0</v>
      </c>
      <c r="CQ23" s="97">
        <v>0</v>
      </c>
      <c r="CR23" s="97"/>
      <c r="CS23" s="97">
        <v>0</v>
      </c>
      <c r="CT23" s="97">
        <v>0</v>
      </c>
      <c r="CU23" s="97">
        <v>0</v>
      </c>
      <c r="CV23" s="97">
        <v>16206452</v>
      </c>
      <c r="CW23" s="97">
        <v>5254960</v>
      </c>
      <c r="CX23" s="97">
        <v>9462</v>
      </c>
      <c r="CY23" s="97">
        <v>255098</v>
      </c>
      <c r="CZ23" s="97">
        <v>430361</v>
      </c>
      <c r="DA23" s="97">
        <f>SUM(CV23:CZ23)</f>
        <v>22156333</v>
      </c>
      <c r="DB23" s="97">
        <v>0</v>
      </c>
      <c r="DC23" s="97"/>
      <c r="DD23" s="97">
        <v>0</v>
      </c>
      <c r="DE23" s="97">
        <v>0</v>
      </c>
      <c r="DF23" s="97">
        <v>7827500</v>
      </c>
      <c r="DG23" s="97">
        <v>7827500</v>
      </c>
      <c r="DH23" s="97">
        <v>963793</v>
      </c>
      <c r="DI23" s="97">
        <v>42120</v>
      </c>
      <c r="DJ23" s="97">
        <v>6029</v>
      </c>
      <c r="DK23" s="97">
        <v>258661</v>
      </c>
      <c r="DL23" s="97">
        <v>2183463</v>
      </c>
      <c r="DM23" s="97">
        <f>SUM(DH23:DL23)</f>
        <v>3454066</v>
      </c>
      <c r="DN23" s="97">
        <v>545533</v>
      </c>
      <c r="DO23" s="97">
        <v>359000</v>
      </c>
      <c r="DP23" s="97">
        <v>34000</v>
      </c>
      <c r="DQ23" s="97">
        <v>317000</v>
      </c>
      <c r="DR23" s="97">
        <v>7427067</v>
      </c>
      <c r="DS23" s="97">
        <f>SUM(DN23:DR23)</f>
        <v>8682600</v>
      </c>
      <c r="DT23" s="97">
        <v>209897</v>
      </c>
      <c r="DU23" s="97">
        <v>240632</v>
      </c>
      <c r="DV23" s="97">
        <v>63768</v>
      </c>
      <c r="DW23" s="97">
        <v>1792965</v>
      </c>
      <c r="DX23" s="97">
        <v>113112</v>
      </c>
      <c r="DY23" s="97">
        <f>SUM(DT23:DX23)</f>
        <v>2420374</v>
      </c>
      <c r="DZ23" s="97">
        <v>0</v>
      </c>
      <c r="EA23" s="97">
        <v>0</v>
      </c>
      <c r="EB23" s="97">
        <v>0</v>
      </c>
      <c r="EC23" s="97">
        <v>0</v>
      </c>
      <c r="ED23" s="97">
        <v>-666629</v>
      </c>
      <c r="EE23" s="97">
        <v>-666629</v>
      </c>
      <c r="EF23" s="97">
        <v>1485</v>
      </c>
      <c r="EG23" s="97">
        <v>0</v>
      </c>
      <c r="EH23" s="97">
        <v>0</v>
      </c>
      <c r="EI23" s="97">
        <v>90737</v>
      </c>
      <c r="EJ23" s="97">
        <v>1663298</v>
      </c>
      <c r="EK23" s="97">
        <f>SUM(EF23:EJ23)</f>
        <v>1755520</v>
      </c>
      <c r="EL23" s="97">
        <v>74317435</v>
      </c>
      <c r="EM23" s="97">
        <v>10411778</v>
      </c>
      <c r="EN23" s="97">
        <v>174714</v>
      </c>
      <c r="EO23" s="97">
        <v>10883065</v>
      </c>
      <c r="EP23" s="97">
        <v>24985114</v>
      </c>
      <c r="EQ23" s="97">
        <f>SUM(EL23:EP23)</f>
        <v>120772106</v>
      </c>
      <c r="ER23" s="97">
        <v>2269910</v>
      </c>
      <c r="ES23" s="97">
        <v>409689</v>
      </c>
      <c r="ET23" s="97">
        <v>540214</v>
      </c>
      <c r="EU23" s="97">
        <v>5382261</v>
      </c>
      <c r="EV23" s="97">
        <v>704674</v>
      </c>
      <c r="EW23" s="97">
        <f>SUM(ER23:EV23)</f>
        <v>9306748</v>
      </c>
      <c r="EX23" s="97">
        <v>2212500</v>
      </c>
      <c r="EY23" s="97">
        <v>702500</v>
      </c>
      <c r="EZ23" s="97">
        <v>59818</v>
      </c>
      <c r="FA23" s="97">
        <v>91572</v>
      </c>
      <c r="FB23" s="97">
        <v>0</v>
      </c>
      <c r="FC23" s="97">
        <f>SUM(EX23:FB23)</f>
        <v>3066390</v>
      </c>
      <c r="FD23" s="97">
        <v>2635025</v>
      </c>
      <c r="FE23" s="97">
        <v>3738236</v>
      </c>
      <c r="FF23" s="97">
        <v>400254</v>
      </c>
      <c r="FG23" s="97">
        <v>10864490</v>
      </c>
      <c r="FH23" s="97">
        <v>0</v>
      </c>
      <c r="FI23" s="97">
        <f>SUM(FD23:FH23)</f>
        <v>17638005</v>
      </c>
      <c r="FJ23" s="97">
        <v>200000</v>
      </c>
      <c r="FK23" s="97">
        <v>225000</v>
      </c>
      <c r="FL23" s="97">
        <v>25000</v>
      </c>
      <c r="FM23" s="97">
        <v>55000</v>
      </c>
      <c r="FN23" s="97">
        <v>0</v>
      </c>
      <c r="FO23" s="97">
        <f>SUM(FJ23:FN23)</f>
        <v>505000</v>
      </c>
      <c r="FP23" s="97">
        <v>1445567</v>
      </c>
      <c r="FQ23" s="97">
        <v>296042</v>
      </c>
      <c r="FR23" s="97">
        <v>207604</v>
      </c>
      <c r="FS23" s="97">
        <v>638311</v>
      </c>
      <c r="FT23" s="97">
        <v>19941010</v>
      </c>
      <c r="FU23" s="97">
        <f>SUM(FP23:FT23)</f>
        <v>22528534</v>
      </c>
      <c r="FV23" s="97">
        <v>0</v>
      </c>
      <c r="FW23" s="97">
        <v>0</v>
      </c>
      <c r="FX23" s="97">
        <v>0</v>
      </c>
      <c r="FY23" s="97">
        <v>0</v>
      </c>
      <c r="FZ23" s="97">
        <v>0</v>
      </c>
      <c r="GA23" s="97">
        <v>0</v>
      </c>
      <c r="GB23" s="97">
        <v>309670</v>
      </c>
      <c r="GC23" s="97">
        <v>0</v>
      </c>
      <c r="GD23" s="97">
        <v>0</v>
      </c>
      <c r="GE23" s="97">
        <v>247739</v>
      </c>
      <c r="GF23" s="97">
        <v>138208</v>
      </c>
      <c r="GG23" s="97">
        <f>SUM(GB23:GF23)</f>
        <v>695617</v>
      </c>
      <c r="GH23" s="97">
        <v>620420</v>
      </c>
      <c r="GI23" s="97">
        <v>267252</v>
      </c>
      <c r="GJ23" s="97">
        <v>159602</v>
      </c>
      <c r="GK23" s="97">
        <v>510837</v>
      </c>
      <c r="GL23" s="97">
        <v>0</v>
      </c>
      <c r="GM23" s="97">
        <f>SUM(GH23:GL23)</f>
        <v>1558111</v>
      </c>
      <c r="GN23" s="97">
        <v>2083978</v>
      </c>
      <c r="GO23" s="97">
        <v>1036904</v>
      </c>
      <c r="GP23" s="97">
        <v>508057</v>
      </c>
      <c r="GQ23" s="97">
        <v>3210984</v>
      </c>
      <c r="GR23" s="97">
        <v>0</v>
      </c>
      <c r="GS23" s="97">
        <f>SUM(GN23:GR23)</f>
        <v>6839923</v>
      </c>
      <c r="GT23" s="97">
        <v>485786</v>
      </c>
      <c r="GU23" s="97">
        <v>100679</v>
      </c>
      <c r="GV23" s="97">
        <v>85188</v>
      </c>
      <c r="GW23" s="97">
        <v>919880</v>
      </c>
      <c r="GX23" s="97">
        <v>0</v>
      </c>
      <c r="GY23" s="97">
        <f>SUM(GT23:GX23)</f>
        <v>1591533</v>
      </c>
      <c r="GZ23" s="97">
        <v>3797666</v>
      </c>
      <c r="HA23" s="97">
        <v>500286</v>
      </c>
      <c r="HB23" s="97">
        <v>213953</v>
      </c>
      <c r="HC23" s="97">
        <v>881907</v>
      </c>
      <c r="HD23" s="97">
        <v>0</v>
      </c>
      <c r="HE23" s="97">
        <f>SUM(GZ23:HD23)</f>
        <v>5393812</v>
      </c>
      <c r="HF23" s="97">
        <v>250000</v>
      </c>
      <c r="HG23" s="97">
        <v>214174</v>
      </c>
      <c r="HH23" s="97">
        <v>192426</v>
      </c>
      <c r="HI23" s="97">
        <v>594385</v>
      </c>
      <c r="HJ23" s="97">
        <v>3045942</v>
      </c>
      <c r="HK23" s="97">
        <f>SUM(HF23:HJ23)</f>
        <v>4296927</v>
      </c>
      <c r="HL23" s="97">
        <v>195447</v>
      </c>
      <c r="HM23" s="97">
        <v>161202</v>
      </c>
      <c r="HN23" s="97">
        <v>59689</v>
      </c>
      <c r="HO23" s="97">
        <v>1019234</v>
      </c>
      <c r="HP23" s="97">
        <v>61599</v>
      </c>
      <c r="HQ23" s="97">
        <f>SUM(HL23:HP23)</f>
        <v>1497171</v>
      </c>
      <c r="HR23" s="97">
        <v>854264</v>
      </c>
      <c r="HS23" s="97">
        <v>250337</v>
      </c>
      <c r="HT23" s="97">
        <v>84156</v>
      </c>
      <c r="HU23" s="97">
        <v>918314</v>
      </c>
      <c r="HV23" s="97">
        <v>15506224</v>
      </c>
      <c r="HW23" s="97">
        <f>SUM(HR23:HV23)</f>
        <v>17613295</v>
      </c>
      <c r="HX23" s="97">
        <v>728920</v>
      </c>
      <c r="HY23" s="97">
        <v>42154</v>
      </c>
      <c r="HZ23" s="97">
        <v>41500</v>
      </c>
      <c r="IA23" s="97">
        <v>38500</v>
      </c>
      <c r="IB23" s="97">
        <v>113780</v>
      </c>
      <c r="IC23" s="97">
        <f>SUM(HX23:IB23)</f>
        <v>964854</v>
      </c>
      <c r="ID23" s="97">
        <v>0</v>
      </c>
      <c r="IE23" s="97">
        <v>0</v>
      </c>
      <c r="IF23" s="97">
        <v>0</v>
      </c>
      <c r="IG23" s="97">
        <v>0</v>
      </c>
      <c r="IH23" s="97">
        <v>0</v>
      </c>
      <c r="II23" s="97">
        <v>0</v>
      </c>
      <c r="IJ23" s="97">
        <v>423432</v>
      </c>
      <c r="IK23" s="97">
        <v>48623</v>
      </c>
      <c r="IL23" s="97">
        <v>60666</v>
      </c>
      <c r="IM23" s="97">
        <v>537410</v>
      </c>
      <c r="IN23" s="97">
        <v>1646039</v>
      </c>
      <c r="IO23" s="97">
        <f>SUM(IJ23:IN23)</f>
        <v>2716170</v>
      </c>
      <c r="IP23" s="97">
        <v>0</v>
      </c>
      <c r="IQ23" s="97">
        <v>0</v>
      </c>
      <c r="IR23" s="97">
        <v>0</v>
      </c>
      <c r="IS23" s="97">
        <v>3000</v>
      </c>
      <c r="IT23" s="97">
        <v>13190</v>
      </c>
      <c r="IU23" s="97">
        <f>SUM(IS23:IT23)</f>
        <v>16190</v>
      </c>
      <c r="IV23" s="97">
        <v>894151</v>
      </c>
      <c r="IW23" s="97">
        <v>97798</v>
      </c>
      <c r="IX23" s="97">
        <v>60554</v>
      </c>
      <c r="IY23" s="97">
        <v>1274694</v>
      </c>
      <c r="IZ23" s="97">
        <v>6354722</v>
      </c>
      <c r="JA23" s="97">
        <f>SUM(IV23:IZ23)</f>
        <v>8681919</v>
      </c>
      <c r="JB23" s="97">
        <v>23245846</v>
      </c>
      <c r="JC23" s="97">
        <v>8699783</v>
      </c>
      <c r="JD23" s="97">
        <v>3127132</v>
      </c>
      <c r="JE23" s="97">
        <v>42445060</v>
      </c>
      <c r="JF23" s="97">
        <v>27584377</v>
      </c>
      <c r="JG23" s="97">
        <f>SUM(JB23:JF23)</f>
        <v>105102198</v>
      </c>
      <c r="JH23" s="97">
        <v>0</v>
      </c>
      <c r="JI23" s="97">
        <v>0</v>
      </c>
      <c r="JJ23" s="97">
        <v>0</v>
      </c>
      <c r="JK23" s="97">
        <v>0</v>
      </c>
      <c r="JL23" s="97">
        <v>6410113</v>
      </c>
      <c r="JM23" s="97">
        <v>6410113</v>
      </c>
      <c r="JN23" s="97">
        <v>23245846</v>
      </c>
      <c r="JO23" s="97">
        <v>8699783</v>
      </c>
      <c r="JP23" s="97">
        <v>3127132</v>
      </c>
      <c r="JQ23" s="97">
        <v>42445060</v>
      </c>
      <c r="JR23" s="97">
        <v>33994490</v>
      </c>
      <c r="JS23" s="97">
        <f>SUM(JN23:JR23)</f>
        <v>111512311</v>
      </c>
      <c r="JU23" s="5">
        <f t="shared" si="78"/>
        <v>23580698</v>
      </c>
      <c r="JV23" s="29">
        <f t="shared" si="79"/>
        <v>0</v>
      </c>
      <c r="JW23" s="5">
        <f t="shared" si="80"/>
        <v>2420030</v>
      </c>
      <c r="JX23" s="29">
        <f t="shared" si="81"/>
        <v>0</v>
      </c>
      <c r="JY23" s="5">
        <f t="shared" si="82"/>
        <v>574200</v>
      </c>
      <c r="JZ23" s="29">
        <f t="shared" si="83"/>
        <v>0</v>
      </c>
      <c r="KA23" s="5">
        <f t="shared" si="84"/>
        <v>46125987</v>
      </c>
      <c r="KB23" s="29">
        <f t="shared" si="85"/>
        <v>0</v>
      </c>
      <c r="KC23" s="5">
        <f t="shared" si="86"/>
        <v>505000</v>
      </c>
      <c r="KD23" s="29">
        <f t="shared" si="87"/>
        <v>0</v>
      </c>
      <c r="KE23" s="5">
        <f t="shared" si="88"/>
        <v>1936427</v>
      </c>
      <c r="KF23" s="29">
        <f t="shared" si="89"/>
        <v>0</v>
      </c>
      <c r="KG23" s="5">
        <f t="shared" si="90"/>
        <v>0</v>
      </c>
      <c r="KH23" s="29">
        <f t="shared" si="91"/>
        <v>0</v>
      </c>
      <c r="KI23" s="5">
        <f t="shared" si="92"/>
        <v>0</v>
      </c>
      <c r="KJ23" s="29">
        <f t="shared" si="93"/>
        <v>0</v>
      </c>
      <c r="KK23" s="5">
        <f t="shared" si="94"/>
        <v>22156333</v>
      </c>
      <c r="KL23" s="29">
        <f t="shared" si="95"/>
        <v>0</v>
      </c>
      <c r="KM23" s="5">
        <f t="shared" si="96"/>
        <v>7827500</v>
      </c>
      <c r="KN23" s="29">
        <f t="shared" si="97"/>
        <v>0</v>
      </c>
      <c r="KO23" s="5">
        <f t="shared" si="98"/>
        <v>3454066</v>
      </c>
      <c r="KP23" s="29">
        <f t="shared" si="99"/>
        <v>0</v>
      </c>
      <c r="KQ23" s="5">
        <f t="shared" si="100"/>
        <v>8682600</v>
      </c>
      <c r="KR23" s="29">
        <f t="shared" si="101"/>
        <v>0</v>
      </c>
      <c r="KS23" s="5">
        <f t="shared" si="102"/>
        <v>2420374</v>
      </c>
      <c r="KT23" s="29">
        <f t="shared" si="103"/>
        <v>0</v>
      </c>
      <c r="KU23" s="5">
        <f t="shared" si="104"/>
        <v>-666629</v>
      </c>
      <c r="KV23" s="29">
        <f t="shared" si="105"/>
        <v>0</v>
      </c>
      <c r="KW23" s="5">
        <f t="shared" si="106"/>
        <v>1755520</v>
      </c>
      <c r="KX23" s="29">
        <f t="shared" si="107"/>
        <v>0</v>
      </c>
      <c r="KY23" s="5">
        <f t="shared" si="108"/>
        <v>120772106</v>
      </c>
      <c r="KZ23" s="29">
        <f t="shared" si="109"/>
        <v>0</v>
      </c>
      <c r="LA23" s="5">
        <f t="shared" si="110"/>
        <v>9306748</v>
      </c>
      <c r="LB23" s="29">
        <f t="shared" si="111"/>
        <v>0</v>
      </c>
      <c r="LC23" s="5">
        <f t="shared" si="112"/>
        <v>3066390</v>
      </c>
      <c r="LD23" s="29">
        <f t="shared" si="113"/>
        <v>0</v>
      </c>
      <c r="LE23" s="5">
        <f t="shared" si="114"/>
        <v>17638005</v>
      </c>
      <c r="LF23" s="29">
        <f t="shared" si="115"/>
        <v>0</v>
      </c>
      <c r="LG23" s="5">
        <f t="shared" si="116"/>
        <v>505000</v>
      </c>
      <c r="LH23" s="29">
        <f t="shared" si="117"/>
        <v>0</v>
      </c>
      <c r="LI23" s="5">
        <f t="shared" si="118"/>
        <v>22528534</v>
      </c>
      <c r="LJ23" s="29">
        <f t="shared" si="119"/>
        <v>0</v>
      </c>
      <c r="LK23" s="5">
        <f t="shared" si="120"/>
        <v>0</v>
      </c>
      <c r="LL23" s="29">
        <f t="shared" si="121"/>
        <v>0</v>
      </c>
      <c r="LM23" s="5">
        <f t="shared" si="122"/>
        <v>695617</v>
      </c>
      <c r="LN23" s="29">
        <f t="shared" si="123"/>
        <v>0</v>
      </c>
      <c r="LO23" s="5">
        <f t="shared" si="124"/>
        <v>1558111</v>
      </c>
      <c r="LP23" s="29">
        <f t="shared" si="125"/>
        <v>0</v>
      </c>
      <c r="LQ23" s="5">
        <f t="shared" si="126"/>
        <v>6839923</v>
      </c>
      <c r="LR23" s="29">
        <f t="shared" si="127"/>
        <v>0</v>
      </c>
      <c r="LS23" s="5">
        <f t="shared" si="128"/>
        <v>1591533</v>
      </c>
      <c r="LT23" s="29">
        <f t="shared" si="129"/>
        <v>0</v>
      </c>
      <c r="LU23" s="5">
        <f t="shared" si="130"/>
        <v>5393812</v>
      </c>
      <c r="LV23" s="29">
        <f t="shared" si="131"/>
        <v>0</v>
      </c>
      <c r="LW23" s="5">
        <f t="shared" si="132"/>
        <v>4296927</v>
      </c>
      <c r="LX23" s="29">
        <f t="shared" si="133"/>
        <v>0</v>
      </c>
      <c r="LY23" s="5">
        <f t="shared" si="134"/>
        <v>1497171</v>
      </c>
      <c r="LZ23" s="29">
        <f t="shared" si="135"/>
        <v>0</v>
      </c>
      <c r="MA23" s="5">
        <f t="shared" si="136"/>
        <v>17613295</v>
      </c>
      <c r="MB23" s="29">
        <f t="shared" si="137"/>
        <v>0</v>
      </c>
      <c r="MC23" s="5">
        <f t="shared" si="138"/>
        <v>964854</v>
      </c>
      <c r="MD23" s="29">
        <f t="shared" si="139"/>
        <v>0</v>
      </c>
      <c r="ME23" s="5">
        <f t="shared" si="140"/>
        <v>0</v>
      </c>
      <c r="MF23" s="29">
        <f t="shared" si="141"/>
        <v>0</v>
      </c>
      <c r="MG23" s="5">
        <f t="shared" si="142"/>
        <v>2716170</v>
      </c>
      <c r="MH23" s="29">
        <f t="shared" si="143"/>
        <v>0</v>
      </c>
      <c r="MI23" s="5">
        <f t="shared" si="144"/>
        <v>16190</v>
      </c>
      <c r="MJ23" s="29">
        <f t="shared" si="145"/>
        <v>0</v>
      </c>
      <c r="MK23" s="5">
        <f t="shared" si="146"/>
        <v>8681919</v>
      </c>
      <c r="ML23" s="29">
        <f t="shared" si="147"/>
        <v>0</v>
      </c>
      <c r="MM23" s="5">
        <f t="shared" si="148"/>
        <v>105102198</v>
      </c>
      <c r="MN23" s="29">
        <f t="shared" si="149"/>
        <v>0</v>
      </c>
      <c r="MO23" s="5">
        <f t="shared" si="150"/>
        <v>6410113</v>
      </c>
      <c r="MP23" s="29">
        <f t="shared" si="151"/>
        <v>0</v>
      </c>
      <c r="MQ23" s="5">
        <f t="shared" si="152"/>
        <v>111512311</v>
      </c>
      <c r="MR23" s="29">
        <f t="shared" si="153"/>
        <v>0</v>
      </c>
      <c r="MT23" s="5">
        <f t="shared" si="76"/>
        <v>0</v>
      </c>
      <c r="MV23" s="4">
        <f t="shared" si="77"/>
        <v>0</v>
      </c>
    </row>
    <row r="24" spans="1:360" s="13" customFormat="1" x14ac:dyDescent="0.15">
      <c r="A24" s="157" t="s">
        <v>431</v>
      </c>
      <c r="B24" s="28" t="s">
        <v>407</v>
      </c>
      <c r="C24" s="47">
        <v>133669</v>
      </c>
      <c r="D24" s="48">
        <v>2012</v>
      </c>
      <c r="E24" s="49">
        <v>1</v>
      </c>
      <c r="F24" s="49">
        <v>11</v>
      </c>
      <c r="G24" s="50">
        <v>6710</v>
      </c>
      <c r="H24" s="50">
        <v>8318</v>
      </c>
      <c r="I24" s="51">
        <v>466925715</v>
      </c>
      <c r="J24" s="51"/>
      <c r="K24" s="51">
        <v>2836455</v>
      </c>
      <c r="L24" s="51"/>
      <c r="M24" s="51">
        <v>10728799</v>
      </c>
      <c r="N24" s="51"/>
      <c r="O24" s="51">
        <v>44500000</v>
      </c>
      <c r="P24" s="51"/>
      <c r="Q24" s="51">
        <v>133964306</v>
      </c>
      <c r="R24" s="51"/>
      <c r="S24" s="51">
        <v>254632116</v>
      </c>
      <c r="T24" s="51"/>
      <c r="U24" s="51">
        <v>16086</v>
      </c>
      <c r="V24" s="51"/>
      <c r="W24" s="51">
        <v>30430</v>
      </c>
      <c r="X24" s="51"/>
      <c r="Y24" s="51">
        <v>20922</v>
      </c>
      <c r="Z24" s="51"/>
      <c r="AA24" s="51">
        <v>35265</v>
      </c>
      <c r="AB24" s="51"/>
      <c r="AC24" s="72">
        <v>8</v>
      </c>
      <c r="AD24" s="72">
        <v>11</v>
      </c>
      <c r="AE24" s="72">
        <v>0</v>
      </c>
      <c r="AF24" s="29">
        <v>2453632</v>
      </c>
      <c r="AG24" s="29">
        <v>1667305</v>
      </c>
      <c r="AH24" s="29">
        <v>283969</v>
      </c>
      <c r="AI24" s="29">
        <v>66183</v>
      </c>
      <c r="AJ24" s="29">
        <v>181049</v>
      </c>
      <c r="AK24" s="73">
        <v>7</v>
      </c>
      <c r="AL24" s="29">
        <v>152760</v>
      </c>
      <c r="AM24" s="73">
        <v>8</v>
      </c>
      <c r="AN24" s="29">
        <v>97366</v>
      </c>
      <c r="AO24" s="73">
        <v>6</v>
      </c>
      <c r="AP24" s="29">
        <v>67615</v>
      </c>
      <c r="AQ24" s="73">
        <v>9</v>
      </c>
      <c r="AR24" s="29">
        <v>71008</v>
      </c>
      <c r="AS24" s="73">
        <v>20</v>
      </c>
      <c r="AT24" s="29">
        <v>64553</v>
      </c>
      <c r="AU24" s="73">
        <v>22</v>
      </c>
      <c r="AV24" s="29">
        <v>33662</v>
      </c>
      <c r="AW24" s="73">
        <v>12</v>
      </c>
      <c r="AX24" s="29">
        <v>24721</v>
      </c>
      <c r="AY24" s="73">
        <v>16</v>
      </c>
      <c r="AZ24" s="97">
        <v>1325321</v>
      </c>
      <c r="BA24" s="97">
        <v>107778</v>
      </c>
      <c r="BB24" s="97">
        <v>3416</v>
      </c>
      <c r="BC24" s="97">
        <v>46826</v>
      </c>
      <c r="BD24" s="97">
        <v>0</v>
      </c>
      <c r="BE24" s="97">
        <v>1483341</v>
      </c>
      <c r="BF24" s="97">
        <v>4003878</v>
      </c>
      <c r="BG24" s="97">
        <v>444875</v>
      </c>
      <c r="BH24" s="97">
        <v>333657</v>
      </c>
      <c r="BI24" s="97">
        <v>6339476</v>
      </c>
      <c r="BJ24" s="97">
        <v>0</v>
      </c>
      <c r="BK24" s="97">
        <v>11121886</v>
      </c>
      <c r="BL24" s="97">
        <v>1765000</v>
      </c>
      <c r="BM24" s="97">
        <v>225000</v>
      </c>
      <c r="BN24" s="97">
        <v>32000</v>
      </c>
      <c r="BO24" s="97">
        <v>7000</v>
      </c>
      <c r="BP24" s="97">
        <v>0</v>
      </c>
      <c r="BQ24" s="97">
        <v>2029000</v>
      </c>
      <c r="BR24" s="97">
        <v>2130294</v>
      </c>
      <c r="BS24" s="97">
        <v>55263</v>
      </c>
      <c r="BT24" s="97">
        <v>8905</v>
      </c>
      <c r="BU24" s="97">
        <v>67724</v>
      </c>
      <c r="BV24" s="97">
        <v>240908</v>
      </c>
      <c r="BW24" s="97">
        <v>2503094</v>
      </c>
      <c r="BX24" s="97">
        <v>0</v>
      </c>
      <c r="BY24" s="97">
        <v>0</v>
      </c>
      <c r="BZ24" s="97">
        <v>0</v>
      </c>
      <c r="CA24" s="97">
        <v>0</v>
      </c>
      <c r="CB24" s="97">
        <v>0</v>
      </c>
      <c r="CC24" s="97">
        <v>0</v>
      </c>
      <c r="CD24" s="97">
        <v>0</v>
      </c>
      <c r="CE24" s="97">
        <v>0</v>
      </c>
      <c r="CF24" s="97">
        <v>0</v>
      </c>
      <c r="CG24" s="97">
        <v>0</v>
      </c>
      <c r="CH24" s="97">
        <v>0</v>
      </c>
      <c r="CI24" s="97">
        <v>0</v>
      </c>
      <c r="CJ24" s="97">
        <v>194806</v>
      </c>
      <c r="CK24" s="97">
        <v>112010</v>
      </c>
      <c r="CL24" s="97">
        <v>75748</v>
      </c>
      <c r="CM24" s="97">
        <v>419744</v>
      </c>
      <c r="CN24" s="97">
        <v>562600</v>
      </c>
      <c r="CO24" s="97">
        <v>1364908</v>
      </c>
      <c r="CP24" s="97">
        <v>64909</v>
      </c>
      <c r="CQ24" s="97">
        <v>8696</v>
      </c>
      <c r="CR24" s="97">
        <v>4238</v>
      </c>
      <c r="CS24" s="97">
        <v>26102</v>
      </c>
      <c r="CT24" s="97">
        <v>1345490</v>
      </c>
      <c r="CU24" s="97">
        <v>1449435</v>
      </c>
      <c r="CV24" s="97">
        <v>0</v>
      </c>
      <c r="CW24" s="97">
        <v>2712</v>
      </c>
      <c r="CX24" s="97">
        <v>750</v>
      </c>
      <c r="CY24" s="97">
        <v>0</v>
      </c>
      <c r="CZ24" s="97">
        <v>954524</v>
      </c>
      <c r="DA24" s="97">
        <v>957986</v>
      </c>
      <c r="DB24" s="97">
        <v>0</v>
      </c>
      <c r="DC24" s="97">
        <v>0</v>
      </c>
      <c r="DD24" s="97">
        <v>0</v>
      </c>
      <c r="DE24" s="97">
        <v>0</v>
      </c>
      <c r="DF24" s="97">
        <v>0</v>
      </c>
      <c r="DG24" s="97">
        <v>0</v>
      </c>
      <c r="DH24" s="97">
        <v>372136</v>
      </c>
      <c r="DI24" s="97">
        <v>11786</v>
      </c>
      <c r="DJ24" s="97">
        <v>0</v>
      </c>
      <c r="DK24" s="97">
        <v>1010</v>
      </c>
      <c r="DL24" s="97">
        <v>38046</v>
      </c>
      <c r="DM24" s="97">
        <v>422978</v>
      </c>
      <c r="DN24" s="97">
        <v>530150</v>
      </c>
      <c r="DO24" s="97">
        <v>0</v>
      </c>
      <c r="DP24" s="97">
        <v>0</v>
      </c>
      <c r="DQ24" s="97">
        <v>0</v>
      </c>
      <c r="DR24" s="97">
        <v>340438</v>
      </c>
      <c r="DS24" s="97">
        <v>870588</v>
      </c>
      <c r="DT24" s="97">
        <v>0</v>
      </c>
      <c r="DU24" s="97">
        <v>0</v>
      </c>
      <c r="DV24" s="97">
        <v>0</v>
      </c>
      <c r="DW24" s="97">
        <v>0</v>
      </c>
      <c r="DX24" s="97">
        <v>0</v>
      </c>
      <c r="DY24" s="97">
        <v>0</v>
      </c>
      <c r="DZ24" s="97">
        <v>0</v>
      </c>
      <c r="EA24" s="97">
        <v>0</v>
      </c>
      <c r="EB24" s="97">
        <v>0</v>
      </c>
      <c r="EC24" s="97">
        <v>296</v>
      </c>
      <c r="ED24" s="97">
        <v>0</v>
      </c>
      <c r="EE24" s="97">
        <v>296</v>
      </c>
      <c r="EF24" s="97">
        <v>5281</v>
      </c>
      <c r="EG24" s="97">
        <v>0</v>
      </c>
      <c r="EH24" s="97">
        <v>0</v>
      </c>
      <c r="EI24" s="97">
        <v>92547</v>
      </c>
      <c r="EJ24" s="97">
        <v>925141</v>
      </c>
      <c r="EK24" s="97">
        <v>1022969</v>
      </c>
      <c r="EL24" s="97">
        <v>10391775</v>
      </c>
      <c r="EM24" s="97">
        <v>968120</v>
      </c>
      <c r="EN24" s="97">
        <v>458714</v>
      </c>
      <c r="EO24" s="97">
        <v>7000725</v>
      </c>
      <c r="EP24" s="97">
        <v>4407147</v>
      </c>
      <c r="EQ24" s="97">
        <v>23226481</v>
      </c>
      <c r="ER24" s="97">
        <v>1631930</v>
      </c>
      <c r="ES24" s="97">
        <v>384195</v>
      </c>
      <c r="ET24" s="97">
        <v>330441</v>
      </c>
      <c r="EU24" s="97">
        <v>1774371</v>
      </c>
      <c r="EV24" s="97">
        <v>84890</v>
      </c>
      <c r="EW24" s="97">
        <v>4205827</v>
      </c>
      <c r="EX24" s="97">
        <v>350000</v>
      </c>
      <c r="EY24" s="97">
        <v>4000</v>
      </c>
      <c r="EZ24" s="97">
        <v>4000</v>
      </c>
      <c r="FA24" s="97">
        <v>20648</v>
      </c>
      <c r="FB24" s="97">
        <v>0</v>
      </c>
      <c r="FC24" s="97">
        <v>378648</v>
      </c>
      <c r="FD24" s="97">
        <v>1662420</v>
      </c>
      <c r="FE24" s="97">
        <v>468562</v>
      </c>
      <c r="FF24" s="97">
        <v>324015</v>
      </c>
      <c r="FG24" s="97">
        <v>1191324</v>
      </c>
      <c r="FH24" s="97">
        <v>0</v>
      </c>
      <c r="FI24" s="97">
        <v>3646321</v>
      </c>
      <c r="FJ24" s="97">
        <v>0</v>
      </c>
      <c r="FK24" s="97">
        <v>0</v>
      </c>
      <c r="FL24" s="97">
        <v>0</v>
      </c>
      <c r="FM24" s="97">
        <v>0</v>
      </c>
      <c r="FN24" s="97">
        <v>0</v>
      </c>
      <c r="FO24" s="97">
        <v>0</v>
      </c>
      <c r="FP24" s="97">
        <v>234382</v>
      </c>
      <c r="FQ24" s="97">
        <v>26191</v>
      </c>
      <c r="FR24" s="97">
        <v>10607</v>
      </c>
      <c r="FS24" s="97">
        <v>0</v>
      </c>
      <c r="FT24" s="97">
        <v>2055165</v>
      </c>
      <c r="FU24" s="97">
        <v>2326345</v>
      </c>
      <c r="FV24" s="97">
        <v>0</v>
      </c>
      <c r="FW24" s="97">
        <v>0</v>
      </c>
      <c r="FX24" s="97">
        <v>0</v>
      </c>
      <c r="FY24" s="97">
        <v>0</v>
      </c>
      <c r="FZ24" s="97">
        <v>0</v>
      </c>
      <c r="GA24" s="97">
        <v>0</v>
      </c>
      <c r="GB24" s="97">
        <v>295401</v>
      </c>
      <c r="GC24" s="97">
        <v>0</v>
      </c>
      <c r="GD24" s="97">
        <v>90744</v>
      </c>
      <c r="GE24" s="97">
        <v>8201</v>
      </c>
      <c r="GF24" s="97">
        <v>37491</v>
      </c>
      <c r="GG24" s="97">
        <v>431837</v>
      </c>
      <c r="GH24" s="97">
        <v>177751</v>
      </c>
      <c r="GI24" s="97">
        <v>74136</v>
      </c>
      <c r="GJ24" s="97">
        <v>39099</v>
      </c>
      <c r="GK24" s="97">
        <v>59166</v>
      </c>
      <c r="GL24" s="97">
        <v>0</v>
      </c>
      <c r="GM24" s="97">
        <v>350152</v>
      </c>
      <c r="GN24" s="97">
        <v>667901</v>
      </c>
      <c r="GO24" s="97">
        <v>314154</v>
      </c>
      <c r="GP24" s="97">
        <v>184108</v>
      </c>
      <c r="GQ24" s="97">
        <v>796411</v>
      </c>
      <c r="GR24" s="97">
        <v>0</v>
      </c>
      <c r="GS24" s="97">
        <v>1962574</v>
      </c>
      <c r="GT24" s="97">
        <v>257968</v>
      </c>
      <c r="GU24" s="97">
        <v>81008</v>
      </c>
      <c r="GV24" s="97">
        <v>22789</v>
      </c>
      <c r="GW24" s="97">
        <v>252514</v>
      </c>
      <c r="GX24" s="97">
        <v>614662</v>
      </c>
      <c r="GY24" s="97">
        <v>1228941</v>
      </c>
      <c r="GZ24" s="97">
        <v>763092</v>
      </c>
      <c r="HA24" s="97">
        <v>107029</v>
      </c>
      <c r="HB24" s="97">
        <v>53309</v>
      </c>
      <c r="HC24" s="97">
        <v>95121</v>
      </c>
      <c r="HD24" s="97">
        <v>9000</v>
      </c>
      <c r="HE24" s="97">
        <v>1027551</v>
      </c>
      <c r="HF24" s="97">
        <v>467936</v>
      </c>
      <c r="HG24" s="97">
        <v>0</v>
      </c>
      <c r="HH24" s="97">
        <v>6000</v>
      </c>
      <c r="HI24" s="97">
        <v>0</v>
      </c>
      <c r="HJ24" s="97">
        <v>347386</v>
      </c>
      <c r="HK24" s="97">
        <v>821322</v>
      </c>
      <c r="HL24" s="97">
        <v>0</v>
      </c>
      <c r="HM24" s="97">
        <v>0</v>
      </c>
      <c r="HN24" s="97">
        <v>0</v>
      </c>
      <c r="HO24" s="97">
        <v>0</v>
      </c>
      <c r="HP24" s="97">
        <v>0</v>
      </c>
      <c r="HQ24" s="97">
        <v>0</v>
      </c>
      <c r="HR24" s="97">
        <v>140840</v>
      </c>
      <c r="HS24" s="97">
        <v>0</v>
      </c>
      <c r="HT24" s="97">
        <v>0</v>
      </c>
      <c r="HU24" s="97">
        <v>5480</v>
      </c>
      <c r="HV24" s="97">
        <v>696610</v>
      </c>
      <c r="HW24" s="97">
        <v>842930</v>
      </c>
      <c r="HX24" s="97">
        <v>0</v>
      </c>
      <c r="HY24" s="97">
        <v>0</v>
      </c>
      <c r="HZ24" s="97">
        <v>0</v>
      </c>
      <c r="IA24" s="97">
        <v>0</v>
      </c>
      <c r="IB24" s="97">
        <v>42606</v>
      </c>
      <c r="IC24" s="97">
        <v>42606</v>
      </c>
      <c r="ID24" s="97">
        <v>64909</v>
      </c>
      <c r="IE24" s="97">
        <v>8696</v>
      </c>
      <c r="IF24" s="97">
        <v>4238</v>
      </c>
      <c r="IG24" s="97">
        <v>26102</v>
      </c>
      <c r="IH24" s="97">
        <v>1345490</v>
      </c>
      <c r="II24" s="97">
        <v>1449435</v>
      </c>
      <c r="IJ24" s="97">
        <v>0</v>
      </c>
      <c r="IK24" s="97">
        <v>0</v>
      </c>
      <c r="IL24" s="97">
        <v>0</v>
      </c>
      <c r="IM24" s="97">
        <v>0</v>
      </c>
      <c r="IN24" s="97">
        <v>426297</v>
      </c>
      <c r="IO24" s="97">
        <v>426297</v>
      </c>
      <c r="IP24" s="97">
        <v>0</v>
      </c>
      <c r="IQ24" s="97">
        <v>285</v>
      </c>
      <c r="IR24" s="97">
        <v>640</v>
      </c>
      <c r="IS24" s="97">
        <v>11267</v>
      </c>
      <c r="IT24" s="97">
        <v>92835</v>
      </c>
      <c r="IU24" s="97">
        <v>105027</v>
      </c>
      <c r="IV24" s="97">
        <v>186413</v>
      </c>
      <c r="IW24" s="97">
        <v>15546</v>
      </c>
      <c r="IX24" s="97">
        <v>15226</v>
      </c>
      <c r="IY24" s="97">
        <v>29369</v>
      </c>
      <c r="IZ24" s="97">
        <v>527766</v>
      </c>
      <c r="JA24" s="97">
        <v>774320</v>
      </c>
      <c r="JB24" s="97">
        <v>6900943</v>
      </c>
      <c r="JC24" s="97">
        <v>1483802</v>
      </c>
      <c r="JD24" s="97">
        <v>1085216</v>
      </c>
      <c r="JE24" s="97">
        <v>4269974</v>
      </c>
      <c r="JF24" s="97">
        <v>6280198</v>
      </c>
      <c r="JG24" s="97">
        <v>20020133</v>
      </c>
      <c r="JH24" s="97">
        <v>0</v>
      </c>
      <c r="JI24" s="97">
        <v>0</v>
      </c>
      <c r="JJ24" s="97">
        <v>0</v>
      </c>
      <c r="JK24" s="97">
        <v>0</v>
      </c>
      <c r="JL24" s="97">
        <v>0</v>
      </c>
      <c r="JM24" s="97">
        <v>0</v>
      </c>
      <c r="JN24" s="97">
        <v>6900943</v>
      </c>
      <c r="JO24" s="97">
        <v>1483802</v>
      </c>
      <c r="JP24" s="97">
        <v>1085216</v>
      </c>
      <c r="JQ24" s="97">
        <v>4269974</v>
      </c>
      <c r="JR24" s="97">
        <v>6280198</v>
      </c>
      <c r="JS24" s="97">
        <v>20020133</v>
      </c>
      <c r="JT24" s="12"/>
      <c r="JU24" s="5">
        <f t="shared" si="78"/>
        <v>1483341</v>
      </c>
      <c r="JV24" s="29">
        <f t="shared" si="79"/>
        <v>0</v>
      </c>
      <c r="JW24" s="5">
        <f t="shared" si="80"/>
        <v>11121886</v>
      </c>
      <c r="JX24" s="29">
        <f t="shared" si="81"/>
        <v>0</v>
      </c>
      <c r="JY24" s="5">
        <f t="shared" si="82"/>
        <v>2029000</v>
      </c>
      <c r="JZ24" s="29">
        <f t="shared" si="83"/>
        <v>0</v>
      </c>
      <c r="KA24" s="5">
        <f t="shared" si="84"/>
        <v>2503094</v>
      </c>
      <c r="KB24" s="29">
        <f t="shared" si="85"/>
        <v>0</v>
      </c>
      <c r="KC24" s="5">
        <f t="shared" si="86"/>
        <v>0</v>
      </c>
      <c r="KD24" s="29">
        <f t="shared" si="87"/>
        <v>0</v>
      </c>
      <c r="KE24" s="5">
        <f t="shared" si="88"/>
        <v>0</v>
      </c>
      <c r="KF24" s="29">
        <f t="shared" si="89"/>
        <v>0</v>
      </c>
      <c r="KG24" s="5">
        <f t="shared" si="90"/>
        <v>1364908</v>
      </c>
      <c r="KH24" s="29">
        <f t="shared" si="91"/>
        <v>0</v>
      </c>
      <c r="KI24" s="5">
        <f t="shared" si="92"/>
        <v>1449435</v>
      </c>
      <c r="KJ24" s="29">
        <f t="shared" si="93"/>
        <v>0</v>
      </c>
      <c r="KK24" s="5">
        <f t="shared" si="94"/>
        <v>957986</v>
      </c>
      <c r="KL24" s="29">
        <f t="shared" si="95"/>
        <v>0</v>
      </c>
      <c r="KM24" s="5">
        <f t="shared" si="96"/>
        <v>0</v>
      </c>
      <c r="KN24" s="29">
        <f t="shared" si="97"/>
        <v>0</v>
      </c>
      <c r="KO24" s="5">
        <f t="shared" si="98"/>
        <v>422978</v>
      </c>
      <c r="KP24" s="29">
        <f t="shared" si="99"/>
        <v>0</v>
      </c>
      <c r="KQ24" s="5">
        <f t="shared" si="100"/>
        <v>870588</v>
      </c>
      <c r="KR24" s="29">
        <f t="shared" si="101"/>
        <v>0</v>
      </c>
      <c r="KS24" s="5">
        <f t="shared" si="102"/>
        <v>0</v>
      </c>
      <c r="KT24" s="29">
        <f t="shared" si="103"/>
        <v>0</v>
      </c>
      <c r="KU24" s="5">
        <f t="shared" si="104"/>
        <v>296</v>
      </c>
      <c r="KV24" s="29">
        <f t="shared" si="105"/>
        <v>0</v>
      </c>
      <c r="KW24" s="5">
        <f t="shared" si="106"/>
        <v>1022969</v>
      </c>
      <c r="KX24" s="29">
        <f t="shared" si="107"/>
        <v>0</v>
      </c>
      <c r="KY24" s="5">
        <f t="shared" si="108"/>
        <v>23226481</v>
      </c>
      <c r="KZ24" s="29">
        <f t="shared" si="109"/>
        <v>0</v>
      </c>
      <c r="LA24" s="5">
        <f t="shared" si="110"/>
        <v>4205827</v>
      </c>
      <c r="LB24" s="29">
        <f t="shared" si="111"/>
        <v>0</v>
      </c>
      <c r="LC24" s="5">
        <f t="shared" si="112"/>
        <v>378648</v>
      </c>
      <c r="LD24" s="29">
        <f t="shared" si="113"/>
        <v>0</v>
      </c>
      <c r="LE24" s="5">
        <f t="shared" si="114"/>
        <v>3646321</v>
      </c>
      <c r="LF24" s="29">
        <f t="shared" si="115"/>
        <v>0</v>
      </c>
      <c r="LG24" s="5">
        <f t="shared" si="116"/>
        <v>0</v>
      </c>
      <c r="LH24" s="29">
        <f t="shared" si="117"/>
        <v>0</v>
      </c>
      <c r="LI24" s="5">
        <f t="shared" si="118"/>
        <v>2326345</v>
      </c>
      <c r="LJ24" s="29">
        <f t="shared" si="119"/>
        <v>0</v>
      </c>
      <c r="LK24" s="5">
        <f t="shared" si="120"/>
        <v>0</v>
      </c>
      <c r="LL24" s="29">
        <f t="shared" si="121"/>
        <v>0</v>
      </c>
      <c r="LM24" s="5">
        <f t="shared" si="122"/>
        <v>431837</v>
      </c>
      <c r="LN24" s="29">
        <f t="shared" si="123"/>
        <v>0</v>
      </c>
      <c r="LO24" s="5">
        <f t="shared" si="124"/>
        <v>350152</v>
      </c>
      <c r="LP24" s="29">
        <f t="shared" si="125"/>
        <v>0</v>
      </c>
      <c r="LQ24" s="5">
        <f t="shared" si="126"/>
        <v>1962574</v>
      </c>
      <c r="LR24" s="29">
        <f t="shared" si="127"/>
        <v>0</v>
      </c>
      <c r="LS24" s="5">
        <f t="shared" si="128"/>
        <v>1228941</v>
      </c>
      <c r="LT24" s="29">
        <f t="shared" si="129"/>
        <v>0</v>
      </c>
      <c r="LU24" s="5">
        <f t="shared" si="130"/>
        <v>1027551</v>
      </c>
      <c r="LV24" s="29">
        <f t="shared" si="131"/>
        <v>0</v>
      </c>
      <c r="LW24" s="5">
        <f t="shared" si="132"/>
        <v>821322</v>
      </c>
      <c r="LX24" s="29">
        <f t="shared" si="133"/>
        <v>0</v>
      </c>
      <c r="LY24" s="5">
        <f t="shared" si="134"/>
        <v>0</v>
      </c>
      <c r="LZ24" s="29">
        <f t="shared" si="135"/>
        <v>0</v>
      </c>
      <c r="MA24" s="5">
        <f t="shared" si="136"/>
        <v>842930</v>
      </c>
      <c r="MB24" s="29">
        <f t="shared" si="137"/>
        <v>0</v>
      </c>
      <c r="MC24" s="5">
        <f t="shared" si="138"/>
        <v>42606</v>
      </c>
      <c r="MD24" s="29">
        <f t="shared" si="139"/>
        <v>0</v>
      </c>
      <c r="ME24" s="5">
        <f t="shared" si="140"/>
        <v>1449435</v>
      </c>
      <c r="MF24" s="29">
        <f t="shared" si="141"/>
        <v>0</v>
      </c>
      <c r="MG24" s="5">
        <f t="shared" si="142"/>
        <v>426297</v>
      </c>
      <c r="MH24" s="29">
        <f t="shared" si="143"/>
        <v>0</v>
      </c>
      <c r="MI24" s="5">
        <f t="shared" si="144"/>
        <v>105027</v>
      </c>
      <c r="MJ24" s="29">
        <f t="shared" si="145"/>
        <v>0</v>
      </c>
      <c r="MK24" s="5">
        <f t="shared" si="146"/>
        <v>774320</v>
      </c>
      <c r="ML24" s="29">
        <f t="shared" si="147"/>
        <v>0</v>
      </c>
      <c r="MM24" s="5">
        <f t="shared" si="148"/>
        <v>20020133</v>
      </c>
      <c r="MN24" s="29">
        <f t="shared" si="149"/>
        <v>0</v>
      </c>
      <c r="MO24" s="5">
        <f t="shared" si="150"/>
        <v>0</v>
      </c>
      <c r="MP24" s="29">
        <f t="shared" si="151"/>
        <v>0</v>
      </c>
      <c r="MQ24" s="5">
        <f t="shared" si="152"/>
        <v>20020133</v>
      </c>
      <c r="MR24" s="29">
        <f t="shared" si="153"/>
        <v>0</v>
      </c>
      <c r="MS24" s="10"/>
      <c r="MT24" s="5">
        <f t="shared" si="76"/>
        <v>0</v>
      </c>
      <c r="MV24" s="4">
        <f t="shared" si="77"/>
        <v>0</v>
      </c>
    </row>
    <row r="25" spans="1:360" x14ac:dyDescent="0.15">
      <c r="A25" s="156" t="s">
        <v>500</v>
      </c>
      <c r="B25" s="28" t="s">
        <v>405</v>
      </c>
      <c r="C25" s="48">
        <v>133951</v>
      </c>
      <c r="D25" s="48">
        <v>2012</v>
      </c>
      <c r="E25" s="49">
        <v>1</v>
      </c>
      <c r="F25" s="49">
        <v>11</v>
      </c>
      <c r="G25" s="50">
        <v>17394</v>
      </c>
      <c r="H25" s="50">
        <v>21685</v>
      </c>
      <c r="I25" s="51">
        <v>772849885</v>
      </c>
      <c r="J25" s="51"/>
      <c r="K25" s="51">
        <v>2232909</v>
      </c>
      <c r="L25" s="51"/>
      <c r="M25" s="51">
        <v>12827890</v>
      </c>
      <c r="N25" s="51"/>
      <c r="O25" s="51">
        <v>33385910</v>
      </c>
      <c r="P25" s="51"/>
      <c r="Q25" s="51">
        <v>165830943</v>
      </c>
      <c r="R25" s="51"/>
      <c r="S25" s="51">
        <v>580673670</v>
      </c>
      <c r="T25" s="51"/>
      <c r="U25" s="51">
        <v>16822</v>
      </c>
      <c r="V25" s="51"/>
      <c r="W25" s="51">
        <v>29220</v>
      </c>
      <c r="X25" s="51"/>
      <c r="Y25" s="51">
        <v>21074</v>
      </c>
      <c r="Z25" s="51"/>
      <c r="AA25" s="51">
        <v>33472</v>
      </c>
      <c r="AB25" s="51"/>
      <c r="AC25" s="74">
        <v>7</v>
      </c>
      <c r="AD25" s="74">
        <v>11</v>
      </c>
      <c r="AE25" s="74">
        <v>0</v>
      </c>
      <c r="AF25" s="29">
        <v>3209980</v>
      </c>
      <c r="AG25" s="29">
        <v>2768231</v>
      </c>
      <c r="AH25" s="29">
        <v>323155</v>
      </c>
      <c r="AI25" s="29">
        <v>117336</v>
      </c>
      <c r="AJ25" s="29">
        <v>321865.11</v>
      </c>
      <c r="AK25" s="73">
        <v>4.5</v>
      </c>
      <c r="AL25" s="29">
        <v>289678.59999999998</v>
      </c>
      <c r="AM25" s="73">
        <v>5</v>
      </c>
      <c r="AN25" s="29">
        <v>83072.47</v>
      </c>
      <c r="AO25" s="73">
        <v>8.5</v>
      </c>
      <c r="AP25" s="29">
        <v>78457.33</v>
      </c>
      <c r="AQ25" s="73">
        <v>9</v>
      </c>
      <c r="AR25" s="29">
        <v>97710.37</v>
      </c>
      <c r="AS25" s="73">
        <v>16.399999999999999</v>
      </c>
      <c r="AT25" s="29">
        <v>89025</v>
      </c>
      <c r="AU25" s="73">
        <v>18</v>
      </c>
      <c r="AV25" s="29">
        <v>51392.74</v>
      </c>
      <c r="AW25" s="73">
        <v>8.4</v>
      </c>
      <c r="AX25" s="29">
        <v>43169.9</v>
      </c>
      <c r="AY25" s="73">
        <v>10</v>
      </c>
      <c r="AZ25" s="105">
        <v>925973</v>
      </c>
      <c r="BA25" s="105">
        <v>34957</v>
      </c>
      <c r="BB25" s="105">
        <v>4762</v>
      </c>
      <c r="BC25" s="105">
        <v>21795</v>
      </c>
      <c r="BD25" s="105">
        <v>0</v>
      </c>
      <c r="BE25" s="105">
        <v>987487</v>
      </c>
      <c r="BF25" s="105">
        <v>5496974</v>
      </c>
      <c r="BG25" s="105">
        <v>1977380</v>
      </c>
      <c r="BH25" s="105">
        <v>968729</v>
      </c>
      <c r="BI25" s="105">
        <v>4345463</v>
      </c>
      <c r="BJ25" s="105">
        <v>5859615</v>
      </c>
      <c r="BK25" s="105">
        <v>18648161</v>
      </c>
      <c r="BL25" s="105">
        <v>625000</v>
      </c>
      <c r="BM25" s="105">
        <v>188000</v>
      </c>
      <c r="BN25" s="105">
        <v>2683</v>
      </c>
      <c r="BO25" s="105">
        <v>3000</v>
      </c>
      <c r="BP25" s="105">
        <v>0</v>
      </c>
      <c r="BQ25" s="105">
        <v>818683</v>
      </c>
      <c r="BR25" s="105">
        <v>132044</v>
      </c>
      <c r="BS25" s="105">
        <v>52751</v>
      </c>
      <c r="BT25" s="105">
        <v>0</v>
      </c>
      <c r="BU25" s="105">
        <v>80168</v>
      </c>
      <c r="BV25" s="105">
        <v>330</v>
      </c>
      <c r="BW25" s="105">
        <v>265293</v>
      </c>
      <c r="BX25" s="97">
        <v>0</v>
      </c>
      <c r="BY25" s="97">
        <v>0</v>
      </c>
      <c r="BZ25" s="97">
        <v>0</v>
      </c>
      <c r="CA25" s="97">
        <v>0</v>
      </c>
      <c r="CB25" s="97">
        <v>0</v>
      </c>
      <c r="CC25" s="97">
        <v>0</v>
      </c>
      <c r="CD25" s="97">
        <v>0</v>
      </c>
      <c r="CE25" s="97">
        <v>0</v>
      </c>
      <c r="CF25" s="97">
        <v>0</v>
      </c>
      <c r="CG25" s="97">
        <v>0</v>
      </c>
      <c r="CH25" s="97">
        <v>65666</v>
      </c>
      <c r="CI25" s="97">
        <v>65666</v>
      </c>
      <c r="CJ25" s="97">
        <v>120000</v>
      </c>
      <c r="CK25" s="97">
        <v>60000</v>
      </c>
      <c r="CL25" s="97">
        <v>52750</v>
      </c>
      <c r="CM25" s="97">
        <v>440000</v>
      </c>
      <c r="CN25" s="97">
        <v>1584956</v>
      </c>
      <c r="CO25" s="97">
        <v>2257706</v>
      </c>
      <c r="CP25" s="97">
        <v>0</v>
      </c>
      <c r="CQ25" s="97">
        <v>8920</v>
      </c>
      <c r="CR25" s="97">
        <v>9410</v>
      </c>
      <c r="CS25" s="97">
        <v>22072</v>
      </c>
      <c r="CT25" s="97">
        <v>0</v>
      </c>
      <c r="CU25" s="97">
        <v>40402</v>
      </c>
      <c r="CV25" s="97">
        <v>348597</v>
      </c>
      <c r="CW25" s="97">
        <v>94975</v>
      </c>
      <c r="CX25" s="97">
        <v>48756</v>
      </c>
      <c r="CY25" s="97">
        <v>274727</v>
      </c>
      <c r="CZ25" s="97">
        <v>887100</v>
      </c>
      <c r="DA25" s="97">
        <v>1654155</v>
      </c>
      <c r="DB25" s="97">
        <v>0</v>
      </c>
      <c r="DC25" s="97">
        <v>0</v>
      </c>
      <c r="DD25" s="97">
        <v>0</v>
      </c>
      <c r="DE25" s="97">
        <v>0</v>
      </c>
      <c r="DF25" s="97">
        <v>0</v>
      </c>
      <c r="DG25" s="97">
        <v>0</v>
      </c>
      <c r="DH25" s="97">
        <v>0</v>
      </c>
      <c r="DI25" s="105">
        <v>2048</v>
      </c>
      <c r="DJ25" s="105">
        <v>0</v>
      </c>
      <c r="DK25" s="105">
        <v>257</v>
      </c>
      <c r="DL25" s="105">
        <v>0</v>
      </c>
      <c r="DM25" s="105">
        <v>2305</v>
      </c>
      <c r="DN25" s="97">
        <v>10000</v>
      </c>
      <c r="DO25" s="105">
        <v>0</v>
      </c>
      <c r="DP25" s="105">
        <v>0</v>
      </c>
      <c r="DQ25" s="105">
        <v>36672</v>
      </c>
      <c r="DR25" s="105">
        <v>299059</v>
      </c>
      <c r="DS25" s="105">
        <v>345731</v>
      </c>
      <c r="DT25" s="97">
        <v>0</v>
      </c>
      <c r="DU25" s="97">
        <v>0</v>
      </c>
      <c r="DV25" s="97">
        <v>0</v>
      </c>
      <c r="DW25" s="97">
        <v>0</v>
      </c>
      <c r="DX25" s="97">
        <v>0</v>
      </c>
      <c r="DY25" s="97">
        <v>0</v>
      </c>
      <c r="DZ25" s="105">
        <v>0</v>
      </c>
      <c r="EA25" s="105">
        <v>2712</v>
      </c>
      <c r="EB25" s="105">
        <v>4574</v>
      </c>
      <c r="EC25" s="105">
        <v>40233</v>
      </c>
      <c r="ED25" s="105">
        <v>3290</v>
      </c>
      <c r="EE25" s="105">
        <v>50809</v>
      </c>
      <c r="EF25" s="105">
        <v>0</v>
      </c>
      <c r="EG25" s="105">
        <v>0</v>
      </c>
      <c r="EH25" s="105">
        <v>0</v>
      </c>
      <c r="EI25" s="105">
        <v>0</v>
      </c>
      <c r="EJ25" s="105">
        <v>65166</v>
      </c>
      <c r="EK25" s="105">
        <v>65166</v>
      </c>
      <c r="EL25" s="111">
        <v>7658588</v>
      </c>
      <c r="EM25" s="105">
        <v>2421743</v>
      </c>
      <c r="EN25" s="105">
        <v>1091664</v>
      </c>
      <c r="EO25" s="105">
        <v>5264387</v>
      </c>
      <c r="EP25" s="105">
        <v>8765182</v>
      </c>
      <c r="EQ25" s="105">
        <v>25201564</v>
      </c>
      <c r="ER25" s="111">
        <v>2209590</v>
      </c>
      <c r="ES25" s="105">
        <v>357798</v>
      </c>
      <c r="ET25" s="105">
        <v>426226</v>
      </c>
      <c r="EU25" s="105">
        <v>2984597</v>
      </c>
      <c r="EV25" s="105">
        <v>548376</v>
      </c>
      <c r="EW25" s="105">
        <v>6526587</v>
      </c>
      <c r="EX25" s="111">
        <v>700000</v>
      </c>
      <c r="EY25" s="105">
        <v>12000</v>
      </c>
      <c r="EZ25" s="105">
        <v>30280</v>
      </c>
      <c r="FA25" s="105">
        <v>23924</v>
      </c>
      <c r="FB25" s="105">
        <v>0</v>
      </c>
      <c r="FC25" s="105">
        <v>766204</v>
      </c>
      <c r="FD25" s="97">
        <v>1982016</v>
      </c>
      <c r="FE25" s="105">
        <v>649816</v>
      </c>
      <c r="FF25" s="105">
        <v>436291</v>
      </c>
      <c r="FG25" s="105">
        <v>1120535</v>
      </c>
      <c r="FH25" s="105">
        <v>0</v>
      </c>
      <c r="FI25" s="105">
        <v>4188658</v>
      </c>
      <c r="FJ25" s="97">
        <v>0</v>
      </c>
      <c r="FK25" s="97">
        <v>0</v>
      </c>
      <c r="FL25" s="97">
        <v>0</v>
      </c>
      <c r="FM25" s="97">
        <v>0</v>
      </c>
      <c r="FN25" s="97">
        <v>0</v>
      </c>
      <c r="FO25" s="97">
        <v>0</v>
      </c>
      <c r="FP25" s="97">
        <v>387792</v>
      </c>
      <c r="FQ25" s="97">
        <v>121717</v>
      </c>
      <c r="FR25" s="97">
        <v>39596</v>
      </c>
      <c r="FS25" s="97">
        <v>125612</v>
      </c>
      <c r="FT25" s="97">
        <v>3327187</v>
      </c>
      <c r="FU25" s="97">
        <v>4001904</v>
      </c>
      <c r="FV25" s="97">
        <v>0</v>
      </c>
      <c r="FW25" s="97">
        <v>0</v>
      </c>
      <c r="FX25" s="97">
        <v>0</v>
      </c>
      <c r="FY25" s="97">
        <v>0</v>
      </c>
      <c r="FZ25" s="97">
        <v>0</v>
      </c>
      <c r="GA25" s="97">
        <v>0</v>
      </c>
      <c r="GB25" s="97">
        <v>16573</v>
      </c>
      <c r="GC25" s="97">
        <v>676285</v>
      </c>
      <c r="GD25" s="97">
        <v>0</v>
      </c>
      <c r="GE25" s="97">
        <v>31499</v>
      </c>
      <c r="GF25" s="97">
        <v>9727</v>
      </c>
      <c r="GG25" s="97">
        <v>734084</v>
      </c>
      <c r="GH25" s="97">
        <v>192053</v>
      </c>
      <c r="GI25" s="97">
        <v>71262</v>
      </c>
      <c r="GJ25" s="97">
        <v>20444</v>
      </c>
      <c r="GK25" s="97">
        <v>156732</v>
      </c>
      <c r="GL25" s="97">
        <v>0</v>
      </c>
      <c r="GM25" s="97">
        <v>440491</v>
      </c>
      <c r="GN25" s="97">
        <v>957890</v>
      </c>
      <c r="GO25" s="97">
        <v>271743</v>
      </c>
      <c r="GP25" s="97">
        <v>144942</v>
      </c>
      <c r="GQ25" s="97">
        <v>898823</v>
      </c>
      <c r="GR25" s="97">
        <v>0</v>
      </c>
      <c r="GS25" s="97">
        <v>2273398</v>
      </c>
      <c r="GT25" s="97">
        <v>195011</v>
      </c>
      <c r="GU25" s="97">
        <v>54522</v>
      </c>
      <c r="GV25" s="97">
        <v>31357</v>
      </c>
      <c r="GW25" s="97">
        <v>251516</v>
      </c>
      <c r="GX25" s="97">
        <v>110473</v>
      </c>
      <c r="GY25" s="97">
        <v>642879</v>
      </c>
      <c r="GZ25" s="97">
        <v>580865</v>
      </c>
      <c r="HA25" s="97">
        <v>94914</v>
      </c>
      <c r="HB25" s="97">
        <v>92797</v>
      </c>
      <c r="HC25" s="97">
        <v>142665</v>
      </c>
      <c r="HD25" s="97">
        <v>0</v>
      </c>
      <c r="HE25" s="97">
        <v>911241</v>
      </c>
      <c r="HF25" s="97">
        <v>100183</v>
      </c>
      <c r="HG25" s="97">
        <v>61843</v>
      </c>
      <c r="HH25" s="97">
        <v>8294</v>
      </c>
      <c r="HI25" s="97">
        <v>18226</v>
      </c>
      <c r="HJ25" s="97">
        <v>298580</v>
      </c>
      <c r="HK25" s="97">
        <v>487126</v>
      </c>
      <c r="HL25" s="97">
        <v>0</v>
      </c>
      <c r="HM25" s="97">
        <v>0</v>
      </c>
      <c r="HN25" s="97">
        <v>0</v>
      </c>
      <c r="HO25" s="97">
        <v>0</v>
      </c>
      <c r="HP25" s="97">
        <v>0</v>
      </c>
      <c r="HQ25" s="97">
        <v>0</v>
      </c>
      <c r="HR25" s="97">
        <v>80163</v>
      </c>
      <c r="HS25" s="97">
        <v>8553</v>
      </c>
      <c r="HT25" s="97">
        <v>3887</v>
      </c>
      <c r="HU25" s="97">
        <v>44275</v>
      </c>
      <c r="HV25" s="97">
        <v>4485150</v>
      </c>
      <c r="HW25" s="97">
        <v>4622028</v>
      </c>
      <c r="HX25" s="97">
        <v>0</v>
      </c>
      <c r="HY25" s="97">
        <v>0</v>
      </c>
      <c r="HZ25" s="97">
        <v>0</v>
      </c>
      <c r="IA25" s="97">
        <v>0</v>
      </c>
      <c r="IB25" s="97">
        <v>169502</v>
      </c>
      <c r="IC25" s="97">
        <v>169502</v>
      </c>
      <c r="ID25" s="97">
        <v>0</v>
      </c>
      <c r="IE25" s="97">
        <v>8920</v>
      </c>
      <c r="IF25" s="97">
        <v>9410</v>
      </c>
      <c r="IG25" s="97">
        <v>22072</v>
      </c>
      <c r="IH25" s="97">
        <v>0</v>
      </c>
      <c r="II25" s="97">
        <v>40402</v>
      </c>
      <c r="IJ25" s="97">
        <v>221885</v>
      </c>
      <c r="IK25" s="97">
        <v>9661</v>
      </c>
      <c r="IL25" s="97">
        <v>14486</v>
      </c>
      <c r="IM25" s="97">
        <v>135234</v>
      </c>
      <c r="IN25" s="97">
        <v>71357</v>
      </c>
      <c r="IO25" s="97">
        <v>452623</v>
      </c>
      <c r="IP25" s="97">
        <v>240</v>
      </c>
      <c r="IQ25" s="97">
        <v>13370</v>
      </c>
      <c r="IR25" s="97">
        <v>11353</v>
      </c>
      <c r="IS25" s="97">
        <v>11093</v>
      </c>
      <c r="IT25" s="97">
        <v>97437</v>
      </c>
      <c r="IU25" s="97">
        <v>133493</v>
      </c>
      <c r="IV25" s="97">
        <v>243710</v>
      </c>
      <c r="IW25" s="97">
        <v>58395</v>
      </c>
      <c r="IX25" s="97">
        <v>32941</v>
      </c>
      <c r="IY25" s="97">
        <v>135882</v>
      </c>
      <c r="IZ25" s="97">
        <v>566723</v>
      </c>
      <c r="JA25" s="97">
        <v>1037651</v>
      </c>
      <c r="JB25" s="97">
        <v>7867971</v>
      </c>
      <c r="JC25" s="97">
        <v>2470799</v>
      </c>
      <c r="JD25" s="97">
        <v>1302304</v>
      </c>
      <c r="JE25" s="97">
        <v>6102685</v>
      </c>
      <c r="JF25" s="97">
        <v>9684512</v>
      </c>
      <c r="JG25" s="97">
        <v>27428271</v>
      </c>
      <c r="JH25" s="97">
        <v>0</v>
      </c>
      <c r="JI25" s="97">
        <v>0</v>
      </c>
      <c r="JJ25" s="97">
        <v>0</v>
      </c>
      <c r="JK25" s="97">
        <v>0</v>
      </c>
      <c r="JL25" s="97">
        <v>0</v>
      </c>
      <c r="JM25" s="97">
        <v>0</v>
      </c>
      <c r="JN25" s="99">
        <v>7867971</v>
      </c>
      <c r="JO25" s="99">
        <v>2470799</v>
      </c>
      <c r="JP25" s="99">
        <v>1302304</v>
      </c>
      <c r="JQ25" s="99">
        <v>6102685</v>
      </c>
      <c r="JR25" s="99">
        <v>9684512</v>
      </c>
      <c r="JS25" s="99">
        <v>27428271</v>
      </c>
      <c r="JT25" s="12"/>
      <c r="JU25" s="5">
        <f t="shared" si="78"/>
        <v>987487</v>
      </c>
      <c r="JV25" s="29">
        <f t="shared" si="79"/>
        <v>0</v>
      </c>
      <c r="JW25" s="5">
        <f t="shared" si="80"/>
        <v>18648161</v>
      </c>
      <c r="JX25" s="29">
        <f t="shared" si="81"/>
        <v>0</v>
      </c>
      <c r="JY25" s="5">
        <f t="shared" si="82"/>
        <v>818683</v>
      </c>
      <c r="JZ25" s="29">
        <f t="shared" si="83"/>
        <v>0</v>
      </c>
      <c r="KA25" s="5">
        <f t="shared" si="84"/>
        <v>265293</v>
      </c>
      <c r="KB25" s="29">
        <f t="shared" si="85"/>
        <v>0</v>
      </c>
      <c r="KC25" s="5">
        <f t="shared" si="86"/>
        <v>0</v>
      </c>
      <c r="KD25" s="29">
        <f t="shared" si="87"/>
        <v>0</v>
      </c>
      <c r="KE25" s="5">
        <f t="shared" si="88"/>
        <v>65666</v>
      </c>
      <c r="KF25" s="29">
        <f t="shared" si="89"/>
        <v>0</v>
      </c>
      <c r="KG25" s="5">
        <f t="shared" si="90"/>
        <v>2257706</v>
      </c>
      <c r="KH25" s="29">
        <f t="shared" si="91"/>
        <v>0</v>
      </c>
      <c r="KI25" s="5">
        <f t="shared" si="92"/>
        <v>40402</v>
      </c>
      <c r="KJ25" s="29">
        <f t="shared" si="93"/>
        <v>0</v>
      </c>
      <c r="KK25" s="5">
        <f t="shared" si="94"/>
        <v>1654155</v>
      </c>
      <c r="KL25" s="29">
        <f t="shared" si="95"/>
        <v>0</v>
      </c>
      <c r="KM25" s="5">
        <f t="shared" si="96"/>
        <v>0</v>
      </c>
      <c r="KN25" s="29">
        <f t="shared" si="97"/>
        <v>0</v>
      </c>
      <c r="KO25" s="5">
        <f t="shared" si="98"/>
        <v>2305</v>
      </c>
      <c r="KP25" s="29">
        <f t="shared" si="99"/>
        <v>0</v>
      </c>
      <c r="KQ25" s="5">
        <f t="shared" si="100"/>
        <v>345731</v>
      </c>
      <c r="KR25" s="29">
        <f t="shared" si="101"/>
        <v>0</v>
      </c>
      <c r="KS25" s="5">
        <f t="shared" si="102"/>
        <v>0</v>
      </c>
      <c r="KT25" s="29">
        <f t="shared" si="103"/>
        <v>0</v>
      </c>
      <c r="KU25" s="5">
        <f t="shared" si="104"/>
        <v>50809</v>
      </c>
      <c r="KV25" s="29">
        <f t="shared" si="105"/>
        <v>0</v>
      </c>
      <c r="KW25" s="5">
        <f t="shared" si="106"/>
        <v>65166</v>
      </c>
      <c r="KX25" s="29">
        <f t="shared" si="107"/>
        <v>0</v>
      </c>
      <c r="KY25" s="5">
        <f t="shared" si="108"/>
        <v>25201564</v>
      </c>
      <c r="KZ25" s="29">
        <f t="shared" si="109"/>
        <v>0</v>
      </c>
      <c r="LA25" s="5">
        <f t="shared" si="110"/>
        <v>6526587</v>
      </c>
      <c r="LB25" s="29">
        <f t="shared" si="111"/>
        <v>0</v>
      </c>
      <c r="LC25" s="5">
        <f t="shared" si="112"/>
        <v>766204</v>
      </c>
      <c r="LD25" s="29">
        <f t="shared" si="113"/>
        <v>0</v>
      </c>
      <c r="LE25" s="5">
        <f t="shared" si="114"/>
        <v>4188658</v>
      </c>
      <c r="LF25" s="29">
        <f t="shared" si="115"/>
        <v>0</v>
      </c>
      <c r="LG25" s="5">
        <f t="shared" si="116"/>
        <v>0</v>
      </c>
      <c r="LH25" s="29">
        <f t="shared" si="117"/>
        <v>0</v>
      </c>
      <c r="LI25" s="5">
        <f t="shared" si="118"/>
        <v>4001904</v>
      </c>
      <c r="LJ25" s="29">
        <f t="shared" si="119"/>
        <v>0</v>
      </c>
      <c r="LK25" s="5">
        <f t="shared" si="120"/>
        <v>0</v>
      </c>
      <c r="LL25" s="29">
        <f t="shared" si="121"/>
        <v>0</v>
      </c>
      <c r="LM25" s="5">
        <f t="shared" si="122"/>
        <v>734084</v>
      </c>
      <c r="LN25" s="29">
        <f t="shared" si="123"/>
        <v>0</v>
      </c>
      <c r="LO25" s="5">
        <f t="shared" si="124"/>
        <v>440491</v>
      </c>
      <c r="LP25" s="29">
        <f t="shared" si="125"/>
        <v>0</v>
      </c>
      <c r="LQ25" s="5">
        <f t="shared" si="126"/>
        <v>2273398</v>
      </c>
      <c r="LR25" s="29">
        <f t="shared" si="127"/>
        <v>0</v>
      </c>
      <c r="LS25" s="5">
        <f t="shared" si="128"/>
        <v>642879</v>
      </c>
      <c r="LT25" s="29">
        <f t="shared" si="129"/>
        <v>0</v>
      </c>
      <c r="LU25" s="5">
        <f t="shared" si="130"/>
        <v>911241</v>
      </c>
      <c r="LV25" s="29">
        <f t="shared" si="131"/>
        <v>0</v>
      </c>
      <c r="LW25" s="5">
        <f t="shared" si="132"/>
        <v>487126</v>
      </c>
      <c r="LX25" s="29">
        <f t="shared" si="133"/>
        <v>0</v>
      </c>
      <c r="LY25" s="5">
        <f t="shared" si="134"/>
        <v>0</v>
      </c>
      <c r="LZ25" s="29">
        <f t="shared" si="135"/>
        <v>0</v>
      </c>
      <c r="MA25" s="5">
        <f t="shared" si="136"/>
        <v>4622028</v>
      </c>
      <c r="MB25" s="29">
        <f t="shared" si="137"/>
        <v>0</v>
      </c>
      <c r="MC25" s="5">
        <f t="shared" si="138"/>
        <v>169502</v>
      </c>
      <c r="MD25" s="29">
        <f t="shared" si="139"/>
        <v>0</v>
      </c>
      <c r="ME25" s="5">
        <f t="shared" si="140"/>
        <v>40402</v>
      </c>
      <c r="MF25" s="29">
        <f t="shared" si="141"/>
        <v>0</v>
      </c>
      <c r="MG25" s="5">
        <f t="shared" si="142"/>
        <v>452623</v>
      </c>
      <c r="MH25" s="29">
        <f t="shared" si="143"/>
        <v>0</v>
      </c>
      <c r="MI25" s="5">
        <f t="shared" si="144"/>
        <v>133493</v>
      </c>
      <c r="MJ25" s="29">
        <f t="shared" si="145"/>
        <v>0</v>
      </c>
      <c r="MK25" s="5">
        <f t="shared" si="146"/>
        <v>1037651</v>
      </c>
      <c r="ML25" s="29">
        <f t="shared" si="147"/>
        <v>0</v>
      </c>
      <c r="MM25" s="5">
        <f t="shared" si="148"/>
        <v>27428271</v>
      </c>
      <c r="MN25" s="29">
        <f t="shared" si="149"/>
        <v>0</v>
      </c>
      <c r="MO25" s="5">
        <f t="shared" si="150"/>
        <v>0</v>
      </c>
      <c r="MP25" s="29">
        <f t="shared" si="151"/>
        <v>0</v>
      </c>
      <c r="MQ25" s="5">
        <f t="shared" si="152"/>
        <v>27428271</v>
      </c>
      <c r="MR25" s="29">
        <f t="shared" si="153"/>
        <v>0</v>
      </c>
      <c r="MT25" s="5">
        <f t="shared" si="76"/>
        <v>0</v>
      </c>
      <c r="MV25" s="4">
        <f t="shared" si="77"/>
        <v>0</v>
      </c>
    </row>
    <row r="26" spans="1:360" x14ac:dyDescent="0.15">
      <c r="A26" s="155" t="s">
        <v>282</v>
      </c>
      <c r="B26" s="28" t="s">
        <v>406</v>
      </c>
      <c r="C26" s="48">
        <v>134097</v>
      </c>
      <c r="D26" s="48">
        <v>2012</v>
      </c>
      <c r="E26" s="49">
        <v>1</v>
      </c>
      <c r="F26" s="49">
        <v>1</v>
      </c>
      <c r="G26" s="50">
        <v>14304</v>
      </c>
      <c r="H26" s="50">
        <v>17547</v>
      </c>
      <c r="I26" s="51">
        <v>936057859</v>
      </c>
      <c r="J26" s="51"/>
      <c r="K26" s="51">
        <v>0</v>
      </c>
      <c r="L26" s="51"/>
      <c r="M26" s="51">
        <v>20287189</v>
      </c>
      <c r="N26" s="51"/>
      <c r="O26" s="51">
        <v>0</v>
      </c>
      <c r="P26" s="51"/>
      <c r="Q26" s="51">
        <v>235029090</v>
      </c>
      <c r="R26" s="51"/>
      <c r="S26" s="51">
        <v>724284995</v>
      </c>
      <c r="T26" s="51"/>
      <c r="U26" s="51">
        <v>15714</v>
      </c>
      <c r="V26" s="51"/>
      <c r="W26" s="51">
        <v>31360</v>
      </c>
      <c r="X26" s="51"/>
      <c r="Y26" s="51">
        <v>20490</v>
      </c>
      <c r="Z26" s="51"/>
      <c r="AA26" s="51">
        <v>36480</v>
      </c>
      <c r="AB26" s="51"/>
      <c r="AC26" s="30">
        <v>9</v>
      </c>
      <c r="AD26" s="30">
        <v>11</v>
      </c>
      <c r="AE26" s="30">
        <v>0</v>
      </c>
      <c r="AF26" s="29">
        <v>5198086</v>
      </c>
      <c r="AG26" s="29">
        <v>3443384</v>
      </c>
      <c r="AH26" s="29">
        <v>851790</v>
      </c>
      <c r="AI26" s="29">
        <v>399268</v>
      </c>
      <c r="AJ26" s="29">
        <v>951389</v>
      </c>
      <c r="AK26" s="73">
        <v>6</v>
      </c>
      <c r="AL26" s="29">
        <v>815476</v>
      </c>
      <c r="AM26" s="73">
        <v>7</v>
      </c>
      <c r="AN26" s="29">
        <v>247333</v>
      </c>
      <c r="AO26" s="73">
        <v>8</v>
      </c>
      <c r="AP26" s="29">
        <v>219852</v>
      </c>
      <c r="AQ26" s="73">
        <v>9</v>
      </c>
      <c r="AR26" s="29">
        <v>251280</v>
      </c>
      <c r="AS26" s="73">
        <v>20.5</v>
      </c>
      <c r="AT26" s="29">
        <v>206049</v>
      </c>
      <c r="AU26" s="73">
        <v>25</v>
      </c>
      <c r="AV26" s="29">
        <v>103704</v>
      </c>
      <c r="AW26" s="73">
        <v>15.5</v>
      </c>
      <c r="AX26" s="29">
        <v>83161</v>
      </c>
      <c r="AY26" s="73">
        <v>20</v>
      </c>
      <c r="AZ26" s="97">
        <v>17914734</v>
      </c>
      <c r="BA26" s="97">
        <v>1445939</v>
      </c>
      <c r="BB26" s="97">
        <v>70509</v>
      </c>
      <c r="BC26" s="97">
        <v>948633</v>
      </c>
      <c r="BD26" s="97">
        <v>0</v>
      </c>
      <c r="BE26" s="97">
        <f>SUM(AZ26:BD26)</f>
        <v>20379815</v>
      </c>
      <c r="BF26" s="97">
        <v>0</v>
      </c>
      <c r="BG26" s="97">
        <v>0</v>
      </c>
      <c r="BH26" s="97">
        <v>2151109</v>
      </c>
      <c r="BI26" s="97">
        <v>5627752</v>
      </c>
      <c r="BJ26" s="97">
        <v>0</v>
      </c>
      <c r="BK26" s="97">
        <f>SUM(BH26:BJ26)</f>
        <v>7778861</v>
      </c>
      <c r="BL26" s="97">
        <v>1000000</v>
      </c>
      <c r="BM26" s="97">
        <v>205000</v>
      </c>
      <c r="BN26" s="97">
        <v>0</v>
      </c>
      <c r="BO26" s="97">
        <v>32000</v>
      </c>
      <c r="BP26" s="97">
        <v>0</v>
      </c>
      <c r="BQ26" s="97">
        <f>SUM(BL26:BP26)</f>
        <v>1237000</v>
      </c>
      <c r="BR26" s="97">
        <v>23771792</v>
      </c>
      <c r="BS26" s="97">
        <v>944008</v>
      </c>
      <c r="BT26" s="97">
        <v>28425</v>
      </c>
      <c r="BU26" s="97">
        <v>256816</v>
      </c>
      <c r="BV26" s="97">
        <v>5999583</v>
      </c>
      <c r="BW26" s="97">
        <f>SUM(BR26:BV26)</f>
        <v>31000624</v>
      </c>
      <c r="BX26" s="100">
        <v>0</v>
      </c>
      <c r="BY26" s="100">
        <v>0</v>
      </c>
      <c r="BZ26" s="100">
        <v>0</v>
      </c>
      <c r="CA26" s="100">
        <v>0</v>
      </c>
      <c r="CB26" s="100">
        <v>0</v>
      </c>
      <c r="CC26" s="100">
        <v>0</v>
      </c>
      <c r="CD26" s="100">
        <v>0</v>
      </c>
      <c r="CE26" s="100">
        <v>0</v>
      </c>
      <c r="CF26" s="100">
        <v>0</v>
      </c>
      <c r="CG26" s="100">
        <v>0</v>
      </c>
      <c r="CH26" s="100">
        <v>0</v>
      </c>
      <c r="CI26" s="100">
        <v>0</v>
      </c>
      <c r="CJ26" s="100">
        <v>0</v>
      </c>
      <c r="CK26" s="100">
        <v>0</v>
      </c>
      <c r="CL26" s="100">
        <v>0</v>
      </c>
      <c r="CM26" s="100">
        <v>0</v>
      </c>
      <c r="CN26" s="100">
        <v>0</v>
      </c>
      <c r="CO26" s="100">
        <v>0</v>
      </c>
      <c r="CP26" s="100">
        <v>0</v>
      </c>
      <c r="CQ26" s="100">
        <v>0</v>
      </c>
      <c r="CR26" s="100">
        <v>0</v>
      </c>
      <c r="CS26" s="100">
        <v>0</v>
      </c>
      <c r="CT26" s="100">
        <v>0</v>
      </c>
      <c r="CU26" s="100">
        <v>0</v>
      </c>
      <c r="CV26" s="97">
        <v>9620379</v>
      </c>
      <c r="CW26" s="97">
        <v>5237741</v>
      </c>
      <c r="CX26" s="97">
        <v>0</v>
      </c>
      <c r="CY26" s="97">
        <v>0</v>
      </c>
      <c r="CZ26" s="97">
        <v>2009482</v>
      </c>
      <c r="DA26" s="97">
        <f>SUM(CV26:CZ26)</f>
        <v>16867602</v>
      </c>
      <c r="DB26" s="97">
        <v>0</v>
      </c>
      <c r="DC26" s="97">
        <v>0</v>
      </c>
      <c r="DD26" s="97">
        <v>0</v>
      </c>
      <c r="DE26" s="97">
        <v>0</v>
      </c>
      <c r="DF26" s="97">
        <v>379166</v>
      </c>
      <c r="DG26" s="97">
        <v>379166</v>
      </c>
      <c r="DH26" s="97">
        <v>888390</v>
      </c>
      <c r="DI26" s="97">
        <v>0</v>
      </c>
      <c r="DJ26" s="97">
        <v>0</v>
      </c>
      <c r="DK26" s="97">
        <v>131767</v>
      </c>
      <c r="DL26" s="97">
        <v>0</v>
      </c>
      <c r="DM26" s="97">
        <f>SUM(DH26:DL26)</f>
        <v>1020157</v>
      </c>
      <c r="DN26" s="97">
        <v>771216</v>
      </c>
      <c r="DO26" s="97">
        <v>199959</v>
      </c>
      <c r="DP26" s="97">
        <v>189080</v>
      </c>
      <c r="DQ26" s="97">
        <v>1122303</v>
      </c>
      <c r="DR26" s="97">
        <v>15962137</v>
      </c>
      <c r="DS26" s="97">
        <f>SUM(DN26:DR26)</f>
        <v>18244695</v>
      </c>
      <c r="DT26" s="97">
        <v>0</v>
      </c>
      <c r="DU26" s="97">
        <v>0</v>
      </c>
      <c r="DV26" s="97">
        <v>0</v>
      </c>
      <c r="DW26" s="97">
        <v>0</v>
      </c>
      <c r="DX26" s="97">
        <v>0</v>
      </c>
      <c r="DY26" s="97">
        <v>0</v>
      </c>
      <c r="DZ26" s="97">
        <v>0</v>
      </c>
      <c r="EA26" s="97">
        <v>0</v>
      </c>
      <c r="EB26" s="97">
        <v>0</v>
      </c>
      <c r="EC26" s="97">
        <v>0</v>
      </c>
      <c r="ED26" s="97">
        <v>0</v>
      </c>
      <c r="EE26" s="97">
        <v>0</v>
      </c>
      <c r="EF26" s="97">
        <v>327918</v>
      </c>
      <c r="EG26" s="97">
        <v>185493</v>
      </c>
      <c r="EH26" s="97">
        <v>82429</v>
      </c>
      <c r="EI26" s="97">
        <v>785951</v>
      </c>
      <c r="EJ26" s="97">
        <v>1759733</v>
      </c>
      <c r="EK26" s="97">
        <f>SUM(EF26:EJ26)</f>
        <v>3141524</v>
      </c>
      <c r="EL26" s="97">
        <v>54294429</v>
      </c>
      <c r="EM26" s="97">
        <v>8218140</v>
      </c>
      <c r="EN26" s="97">
        <v>2521552</v>
      </c>
      <c r="EO26" s="97">
        <v>8905222</v>
      </c>
      <c r="EP26" s="97">
        <v>26110101</v>
      </c>
      <c r="EQ26" s="97">
        <f>SUM(EL26:EP26)</f>
        <v>100049444</v>
      </c>
      <c r="ER26" s="97">
        <v>2992375</v>
      </c>
      <c r="ES26" s="97">
        <v>561388</v>
      </c>
      <c r="ET26" s="97">
        <v>533848</v>
      </c>
      <c r="EU26" s="97">
        <v>4553859</v>
      </c>
      <c r="EV26" s="97">
        <v>901245</v>
      </c>
      <c r="EW26" s="97">
        <f>SUM(ER26:EV26)</f>
        <v>9542715</v>
      </c>
      <c r="EX26" s="97">
        <v>2200000</v>
      </c>
      <c r="EY26" s="97">
        <v>511287</v>
      </c>
      <c r="EZ26" s="97">
        <v>64500</v>
      </c>
      <c r="FA26" s="97">
        <v>33810</v>
      </c>
      <c r="FB26" s="97">
        <v>0</v>
      </c>
      <c r="FC26" s="97">
        <f>SUM(EX26:FB26)</f>
        <v>2809597</v>
      </c>
      <c r="FD26" s="97">
        <v>6612614</v>
      </c>
      <c r="FE26" s="97">
        <v>2509059</v>
      </c>
      <c r="FF26" s="97">
        <v>1339732</v>
      </c>
      <c r="FG26" s="97">
        <v>4040068</v>
      </c>
      <c r="FH26" s="97">
        <v>0</v>
      </c>
      <c r="FI26" s="97">
        <f>SUM(FD26:FH26)</f>
        <v>14501473</v>
      </c>
      <c r="FJ26" s="97">
        <v>0</v>
      </c>
      <c r="FK26" s="97">
        <v>0</v>
      </c>
      <c r="FL26" s="97">
        <v>0</v>
      </c>
      <c r="FM26" s="97">
        <v>0</v>
      </c>
      <c r="FN26" s="97">
        <v>0</v>
      </c>
      <c r="FO26" s="97">
        <v>0</v>
      </c>
      <c r="FP26" s="97">
        <v>1221011</v>
      </c>
      <c r="FQ26" s="97">
        <v>420861</v>
      </c>
      <c r="FR26" s="97">
        <v>173212</v>
      </c>
      <c r="FS26" s="97">
        <v>635680</v>
      </c>
      <c r="FT26" s="97">
        <v>10552365</v>
      </c>
      <c r="FU26" s="97">
        <f>SUM(FP26:FT26)</f>
        <v>13003129</v>
      </c>
      <c r="FV26" s="97">
        <v>0</v>
      </c>
      <c r="FW26" s="97">
        <v>0</v>
      </c>
      <c r="FX26" s="97">
        <v>0</v>
      </c>
      <c r="FY26" s="97">
        <v>0</v>
      </c>
      <c r="FZ26" s="97">
        <v>0</v>
      </c>
      <c r="GA26" s="97">
        <v>0</v>
      </c>
      <c r="GB26" s="97">
        <v>0</v>
      </c>
      <c r="GC26" s="97">
        <v>0</v>
      </c>
      <c r="GD26" s="97">
        <v>61165</v>
      </c>
      <c r="GE26" s="97">
        <v>78284</v>
      </c>
      <c r="GF26" s="97">
        <v>216613</v>
      </c>
      <c r="GG26" s="97">
        <f>SUM(GB26:GF26)</f>
        <v>356062</v>
      </c>
      <c r="GH26" s="97">
        <v>493386</v>
      </c>
      <c r="GI26" s="97">
        <v>165454</v>
      </c>
      <c r="GJ26" s="97">
        <v>140849</v>
      </c>
      <c r="GK26" s="97">
        <v>451369</v>
      </c>
      <c r="GL26" s="97">
        <v>0</v>
      </c>
      <c r="GM26" s="97">
        <f>SUM(GH26:GL26)</f>
        <v>1251058</v>
      </c>
      <c r="GN26" s="97">
        <v>1372831</v>
      </c>
      <c r="GO26" s="97">
        <v>733062</v>
      </c>
      <c r="GP26" s="97">
        <v>681144</v>
      </c>
      <c r="GQ26" s="97">
        <v>2768391</v>
      </c>
      <c r="GR26" s="97">
        <v>202365</v>
      </c>
      <c r="GS26" s="97">
        <f>SUM(GR26+GQ26+GP26+GO26+GN26)</f>
        <v>5757793</v>
      </c>
      <c r="GT26" s="97">
        <v>908504</v>
      </c>
      <c r="GU26" s="97">
        <v>170172</v>
      </c>
      <c r="GV26" s="97">
        <v>171508</v>
      </c>
      <c r="GW26" s="97">
        <v>1230545</v>
      </c>
      <c r="GX26" s="97">
        <v>1283348</v>
      </c>
      <c r="GY26" s="97">
        <f>SUM(GT26:GX26)</f>
        <v>3764077</v>
      </c>
      <c r="GZ26" s="97">
        <v>3560119</v>
      </c>
      <c r="HA26" s="97">
        <v>533598</v>
      </c>
      <c r="HB26" s="97">
        <v>110463</v>
      </c>
      <c r="HC26" s="97">
        <v>637899</v>
      </c>
      <c r="HD26" s="97">
        <v>963656</v>
      </c>
      <c r="HE26" s="97">
        <f>SUM(GZ26:HD26)</f>
        <v>5805735</v>
      </c>
      <c r="HF26" s="97">
        <v>163215</v>
      </c>
      <c r="HG26" s="97">
        <v>6100</v>
      </c>
      <c r="HH26" s="97">
        <v>7401</v>
      </c>
      <c r="HI26" s="97">
        <v>19900</v>
      </c>
      <c r="HJ26" s="97">
        <v>1509739</v>
      </c>
      <c r="HK26" s="97">
        <f>SUM(HF26:HJ26)</f>
        <v>1706355</v>
      </c>
      <c r="HL26" s="97">
        <v>0</v>
      </c>
      <c r="HM26" s="97">
        <v>0</v>
      </c>
      <c r="HN26" s="97">
        <v>0</v>
      </c>
      <c r="HO26" s="97">
        <v>0</v>
      </c>
      <c r="HP26" s="97">
        <v>0</v>
      </c>
      <c r="HQ26" s="97">
        <v>0</v>
      </c>
      <c r="HR26" s="97">
        <v>805109</v>
      </c>
      <c r="HS26" s="97">
        <v>320160</v>
      </c>
      <c r="HT26" s="97">
        <v>221847</v>
      </c>
      <c r="HU26" s="97">
        <v>221415</v>
      </c>
      <c r="HV26" s="97">
        <v>13980819</v>
      </c>
      <c r="HW26" s="97">
        <f>SUM(HR26:HV26)</f>
        <v>15549350</v>
      </c>
      <c r="HX26" s="97">
        <v>0</v>
      </c>
      <c r="HY26" s="97">
        <v>0</v>
      </c>
      <c r="HZ26" s="97">
        <v>0</v>
      </c>
      <c r="IA26" s="97">
        <v>0</v>
      </c>
      <c r="IB26" s="97">
        <v>292466</v>
      </c>
      <c r="IC26" s="97">
        <v>292466</v>
      </c>
      <c r="ID26" s="97">
        <v>0</v>
      </c>
      <c r="IE26" s="97">
        <v>0</v>
      </c>
      <c r="IF26" s="97">
        <v>0</v>
      </c>
      <c r="IG26" s="97">
        <v>0</v>
      </c>
      <c r="IH26" s="97">
        <v>0</v>
      </c>
      <c r="II26" s="97">
        <v>0</v>
      </c>
      <c r="IJ26" s="97">
        <v>74168</v>
      </c>
      <c r="IK26" s="97">
        <v>2237</v>
      </c>
      <c r="IL26" s="97">
        <v>1690</v>
      </c>
      <c r="IM26" s="97">
        <v>100687</v>
      </c>
      <c r="IN26" s="97">
        <v>1028858</v>
      </c>
      <c r="IO26" s="97">
        <f>SUM(IJ26:IN26)</f>
        <v>1207640</v>
      </c>
      <c r="IP26" s="97">
        <v>2902</v>
      </c>
      <c r="IQ26" s="97">
        <v>1951</v>
      </c>
      <c r="IR26" s="97">
        <v>7148</v>
      </c>
      <c r="IS26" s="97">
        <v>6492</v>
      </c>
      <c r="IT26" s="97">
        <v>23496</v>
      </c>
      <c r="IU26" s="97">
        <f>SUM(IP26:IT26)</f>
        <v>41989</v>
      </c>
      <c r="IV26" s="97">
        <v>1645994</v>
      </c>
      <c r="IW26" s="97">
        <v>165725</v>
      </c>
      <c r="IX26" s="97">
        <v>123993</v>
      </c>
      <c r="IY26" s="97">
        <v>540381</v>
      </c>
      <c r="IZ26" s="97">
        <v>12213346</v>
      </c>
      <c r="JA26" s="97">
        <f>SUM(IV26:IZ26)</f>
        <v>14689439</v>
      </c>
      <c r="JB26" s="97">
        <v>22052228</v>
      </c>
      <c r="JC26" s="97">
        <v>6101054</v>
      </c>
      <c r="JD26" s="97">
        <v>3638500</v>
      </c>
      <c r="JE26" s="97">
        <v>15318780</v>
      </c>
      <c r="JF26" s="97">
        <v>43168316</v>
      </c>
      <c r="JG26" s="97">
        <f>SUM(JB26:JF26)</f>
        <v>90278878</v>
      </c>
      <c r="JH26" s="97">
        <v>0</v>
      </c>
      <c r="JI26" s="97">
        <v>0</v>
      </c>
      <c r="JJ26" s="97">
        <v>0</v>
      </c>
      <c r="JK26" s="97">
        <v>0</v>
      </c>
      <c r="JL26" s="97">
        <v>0</v>
      </c>
      <c r="JM26" s="97">
        <v>0</v>
      </c>
      <c r="JN26" s="97">
        <v>22052228</v>
      </c>
      <c r="JO26" s="97">
        <v>6101054</v>
      </c>
      <c r="JP26" s="97">
        <v>3638500</v>
      </c>
      <c r="JQ26" s="97">
        <v>15318780</v>
      </c>
      <c r="JR26" s="97">
        <v>43168316</v>
      </c>
      <c r="JS26" s="97">
        <f>SUM(JN26:JR26)</f>
        <v>90278878</v>
      </c>
      <c r="JU26" s="5">
        <f t="shared" si="78"/>
        <v>20379815</v>
      </c>
      <c r="JV26" s="29">
        <f t="shared" si="79"/>
        <v>0</v>
      </c>
      <c r="JW26" s="5">
        <f t="shared" si="80"/>
        <v>7778861</v>
      </c>
      <c r="JX26" s="29">
        <f t="shared" si="81"/>
        <v>0</v>
      </c>
      <c r="JY26" s="5">
        <f t="shared" si="82"/>
        <v>1237000</v>
      </c>
      <c r="JZ26" s="29">
        <f t="shared" si="83"/>
        <v>0</v>
      </c>
      <c r="KA26" s="5">
        <f t="shared" si="84"/>
        <v>31000624</v>
      </c>
      <c r="KB26" s="29">
        <f t="shared" si="85"/>
        <v>0</v>
      </c>
      <c r="KC26" s="5">
        <f t="shared" si="86"/>
        <v>0</v>
      </c>
      <c r="KD26" s="29">
        <f t="shared" si="87"/>
        <v>0</v>
      </c>
      <c r="KE26" s="5">
        <f t="shared" si="88"/>
        <v>0</v>
      </c>
      <c r="KF26" s="29">
        <f t="shared" si="89"/>
        <v>0</v>
      </c>
      <c r="KG26" s="5">
        <f t="shared" si="90"/>
        <v>0</v>
      </c>
      <c r="KH26" s="29">
        <f t="shared" si="91"/>
        <v>0</v>
      </c>
      <c r="KI26" s="5">
        <f t="shared" si="92"/>
        <v>0</v>
      </c>
      <c r="KJ26" s="29">
        <f t="shared" si="93"/>
        <v>0</v>
      </c>
      <c r="KK26" s="5">
        <f t="shared" si="94"/>
        <v>16867602</v>
      </c>
      <c r="KL26" s="29">
        <f t="shared" si="95"/>
        <v>0</v>
      </c>
      <c r="KM26" s="5">
        <f t="shared" si="96"/>
        <v>379166</v>
      </c>
      <c r="KN26" s="29">
        <f t="shared" si="97"/>
        <v>0</v>
      </c>
      <c r="KO26" s="5">
        <f t="shared" si="98"/>
        <v>1020157</v>
      </c>
      <c r="KP26" s="29">
        <f t="shared" si="99"/>
        <v>0</v>
      </c>
      <c r="KQ26" s="5">
        <f t="shared" si="100"/>
        <v>18244695</v>
      </c>
      <c r="KR26" s="29">
        <f t="shared" si="101"/>
        <v>0</v>
      </c>
      <c r="KS26" s="5">
        <f t="shared" si="102"/>
        <v>0</v>
      </c>
      <c r="KT26" s="29">
        <f t="shared" si="103"/>
        <v>0</v>
      </c>
      <c r="KU26" s="5">
        <f t="shared" si="104"/>
        <v>0</v>
      </c>
      <c r="KV26" s="29">
        <f t="shared" si="105"/>
        <v>0</v>
      </c>
      <c r="KW26" s="5">
        <f t="shared" si="106"/>
        <v>3141524</v>
      </c>
      <c r="KX26" s="29">
        <f t="shared" si="107"/>
        <v>0</v>
      </c>
      <c r="KY26" s="5">
        <f t="shared" si="108"/>
        <v>100049444</v>
      </c>
      <c r="KZ26" s="29">
        <f t="shared" si="109"/>
        <v>0</v>
      </c>
      <c r="LA26" s="5">
        <f t="shared" si="110"/>
        <v>9542715</v>
      </c>
      <c r="LB26" s="29">
        <f t="shared" si="111"/>
        <v>0</v>
      </c>
      <c r="LC26" s="5">
        <f t="shared" si="112"/>
        <v>2809597</v>
      </c>
      <c r="LD26" s="29">
        <f t="shared" si="113"/>
        <v>0</v>
      </c>
      <c r="LE26" s="5">
        <f t="shared" si="114"/>
        <v>14501473</v>
      </c>
      <c r="LF26" s="29">
        <f t="shared" si="115"/>
        <v>0</v>
      </c>
      <c r="LG26" s="5">
        <f t="shared" si="116"/>
        <v>0</v>
      </c>
      <c r="LH26" s="29">
        <f t="shared" si="117"/>
        <v>0</v>
      </c>
      <c r="LI26" s="5">
        <f t="shared" si="118"/>
        <v>13003129</v>
      </c>
      <c r="LJ26" s="29">
        <f t="shared" si="119"/>
        <v>0</v>
      </c>
      <c r="LK26" s="5">
        <f t="shared" si="120"/>
        <v>0</v>
      </c>
      <c r="LL26" s="29">
        <f t="shared" si="121"/>
        <v>0</v>
      </c>
      <c r="LM26" s="5">
        <f t="shared" si="122"/>
        <v>356062</v>
      </c>
      <c r="LN26" s="29">
        <f t="shared" si="123"/>
        <v>0</v>
      </c>
      <c r="LO26" s="5">
        <f t="shared" si="124"/>
        <v>1251058</v>
      </c>
      <c r="LP26" s="29">
        <f t="shared" si="125"/>
        <v>0</v>
      </c>
      <c r="LQ26" s="5">
        <f t="shared" si="126"/>
        <v>5757793</v>
      </c>
      <c r="LR26" s="29">
        <f t="shared" si="127"/>
        <v>0</v>
      </c>
      <c r="LS26" s="5">
        <f t="shared" si="128"/>
        <v>3764077</v>
      </c>
      <c r="LT26" s="29">
        <f t="shared" si="129"/>
        <v>0</v>
      </c>
      <c r="LU26" s="5">
        <f t="shared" si="130"/>
        <v>5805735</v>
      </c>
      <c r="LV26" s="29">
        <f t="shared" si="131"/>
        <v>0</v>
      </c>
      <c r="LW26" s="5">
        <f t="shared" si="132"/>
        <v>1706355</v>
      </c>
      <c r="LX26" s="29">
        <f t="shared" si="133"/>
        <v>0</v>
      </c>
      <c r="LY26" s="5">
        <f t="shared" si="134"/>
        <v>0</v>
      </c>
      <c r="LZ26" s="29">
        <f t="shared" si="135"/>
        <v>0</v>
      </c>
      <c r="MA26" s="5">
        <f t="shared" si="136"/>
        <v>15549350</v>
      </c>
      <c r="MB26" s="29">
        <f t="shared" si="137"/>
        <v>0</v>
      </c>
      <c r="MC26" s="5">
        <f t="shared" si="138"/>
        <v>292466</v>
      </c>
      <c r="MD26" s="29">
        <f t="shared" si="139"/>
        <v>0</v>
      </c>
      <c r="ME26" s="5">
        <f t="shared" si="140"/>
        <v>0</v>
      </c>
      <c r="MF26" s="29">
        <f t="shared" si="141"/>
        <v>0</v>
      </c>
      <c r="MG26" s="5">
        <f t="shared" si="142"/>
        <v>1207640</v>
      </c>
      <c r="MH26" s="29">
        <f t="shared" si="143"/>
        <v>0</v>
      </c>
      <c r="MI26" s="5">
        <f t="shared" si="144"/>
        <v>41989</v>
      </c>
      <c r="MJ26" s="29">
        <f t="shared" si="145"/>
        <v>0</v>
      </c>
      <c r="MK26" s="5">
        <f t="shared" si="146"/>
        <v>14689439</v>
      </c>
      <c r="ML26" s="29">
        <f t="shared" si="147"/>
        <v>0</v>
      </c>
      <c r="MM26" s="5">
        <f t="shared" si="148"/>
        <v>90278878</v>
      </c>
      <c r="MN26" s="29">
        <f t="shared" si="149"/>
        <v>0</v>
      </c>
      <c r="MO26" s="5">
        <f t="shared" si="150"/>
        <v>0</v>
      </c>
      <c r="MP26" s="29">
        <f t="shared" si="151"/>
        <v>0</v>
      </c>
      <c r="MQ26" s="5">
        <f t="shared" si="152"/>
        <v>90278878</v>
      </c>
      <c r="MR26" s="29">
        <f t="shared" si="153"/>
        <v>0</v>
      </c>
      <c r="MT26" s="5">
        <f t="shared" si="76"/>
        <v>0</v>
      </c>
      <c r="MV26" s="4">
        <f t="shared" si="77"/>
        <v>0</v>
      </c>
    </row>
    <row r="27" spans="1:360" x14ac:dyDescent="0.15">
      <c r="A27" s="156" t="s">
        <v>283</v>
      </c>
      <c r="B27" s="28" t="s">
        <v>461</v>
      </c>
      <c r="C27" s="47">
        <v>220978</v>
      </c>
      <c r="D27" s="48">
        <v>2012</v>
      </c>
      <c r="E27" s="49">
        <v>1</v>
      </c>
      <c r="F27" s="49">
        <v>10</v>
      </c>
      <c r="G27" s="50">
        <v>7086</v>
      </c>
      <c r="H27" s="50">
        <v>9434</v>
      </c>
      <c r="I27" s="51">
        <v>382696290</v>
      </c>
      <c r="J27" s="51"/>
      <c r="K27" s="51">
        <v>2780481</v>
      </c>
      <c r="L27" s="51"/>
      <c r="M27" s="51">
        <v>9125112</v>
      </c>
      <c r="N27" s="51"/>
      <c r="O27" s="51">
        <v>72182824</v>
      </c>
      <c r="P27" s="51"/>
      <c r="Q27" s="51">
        <v>173066175</v>
      </c>
      <c r="R27" s="51"/>
      <c r="S27" s="51">
        <v>268884920</v>
      </c>
      <c r="T27" s="51"/>
      <c r="U27" s="51">
        <v>15563</v>
      </c>
      <c r="V27" s="51"/>
      <c r="W27" s="51">
        <v>26722</v>
      </c>
      <c r="X27" s="51"/>
      <c r="Y27" s="51">
        <v>21692</v>
      </c>
      <c r="Z27" s="51"/>
      <c r="AA27" s="51">
        <v>30801</v>
      </c>
      <c r="AB27" s="51"/>
      <c r="AC27" s="72">
        <v>7</v>
      </c>
      <c r="AD27" s="72">
        <v>12</v>
      </c>
      <c r="AE27" s="72">
        <v>0</v>
      </c>
      <c r="AF27" s="29">
        <v>2295255</v>
      </c>
      <c r="AG27" s="29">
        <v>2557406</v>
      </c>
      <c r="AH27" s="29">
        <v>229108</v>
      </c>
      <c r="AI27" s="29">
        <v>104595</v>
      </c>
      <c r="AJ27" s="29">
        <v>362900.55</v>
      </c>
      <c r="AK27" s="73">
        <v>5.5</v>
      </c>
      <c r="AL27" s="29">
        <v>332658.83</v>
      </c>
      <c r="AM27" s="73">
        <v>6</v>
      </c>
      <c r="AN27" s="29">
        <v>142695.51999999999</v>
      </c>
      <c r="AO27" s="73">
        <v>10.5</v>
      </c>
      <c r="AP27" s="29">
        <v>136209.35999999999</v>
      </c>
      <c r="AQ27" s="73">
        <v>11</v>
      </c>
      <c r="AR27" s="29">
        <v>156721.06</v>
      </c>
      <c r="AS27" s="73">
        <v>16.86</v>
      </c>
      <c r="AT27" s="29">
        <v>125824.62</v>
      </c>
      <c r="AU27" s="73">
        <v>21</v>
      </c>
      <c r="AV27" s="29">
        <v>80576.19</v>
      </c>
      <c r="AW27" s="73">
        <v>15.71</v>
      </c>
      <c r="AX27" s="29">
        <v>66623.789999999994</v>
      </c>
      <c r="AY27" s="73">
        <v>19</v>
      </c>
      <c r="AZ27" s="97">
        <v>4765827</v>
      </c>
      <c r="BA27" s="97">
        <v>1323515</v>
      </c>
      <c r="BB27" s="97">
        <v>138031</v>
      </c>
      <c r="BC27" s="97">
        <v>311625</v>
      </c>
      <c r="BD27" s="97">
        <v>6240</v>
      </c>
      <c r="BE27" s="97">
        <v>6545238</v>
      </c>
      <c r="BF27" s="97">
        <v>0</v>
      </c>
      <c r="BG27" s="97">
        <v>60805</v>
      </c>
      <c r="BH27" s="97">
        <v>615791</v>
      </c>
      <c r="BI27" s="97">
        <v>3387403</v>
      </c>
      <c r="BJ27" s="97">
        <v>0</v>
      </c>
      <c r="BK27" s="97">
        <v>4063999</v>
      </c>
      <c r="BL27" s="97">
        <v>1450000</v>
      </c>
      <c r="BM27" s="97">
        <v>190546</v>
      </c>
      <c r="BN27" s="97">
        <v>10000</v>
      </c>
      <c r="BO27" s="97">
        <v>32921</v>
      </c>
      <c r="BP27" s="97">
        <v>0</v>
      </c>
      <c r="BQ27" s="97">
        <v>1683467</v>
      </c>
      <c r="BR27" s="97">
        <v>1177343</v>
      </c>
      <c r="BS27" s="97">
        <v>154291</v>
      </c>
      <c r="BT27" s="97">
        <v>221661</v>
      </c>
      <c r="BU27" s="97">
        <v>1920580</v>
      </c>
      <c r="BV27" s="97">
        <v>1363281</v>
      </c>
      <c r="BW27" s="97">
        <v>4837156</v>
      </c>
      <c r="BX27" s="97">
        <v>0</v>
      </c>
      <c r="BY27" s="97">
        <v>0</v>
      </c>
      <c r="BZ27" s="97">
        <v>0</v>
      </c>
      <c r="CA27" s="97">
        <v>0</v>
      </c>
      <c r="CB27" s="97">
        <v>0</v>
      </c>
      <c r="CC27" s="97">
        <v>0</v>
      </c>
      <c r="CD27" s="97">
        <v>0</v>
      </c>
      <c r="CE27" s="97">
        <v>0</v>
      </c>
      <c r="CF27" s="97">
        <v>0</v>
      </c>
      <c r="CG27" s="97">
        <v>0</v>
      </c>
      <c r="CH27" s="97">
        <v>0</v>
      </c>
      <c r="CI27" s="97">
        <v>0</v>
      </c>
      <c r="CJ27" s="97">
        <v>750000</v>
      </c>
      <c r="CK27" s="97">
        <v>0</v>
      </c>
      <c r="CL27" s="97">
        <v>131093</v>
      </c>
      <c r="CM27" s="97">
        <v>518907</v>
      </c>
      <c r="CN27" s="97">
        <v>6234860</v>
      </c>
      <c r="CO27" s="97">
        <v>7634860</v>
      </c>
      <c r="CP27" s="97">
        <v>0</v>
      </c>
      <c r="CQ27" s="97">
        <v>0</v>
      </c>
      <c r="CR27" s="97">
        <v>0</v>
      </c>
      <c r="CS27" s="97">
        <v>0</v>
      </c>
      <c r="CT27" s="97">
        <v>1342580</v>
      </c>
      <c r="CU27" s="97">
        <v>1342580</v>
      </c>
      <c r="CV27" s="97">
        <v>0</v>
      </c>
      <c r="CW27" s="97">
        <v>24656</v>
      </c>
      <c r="CX27" s="97">
        <v>47536</v>
      </c>
      <c r="CY27" s="97">
        <v>45597</v>
      </c>
      <c r="CZ27" s="97">
        <v>1325499</v>
      </c>
      <c r="DA27" s="97">
        <v>1443288</v>
      </c>
      <c r="DB27" s="97">
        <v>0</v>
      </c>
      <c r="DC27" s="97">
        <v>0</v>
      </c>
      <c r="DD27" s="97">
        <v>0</v>
      </c>
      <c r="DE27" s="97">
        <v>0</v>
      </c>
      <c r="DF27" s="97">
        <v>0</v>
      </c>
      <c r="DG27" s="97">
        <v>0</v>
      </c>
      <c r="DH27" s="97">
        <v>455392</v>
      </c>
      <c r="DI27" s="97">
        <v>220</v>
      </c>
      <c r="DJ27" s="97">
        <v>0</v>
      </c>
      <c r="DK27" s="97">
        <v>30212</v>
      </c>
      <c r="DL27" s="97">
        <v>30547</v>
      </c>
      <c r="DM27" s="97">
        <v>516371</v>
      </c>
      <c r="DN27" s="97">
        <v>0</v>
      </c>
      <c r="DO27" s="97">
        <v>0</v>
      </c>
      <c r="DP27" s="97">
        <v>0</v>
      </c>
      <c r="DQ27" s="97">
        <v>0</v>
      </c>
      <c r="DR27" s="97">
        <v>2487510</v>
      </c>
      <c r="DS27" s="97">
        <v>2487510</v>
      </c>
      <c r="DT27" s="97">
        <v>0</v>
      </c>
      <c r="DU27" s="97">
        <v>0</v>
      </c>
      <c r="DV27" s="97">
        <v>0</v>
      </c>
      <c r="DW27" s="97">
        <v>0</v>
      </c>
      <c r="DX27" s="97">
        <v>0</v>
      </c>
      <c r="DY27" s="97">
        <v>0</v>
      </c>
      <c r="DZ27" s="97">
        <v>0</v>
      </c>
      <c r="EA27" s="97">
        <v>0</v>
      </c>
      <c r="EB27" s="97">
        <v>0</v>
      </c>
      <c r="EC27" s="97">
        <v>0</v>
      </c>
      <c r="ED27" s="97">
        <v>-26500</v>
      </c>
      <c r="EE27" s="97">
        <v>-26500</v>
      </c>
      <c r="EF27" s="97">
        <v>0</v>
      </c>
      <c r="EG27" s="97">
        <v>0</v>
      </c>
      <c r="EH27" s="97">
        <v>100</v>
      </c>
      <c r="EI27" s="97">
        <v>0</v>
      </c>
      <c r="EJ27" s="97">
        <v>196074</v>
      </c>
      <c r="EK27" s="97">
        <v>196174</v>
      </c>
      <c r="EL27" s="97">
        <v>8598562</v>
      </c>
      <c r="EM27" s="97">
        <v>1754033</v>
      </c>
      <c r="EN27" s="97">
        <v>1164212</v>
      </c>
      <c r="EO27" s="97">
        <v>6247245</v>
      </c>
      <c r="EP27" s="97">
        <v>12960091</v>
      </c>
      <c r="EQ27" s="97">
        <v>30724143</v>
      </c>
      <c r="ER27" s="97">
        <v>1517781</v>
      </c>
      <c r="ES27" s="97">
        <v>251512</v>
      </c>
      <c r="ET27" s="97">
        <v>367974</v>
      </c>
      <c r="EU27" s="97">
        <v>2715394</v>
      </c>
      <c r="EV27" s="97">
        <v>28538</v>
      </c>
      <c r="EW27" s="97">
        <v>4881199</v>
      </c>
      <c r="EX27" s="97">
        <v>750000</v>
      </c>
      <c r="EY27" s="97">
        <v>50000</v>
      </c>
      <c r="EZ27" s="97">
        <v>7871</v>
      </c>
      <c r="FA27" s="97">
        <v>66794</v>
      </c>
      <c r="FB27" s="97">
        <v>0</v>
      </c>
      <c r="FC27" s="97">
        <v>874665</v>
      </c>
      <c r="FD27" s="97">
        <v>2760022</v>
      </c>
      <c r="FE27" s="97">
        <v>907067</v>
      </c>
      <c r="FF27" s="97">
        <v>612994</v>
      </c>
      <c r="FG27" s="97">
        <v>3122342</v>
      </c>
      <c r="FH27" s="97">
        <v>0</v>
      </c>
      <c r="FI27" s="97">
        <v>7402425</v>
      </c>
      <c r="FJ27" s="97">
        <v>0</v>
      </c>
      <c r="FK27" s="97">
        <v>0</v>
      </c>
      <c r="FL27" s="97">
        <v>0</v>
      </c>
      <c r="FM27" s="97">
        <v>0</v>
      </c>
      <c r="FN27" s="97">
        <v>0</v>
      </c>
      <c r="FO27" s="97">
        <v>0</v>
      </c>
      <c r="FP27" s="97">
        <v>132475</v>
      </c>
      <c r="FQ27" s="97">
        <v>35961</v>
      </c>
      <c r="FR27" s="97">
        <v>41221</v>
      </c>
      <c r="FS27" s="97">
        <v>185065</v>
      </c>
      <c r="FT27" s="97">
        <v>4850477</v>
      </c>
      <c r="FU27" s="97">
        <v>5245199</v>
      </c>
      <c r="FV27" s="97">
        <v>0</v>
      </c>
      <c r="FW27" s="97">
        <v>0</v>
      </c>
      <c r="FX27" s="97">
        <v>0</v>
      </c>
      <c r="FY27" s="97">
        <v>0</v>
      </c>
      <c r="FZ27" s="97">
        <v>0</v>
      </c>
      <c r="GA27" s="97">
        <v>0</v>
      </c>
      <c r="GB27" s="97">
        <v>0</v>
      </c>
      <c r="GC27" s="97">
        <v>0</v>
      </c>
      <c r="GD27" s="97">
        <v>0</v>
      </c>
      <c r="GE27" s="97">
        <v>0</v>
      </c>
      <c r="GF27" s="97">
        <v>0</v>
      </c>
      <c r="GG27" s="97">
        <v>0</v>
      </c>
      <c r="GH27" s="97">
        <v>114395</v>
      </c>
      <c r="GI27" s="97">
        <v>71276</v>
      </c>
      <c r="GJ27" s="97">
        <v>44235</v>
      </c>
      <c r="GK27" s="97">
        <v>103797</v>
      </c>
      <c r="GL27" s="97">
        <v>0</v>
      </c>
      <c r="GM27" s="97">
        <v>333703</v>
      </c>
      <c r="GN27" s="97">
        <v>613446</v>
      </c>
      <c r="GO27" s="97">
        <v>200598</v>
      </c>
      <c r="GP27" s="97">
        <v>227648</v>
      </c>
      <c r="GQ27" s="97">
        <v>1208596</v>
      </c>
      <c r="GR27" s="97">
        <v>0</v>
      </c>
      <c r="GS27" s="97">
        <v>2250288</v>
      </c>
      <c r="GT27" s="97">
        <v>157123</v>
      </c>
      <c r="GU27" s="97">
        <v>28152</v>
      </c>
      <c r="GV27" s="97">
        <v>16145</v>
      </c>
      <c r="GW27" s="97">
        <v>340610</v>
      </c>
      <c r="GX27" s="97">
        <v>155488</v>
      </c>
      <c r="GY27" s="97">
        <v>697518</v>
      </c>
      <c r="GZ27" s="97">
        <v>739490</v>
      </c>
      <c r="HA27" s="97">
        <v>235091</v>
      </c>
      <c r="HB27" s="97">
        <v>156026</v>
      </c>
      <c r="HC27" s="97">
        <v>422709</v>
      </c>
      <c r="HD27" s="97">
        <v>170430</v>
      </c>
      <c r="HE27" s="97">
        <v>1723746</v>
      </c>
      <c r="HF27" s="97">
        <v>44985</v>
      </c>
      <c r="HG27" s="97">
        <v>11634</v>
      </c>
      <c r="HH27" s="97">
        <v>8661</v>
      </c>
      <c r="HI27" s="97">
        <v>58016</v>
      </c>
      <c r="HJ27" s="97">
        <v>857119</v>
      </c>
      <c r="HK27" s="97">
        <v>980415</v>
      </c>
      <c r="HL27" s="97">
        <v>0</v>
      </c>
      <c r="HM27" s="97">
        <v>0</v>
      </c>
      <c r="HN27" s="97">
        <v>0</v>
      </c>
      <c r="HO27" s="97">
        <v>0</v>
      </c>
      <c r="HP27" s="97">
        <v>0</v>
      </c>
      <c r="HQ27" s="97">
        <v>0</v>
      </c>
      <c r="HR27" s="97">
        <v>100577</v>
      </c>
      <c r="HS27" s="97">
        <v>0</v>
      </c>
      <c r="HT27" s="97">
        <v>0</v>
      </c>
      <c r="HU27" s="97">
        <v>174182</v>
      </c>
      <c r="HV27" s="97">
        <v>1244712</v>
      </c>
      <c r="HW27" s="97">
        <v>1519471</v>
      </c>
      <c r="HX27" s="97">
        <v>0</v>
      </c>
      <c r="HY27" s="97">
        <v>0</v>
      </c>
      <c r="HZ27" s="97">
        <v>0</v>
      </c>
      <c r="IA27" s="97">
        <v>0</v>
      </c>
      <c r="IB27" s="97">
        <v>67046</v>
      </c>
      <c r="IC27" s="97">
        <v>67046</v>
      </c>
      <c r="ID27" s="97">
        <v>0</v>
      </c>
      <c r="IE27" s="97">
        <v>0</v>
      </c>
      <c r="IF27" s="97">
        <v>0</v>
      </c>
      <c r="IG27" s="97">
        <v>0</v>
      </c>
      <c r="IH27" s="97">
        <v>1342580</v>
      </c>
      <c r="II27" s="97">
        <v>1342580</v>
      </c>
      <c r="IJ27" s="97">
        <v>0</v>
      </c>
      <c r="IK27" s="97">
        <v>0</v>
      </c>
      <c r="IL27" s="97">
        <v>0</v>
      </c>
      <c r="IM27" s="97">
        <v>0</v>
      </c>
      <c r="IN27" s="97">
        <v>713908</v>
      </c>
      <c r="IO27" s="97">
        <v>713908</v>
      </c>
      <c r="IP27" s="97">
        <v>0</v>
      </c>
      <c r="IQ27" s="97">
        <v>280</v>
      </c>
      <c r="IR27" s="97">
        <v>640</v>
      </c>
      <c r="IS27" s="97">
        <v>6190</v>
      </c>
      <c r="IT27" s="97">
        <v>429218</v>
      </c>
      <c r="IU27" s="97">
        <v>436328</v>
      </c>
      <c r="IV27" s="97">
        <v>323616</v>
      </c>
      <c r="IW27" s="97">
        <v>12643</v>
      </c>
      <c r="IX27" s="97">
        <v>57897</v>
      </c>
      <c r="IY27" s="97">
        <v>120157</v>
      </c>
      <c r="IZ27" s="97">
        <v>1191999</v>
      </c>
      <c r="JA27" s="97">
        <v>1706312</v>
      </c>
      <c r="JB27" s="97">
        <v>7253910</v>
      </c>
      <c r="JC27" s="97">
        <v>1804214</v>
      </c>
      <c r="JD27" s="97">
        <v>1541312</v>
      </c>
      <c r="JE27" s="97">
        <v>8523852</v>
      </c>
      <c r="JF27" s="97">
        <v>11051515</v>
      </c>
      <c r="JG27" s="97">
        <v>30174803</v>
      </c>
      <c r="JH27" s="97">
        <v>0</v>
      </c>
      <c r="JI27" s="97">
        <v>0</v>
      </c>
      <c r="JJ27" s="97">
        <v>0</v>
      </c>
      <c r="JK27" s="97">
        <v>0</v>
      </c>
      <c r="JL27" s="97">
        <v>0</v>
      </c>
      <c r="JM27" s="97">
        <v>0</v>
      </c>
      <c r="JN27" s="97">
        <v>7253910</v>
      </c>
      <c r="JO27" s="97">
        <v>1804214</v>
      </c>
      <c r="JP27" s="97">
        <v>1541312</v>
      </c>
      <c r="JQ27" s="97">
        <v>8523852</v>
      </c>
      <c r="JR27" s="97">
        <v>11051515</v>
      </c>
      <c r="JS27" s="97">
        <v>30174803</v>
      </c>
      <c r="JU27" s="5">
        <f t="shared" si="78"/>
        <v>6545238</v>
      </c>
      <c r="JV27" s="29">
        <f t="shared" si="79"/>
        <v>0</v>
      </c>
      <c r="JW27" s="5">
        <f t="shared" si="80"/>
        <v>4063999</v>
      </c>
      <c r="JX27" s="29">
        <f t="shared" si="81"/>
        <v>0</v>
      </c>
      <c r="JY27" s="5">
        <f t="shared" si="82"/>
        <v>1683467</v>
      </c>
      <c r="JZ27" s="29">
        <f t="shared" si="83"/>
        <v>0</v>
      </c>
      <c r="KA27" s="5">
        <f t="shared" si="84"/>
        <v>4837156</v>
      </c>
      <c r="KB27" s="29">
        <f t="shared" si="85"/>
        <v>0</v>
      </c>
      <c r="KC27" s="5">
        <f t="shared" si="86"/>
        <v>0</v>
      </c>
      <c r="KD27" s="29">
        <f t="shared" si="87"/>
        <v>0</v>
      </c>
      <c r="KE27" s="5">
        <f t="shared" si="88"/>
        <v>0</v>
      </c>
      <c r="KF27" s="29">
        <f t="shared" si="89"/>
        <v>0</v>
      </c>
      <c r="KG27" s="5">
        <f t="shared" si="90"/>
        <v>7634860</v>
      </c>
      <c r="KH27" s="29">
        <f t="shared" si="91"/>
        <v>0</v>
      </c>
      <c r="KI27" s="5">
        <f t="shared" si="92"/>
        <v>1342580</v>
      </c>
      <c r="KJ27" s="29">
        <f t="shared" si="93"/>
        <v>0</v>
      </c>
      <c r="KK27" s="5">
        <f t="shared" si="94"/>
        <v>1443288</v>
      </c>
      <c r="KL27" s="29">
        <f t="shared" si="95"/>
        <v>0</v>
      </c>
      <c r="KM27" s="5">
        <f t="shared" si="96"/>
        <v>0</v>
      </c>
      <c r="KN27" s="29">
        <f t="shared" si="97"/>
        <v>0</v>
      </c>
      <c r="KO27" s="5">
        <f t="shared" si="98"/>
        <v>516371</v>
      </c>
      <c r="KP27" s="29">
        <f t="shared" si="99"/>
        <v>0</v>
      </c>
      <c r="KQ27" s="5">
        <f t="shared" si="100"/>
        <v>2487510</v>
      </c>
      <c r="KR27" s="29">
        <f t="shared" si="101"/>
        <v>0</v>
      </c>
      <c r="KS27" s="5">
        <f t="shared" si="102"/>
        <v>0</v>
      </c>
      <c r="KT27" s="29">
        <f t="shared" si="103"/>
        <v>0</v>
      </c>
      <c r="KU27" s="5">
        <f t="shared" si="104"/>
        <v>-26500</v>
      </c>
      <c r="KV27" s="29">
        <f t="shared" si="105"/>
        <v>0</v>
      </c>
      <c r="KW27" s="5">
        <f t="shared" si="106"/>
        <v>196174</v>
      </c>
      <c r="KX27" s="29">
        <f t="shared" si="107"/>
        <v>0</v>
      </c>
      <c r="KY27" s="5">
        <f t="shared" si="108"/>
        <v>30724143</v>
      </c>
      <c r="KZ27" s="29">
        <f t="shared" si="109"/>
        <v>0</v>
      </c>
      <c r="LA27" s="5">
        <f t="shared" si="110"/>
        <v>4881199</v>
      </c>
      <c r="LB27" s="29">
        <f t="shared" si="111"/>
        <v>0</v>
      </c>
      <c r="LC27" s="5">
        <f t="shared" si="112"/>
        <v>874665</v>
      </c>
      <c r="LD27" s="29">
        <f t="shared" si="113"/>
        <v>0</v>
      </c>
      <c r="LE27" s="5">
        <f t="shared" si="114"/>
        <v>7402425</v>
      </c>
      <c r="LF27" s="29">
        <f t="shared" si="115"/>
        <v>0</v>
      </c>
      <c r="LG27" s="5">
        <f t="shared" si="116"/>
        <v>0</v>
      </c>
      <c r="LH27" s="29">
        <f t="shared" si="117"/>
        <v>0</v>
      </c>
      <c r="LI27" s="5">
        <f t="shared" si="118"/>
        <v>5245199</v>
      </c>
      <c r="LJ27" s="29">
        <f t="shared" si="119"/>
        <v>0</v>
      </c>
      <c r="LK27" s="5">
        <f t="shared" si="120"/>
        <v>0</v>
      </c>
      <c r="LL27" s="29">
        <f t="shared" si="121"/>
        <v>0</v>
      </c>
      <c r="LM27" s="5">
        <f t="shared" si="122"/>
        <v>0</v>
      </c>
      <c r="LN27" s="29">
        <f t="shared" si="123"/>
        <v>0</v>
      </c>
      <c r="LO27" s="5">
        <f t="shared" si="124"/>
        <v>333703</v>
      </c>
      <c r="LP27" s="29">
        <f t="shared" si="125"/>
        <v>0</v>
      </c>
      <c r="LQ27" s="5">
        <f t="shared" si="126"/>
        <v>2250288</v>
      </c>
      <c r="LR27" s="29">
        <f t="shared" si="127"/>
        <v>0</v>
      </c>
      <c r="LS27" s="5">
        <f t="shared" si="128"/>
        <v>697518</v>
      </c>
      <c r="LT27" s="29">
        <f t="shared" si="129"/>
        <v>0</v>
      </c>
      <c r="LU27" s="5">
        <f t="shared" si="130"/>
        <v>1723746</v>
      </c>
      <c r="LV27" s="29">
        <f t="shared" si="131"/>
        <v>0</v>
      </c>
      <c r="LW27" s="5">
        <f t="shared" si="132"/>
        <v>980415</v>
      </c>
      <c r="LX27" s="29">
        <f t="shared" si="133"/>
        <v>0</v>
      </c>
      <c r="LY27" s="5">
        <f t="shared" si="134"/>
        <v>0</v>
      </c>
      <c r="LZ27" s="29">
        <f t="shared" si="135"/>
        <v>0</v>
      </c>
      <c r="MA27" s="5">
        <f t="shared" si="136"/>
        <v>1519471</v>
      </c>
      <c r="MB27" s="29">
        <f t="shared" si="137"/>
        <v>0</v>
      </c>
      <c r="MC27" s="5">
        <f t="shared" si="138"/>
        <v>67046</v>
      </c>
      <c r="MD27" s="29">
        <f t="shared" si="139"/>
        <v>0</v>
      </c>
      <c r="ME27" s="5">
        <f t="shared" si="140"/>
        <v>1342580</v>
      </c>
      <c r="MF27" s="29">
        <f t="shared" si="141"/>
        <v>0</v>
      </c>
      <c r="MG27" s="5">
        <f t="shared" si="142"/>
        <v>713908</v>
      </c>
      <c r="MH27" s="29">
        <f t="shared" si="143"/>
        <v>0</v>
      </c>
      <c r="MI27" s="5">
        <f t="shared" si="144"/>
        <v>436328</v>
      </c>
      <c r="MJ27" s="29">
        <f t="shared" si="145"/>
        <v>0</v>
      </c>
      <c r="MK27" s="5">
        <f t="shared" si="146"/>
        <v>1706312</v>
      </c>
      <c r="ML27" s="29">
        <f t="shared" si="147"/>
        <v>0</v>
      </c>
      <c r="MM27" s="5">
        <f t="shared" si="148"/>
        <v>30174803</v>
      </c>
      <c r="MN27" s="29">
        <f t="shared" si="149"/>
        <v>0</v>
      </c>
      <c r="MO27" s="5">
        <f t="shared" si="150"/>
        <v>0</v>
      </c>
      <c r="MP27" s="29">
        <f t="shared" si="151"/>
        <v>0</v>
      </c>
      <c r="MQ27" s="5">
        <f t="shared" si="152"/>
        <v>30174803</v>
      </c>
      <c r="MR27" s="29">
        <f t="shared" si="153"/>
        <v>0</v>
      </c>
      <c r="MT27" s="5">
        <f t="shared" si="76"/>
        <v>0</v>
      </c>
      <c r="MV27" s="4">
        <f t="shared" si="77"/>
        <v>0</v>
      </c>
    </row>
    <row r="28" spans="1:360" x14ac:dyDescent="0.15">
      <c r="A28" s="155" t="s">
        <v>309</v>
      </c>
      <c r="B28" s="25" t="s">
        <v>463</v>
      </c>
      <c r="C28" s="48">
        <v>139959</v>
      </c>
      <c r="D28" s="48">
        <v>2012</v>
      </c>
      <c r="E28" s="49">
        <v>1</v>
      </c>
      <c r="F28" s="49">
        <v>5</v>
      </c>
      <c r="G28" s="50">
        <v>11192</v>
      </c>
      <c r="H28" s="50">
        <v>15181</v>
      </c>
      <c r="I28" s="51">
        <v>1197134379</v>
      </c>
      <c r="J28" s="51"/>
      <c r="K28" s="51">
        <v>7853957</v>
      </c>
      <c r="L28" s="51"/>
      <c r="M28" s="51">
        <v>22464896</v>
      </c>
      <c r="N28" s="51"/>
      <c r="O28" s="51">
        <v>118096570</v>
      </c>
      <c r="P28" s="51"/>
      <c r="Q28" s="51">
        <v>279892332</v>
      </c>
      <c r="R28" s="51"/>
      <c r="S28" s="51">
        <v>1054702390</v>
      </c>
      <c r="T28" s="51"/>
      <c r="U28" s="51">
        <v>19292</v>
      </c>
      <c r="V28" s="51"/>
      <c r="W28" s="51">
        <v>37122</v>
      </c>
      <c r="X28" s="51"/>
      <c r="Y28" s="51">
        <v>20820</v>
      </c>
      <c r="Z28" s="51"/>
      <c r="AA28" s="51">
        <v>39030</v>
      </c>
      <c r="AB28" s="51"/>
      <c r="AC28" s="74">
        <v>9</v>
      </c>
      <c r="AD28" s="74">
        <v>12</v>
      </c>
      <c r="AE28" s="74">
        <v>0</v>
      </c>
      <c r="AF28" s="29">
        <v>4399837</v>
      </c>
      <c r="AG28" s="29">
        <v>4988935</v>
      </c>
      <c r="AH28" s="29">
        <v>1084188</v>
      </c>
      <c r="AI28" s="29">
        <v>524889</v>
      </c>
      <c r="AJ28" s="29">
        <v>1006289.33</v>
      </c>
      <c r="AK28" s="73">
        <v>6</v>
      </c>
      <c r="AL28" s="29">
        <v>862533.71</v>
      </c>
      <c r="AM28" s="73">
        <v>7</v>
      </c>
      <c r="AN28" s="29">
        <v>282722</v>
      </c>
      <c r="AO28" s="73">
        <v>9</v>
      </c>
      <c r="AP28" s="29">
        <v>254449.8</v>
      </c>
      <c r="AQ28" s="73">
        <v>10</v>
      </c>
      <c r="AR28" s="29">
        <v>233317.05</v>
      </c>
      <c r="AS28" s="73">
        <v>21</v>
      </c>
      <c r="AT28" s="29">
        <v>188448.38</v>
      </c>
      <c r="AU28" s="73">
        <v>26</v>
      </c>
      <c r="AV28" s="29">
        <v>86217.8</v>
      </c>
      <c r="AW28" s="73">
        <v>20</v>
      </c>
      <c r="AX28" s="29">
        <v>68974.240000000005</v>
      </c>
      <c r="AY28" s="73">
        <v>25</v>
      </c>
      <c r="AZ28" s="97">
        <v>20574131</v>
      </c>
      <c r="BA28" s="97">
        <v>884251</v>
      </c>
      <c r="BB28" s="97">
        <v>124038</v>
      </c>
      <c r="BC28" s="97">
        <v>489072</v>
      </c>
      <c r="BD28" s="97">
        <v>727410</v>
      </c>
      <c r="BE28" s="97">
        <v>22798902</v>
      </c>
      <c r="BF28" s="97">
        <v>154468</v>
      </c>
      <c r="BG28" s="97">
        <v>154468</v>
      </c>
      <c r="BH28" s="97">
        <v>154468</v>
      </c>
      <c r="BI28" s="97">
        <v>2780408</v>
      </c>
      <c r="BJ28" s="97">
        <v>0</v>
      </c>
      <c r="BK28" s="97">
        <v>3243812</v>
      </c>
      <c r="BL28" s="97">
        <v>0</v>
      </c>
      <c r="BM28" s="97">
        <v>0</v>
      </c>
      <c r="BN28" s="97">
        <v>0</v>
      </c>
      <c r="BO28" s="97">
        <v>0</v>
      </c>
      <c r="BP28" s="97">
        <v>0</v>
      </c>
      <c r="BQ28" s="97">
        <v>0</v>
      </c>
      <c r="BR28" s="97">
        <v>26944091</v>
      </c>
      <c r="BS28" s="97">
        <v>721265</v>
      </c>
      <c r="BT28" s="97">
        <v>26386</v>
      </c>
      <c r="BU28" s="97">
        <v>111102</v>
      </c>
      <c r="BV28" s="97">
        <v>38145</v>
      </c>
      <c r="BW28" s="97">
        <v>27840989</v>
      </c>
      <c r="BX28" s="97">
        <v>0</v>
      </c>
      <c r="BY28" s="97">
        <v>0</v>
      </c>
      <c r="BZ28" s="97">
        <v>0</v>
      </c>
      <c r="CA28" s="97">
        <v>0</v>
      </c>
      <c r="CB28" s="97">
        <v>0</v>
      </c>
      <c r="CC28" s="97">
        <v>0</v>
      </c>
      <c r="CD28" s="97">
        <v>0</v>
      </c>
      <c r="CE28" s="97">
        <v>0</v>
      </c>
      <c r="CF28" s="97">
        <v>0</v>
      </c>
      <c r="CG28" s="97">
        <v>0</v>
      </c>
      <c r="CH28" s="97">
        <v>0</v>
      </c>
      <c r="CI28" s="97">
        <v>0</v>
      </c>
      <c r="CJ28" s="97">
        <v>0</v>
      </c>
      <c r="CK28" s="97">
        <v>0</v>
      </c>
      <c r="CL28" s="97">
        <v>0</v>
      </c>
      <c r="CM28" s="97">
        <v>0</v>
      </c>
      <c r="CN28" s="97">
        <v>0</v>
      </c>
      <c r="CO28" s="97">
        <v>0</v>
      </c>
      <c r="CP28" s="97">
        <v>0</v>
      </c>
      <c r="CQ28" s="97">
        <v>0</v>
      </c>
      <c r="CR28" s="97">
        <v>0</v>
      </c>
      <c r="CS28" s="97">
        <v>0</v>
      </c>
      <c r="CT28" s="97">
        <v>0</v>
      </c>
      <c r="CU28" s="97">
        <v>0</v>
      </c>
      <c r="CV28" s="97">
        <v>14670491</v>
      </c>
      <c r="CW28" s="97">
        <v>5116919</v>
      </c>
      <c r="CX28" s="97">
        <v>36646</v>
      </c>
      <c r="CY28" s="97">
        <v>1318388</v>
      </c>
      <c r="CZ28" s="97">
        <v>0</v>
      </c>
      <c r="DA28" s="97">
        <v>21142444</v>
      </c>
      <c r="DB28" s="97">
        <v>5635500</v>
      </c>
      <c r="DC28" s="97">
        <v>663000</v>
      </c>
      <c r="DD28" s="97">
        <v>17448</v>
      </c>
      <c r="DE28" s="97">
        <v>314052</v>
      </c>
      <c r="DF28" s="97">
        <v>0</v>
      </c>
      <c r="DG28" s="97">
        <v>6630000</v>
      </c>
      <c r="DH28" s="97">
        <v>1070448</v>
      </c>
      <c r="DI28" s="97">
        <v>142726</v>
      </c>
      <c r="DJ28" s="97">
        <v>42818</v>
      </c>
      <c r="DK28" s="97">
        <v>171272</v>
      </c>
      <c r="DL28" s="97">
        <v>0</v>
      </c>
      <c r="DM28" s="97">
        <v>1427264</v>
      </c>
      <c r="DN28" s="97">
        <v>5936932</v>
      </c>
      <c r="DO28" s="97">
        <v>791591</v>
      </c>
      <c r="DP28" s="97">
        <v>395795</v>
      </c>
      <c r="DQ28" s="97">
        <v>791590</v>
      </c>
      <c r="DR28" s="97">
        <v>0</v>
      </c>
      <c r="DS28" s="97">
        <v>7915908</v>
      </c>
      <c r="DT28" s="97">
        <v>3357</v>
      </c>
      <c r="DU28" s="97">
        <v>1719</v>
      </c>
      <c r="DV28" s="97">
        <v>0</v>
      </c>
      <c r="DW28" s="97">
        <v>12452</v>
      </c>
      <c r="DX28" s="97">
        <v>71179</v>
      </c>
      <c r="DY28" s="97">
        <v>88707</v>
      </c>
      <c r="DZ28" s="97">
        <v>0</v>
      </c>
      <c r="EA28" s="97">
        <v>0</v>
      </c>
      <c r="EB28" s="97">
        <v>0</v>
      </c>
      <c r="EC28" s="97">
        <v>0</v>
      </c>
      <c r="ED28" s="97">
        <v>44196</v>
      </c>
      <c r="EE28" s="97">
        <v>44196</v>
      </c>
      <c r="EF28" s="97">
        <v>0</v>
      </c>
      <c r="EG28" s="97">
        <v>150</v>
      </c>
      <c r="EH28" s="97">
        <v>50</v>
      </c>
      <c r="EI28" s="97">
        <v>7922</v>
      </c>
      <c r="EJ28" s="97">
        <v>530269</v>
      </c>
      <c r="EK28" s="97">
        <v>538391</v>
      </c>
      <c r="EL28" s="97">
        <v>74989418</v>
      </c>
      <c r="EM28" s="97">
        <v>8476089</v>
      </c>
      <c r="EN28" s="97">
        <v>797649</v>
      </c>
      <c r="EO28" s="112">
        <v>5996258</v>
      </c>
      <c r="EP28" s="97">
        <v>1411199</v>
      </c>
      <c r="EQ28" s="97">
        <v>91670613</v>
      </c>
      <c r="ER28" s="97">
        <v>2368706</v>
      </c>
      <c r="ES28" s="97">
        <v>412471</v>
      </c>
      <c r="ET28" s="97">
        <v>441913</v>
      </c>
      <c r="EU28" s="97">
        <v>6165682</v>
      </c>
      <c r="EV28" s="97">
        <v>0</v>
      </c>
      <c r="EW28" s="97">
        <v>9388772</v>
      </c>
      <c r="EX28" s="97">
        <v>1433333</v>
      </c>
      <c r="EY28" s="97">
        <v>583000</v>
      </c>
      <c r="EZ28" s="97">
        <v>62000</v>
      </c>
      <c r="FA28" s="97">
        <v>95412</v>
      </c>
      <c r="FB28" s="97">
        <v>0</v>
      </c>
      <c r="FC28" s="97">
        <v>2173745</v>
      </c>
      <c r="FD28" s="97">
        <v>6482049</v>
      </c>
      <c r="FE28" s="97">
        <v>2363544</v>
      </c>
      <c r="FF28" s="97">
        <v>1199713</v>
      </c>
      <c r="FG28" s="97">
        <v>5160942</v>
      </c>
      <c r="FH28" s="97">
        <v>0</v>
      </c>
      <c r="FI28" s="97">
        <v>15206248</v>
      </c>
      <c r="FJ28" s="97">
        <v>0</v>
      </c>
      <c r="FK28" s="97">
        <v>0</v>
      </c>
      <c r="FL28" s="97">
        <v>0</v>
      </c>
      <c r="FM28" s="97">
        <v>0</v>
      </c>
      <c r="FN28" s="97">
        <v>0</v>
      </c>
      <c r="FO28" s="97">
        <v>0</v>
      </c>
      <c r="FP28" s="97">
        <v>2241003</v>
      </c>
      <c r="FQ28" s="97">
        <v>442566</v>
      </c>
      <c r="FR28" s="97">
        <v>380809</v>
      </c>
      <c r="FS28" s="97">
        <v>2127886</v>
      </c>
      <c r="FT28" s="97">
        <v>8918808</v>
      </c>
      <c r="FU28" s="97">
        <v>14111072</v>
      </c>
      <c r="FV28" s="97">
        <v>0</v>
      </c>
      <c r="FW28" s="97">
        <v>0</v>
      </c>
      <c r="FX28" s="97">
        <v>0</v>
      </c>
      <c r="FY28" s="97">
        <v>0</v>
      </c>
      <c r="FZ28" s="97">
        <v>0</v>
      </c>
      <c r="GA28" s="97">
        <v>0</v>
      </c>
      <c r="GB28" s="97">
        <v>0</v>
      </c>
      <c r="GC28" s="97">
        <v>0</v>
      </c>
      <c r="GD28" s="97">
        <v>0</v>
      </c>
      <c r="GE28" s="97">
        <v>464378</v>
      </c>
      <c r="GF28" s="97">
        <v>0</v>
      </c>
      <c r="GG28" s="97">
        <v>464378</v>
      </c>
      <c r="GH28" s="97">
        <v>634686</v>
      </c>
      <c r="GI28" s="97">
        <v>256148</v>
      </c>
      <c r="GJ28" s="97">
        <v>147858</v>
      </c>
      <c r="GK28" s="97">
        <v>570385</v>
      </c>
      <c r="GL28" s="97">
        <v>0</v>
      </c>
      <c r="GM28" s="97">
        <v>1609077</v>
      </c>
      <c r="GN28" s="97">
        <v>1706650</v>
      </c>
      <c r="GO28" s="97">
        <v>443586</v>
      </c>
      <c r="GP28" s="97">
        <v>365874</v>
      </c>
      <c r="GQ28" s="97">
        <v>1399733</v>
      </c>
      <c r="GR28" s="97">
        <v>0</v>
      </c>
      <c r="GS28" s="97">
        <v>3915843</v>
      </c>
      <c r="GT28" s="97">
        <v>531039</v>
      </c>
      <c r="GU28" s="97">
        <v>45639</v>
      </c>
      <c r="GV28" s="97">
        <v>31171</v>
      </c>
      <c r="GW28" s="97">
        <v>652190</v>
      </c>
      <c r="GX28" s="97">
        <v>0</v>
      </c>
      <c r="GY28" s="97">
        <v>1260039</v>
      </c>
      <c r="GZ28" s="97">
        <v>3755292</v>
      </c>
      <c r="HA28" s="97">
        <v>359273</v>
      </c>
      <c r="HB28" s="97">
        <v>254525</v>
      </c>
      <c r="HC28" s="97">
        <v>831812</v>
      </c>
      <c r="HD28" s="97">
        <v>3257903</v>
      </c>
      <c r="HE28" s="97">
        <v>8458805</v>
      </c>
      <c r="HF28" s="97">
        <v>0</v>
      </c>
      <c r="HG28" s="97">
        <v>0</v>
      </c>
      <c r="HH28" s="97">
        <v>0</v>
      </c>
      <c r="HI28" s="97">
        <v>0</v>
      </c>
      <c r="HJ28" s="97">
        <v>1589726</v>
      </c>
      <c r="HK28" s="97">
        <v>1589726</v>
      </c>
      <c r="HL28" s="97">
        <v>0</v>
      </c>
      <c r="HM28" s="97">
        <v>0</v>
      </c>
      <c r="HN28" s="97">
        <v>0</v>
      </c>
      <c r="HO28" s="97">
        <v>0</v>
      </c>
      <c r="HP28" s="97">
        <v>0</v>
      </c>
      <c r="HQ28" s="97">
        <v>0</v>
      </c>
      <c r="HR28" s="97">
        <v>3023636</v>
      </c>
      <c r="HS28" s="97">
        <v>606169</v>
      </c>
      <c r="HT28" s="97">
        <v>601958</v>
      </c>
      <c r="HU28" s="97">
        <v>2344278</v>
      </c>
      <c r="HV28" s="97">
        <v>16158541</v>
      </c>
      <c r="HW28" s="97">
        <v>22734582</v>
      </c>
      <c r="HX28" s="97">
        <v>0</v>
      </c>
      <c r="HY28" s="97">
        <v>0</v>
      </c>
      <c r="HZ28" s="97">
        <v>0</v>
      </c>
      <c r="IA28" s="97">
        <v>0</v>
      </c>
      <c r="IB28" s="97">
        <v>758130</v>
      </c>
      <c r="IC28" s="97">
        <v>758130</v>
      </c>
      <c r="ID28" s="97">
        <v>0</v>
      </c>
      <c r="IE28" s="97">
        <v>0</v>
      </c>
      <c r="IF28" s="97">
        <v>0</v>
      </c>
      <c r="IG28" s="97">
        <v>0</v>
      </c>
      <c r="IH28" s="97">
        <v>0</v>
      </c>
      <c r="II28" s="97">
        <v>0</v>
      </c>
      <c r="IJ28" s="97">
        <v>0</v>
      </c>
      <c r="IK28" s="97">
        <v>0</v>
      </c>
      <c r="IL28" s="97">
        <v>0</v>
      </c>
      <c r="IM28" s="97">
        <v>0</v>
      </c>
      <c r="IN28" s="97">
        <v>1896939</v>
      </c>
      <c r="IO28" s="97">
        <v>1896939</v>
      </c>
      <c r="IP28" s="97">
        <v>0</v>
      </c>
      <c r="IQ28" s="97">
        <v>0</v>
      </c>
      <c r="IR28" s="97">
        <v>0</v>
      </c>
      <c r="IS28" s="97">
        <v>18462</v>
      </c>
      <c r="IT28" s="97">
        <v>93653</v>
      </c>
      <c r="IU28" s="97">
        <v>112115</v>
      </c>
      <c r="IV28" s="97">
        <v>533746</v>
      </c>
      <c r="IW28" s="97">
        <v>87051</v>
      </c>
      <c r="IX28" s="97">
        <v>21834</v>
      </c>
      <c r="IY28" s="97">
        <v>409483</v>
      </c>
      <c r="IZ28" s="97">
        <v>4191976</v>
      </c>
      <c r="JA28" s="97">
        <v>5244090</v>
      </c>
      <c r="JB28" s="97">
        <v>22710140</v>
      </c>
      <c r="JC28" s="97">
        <v>5599447</v>
      </c>
      <c r="JD28" s="97">
        <v>3507655</v>
      </c>
      <c r="JE28" s="97">
        <v>20240643</v>
      </c>
      <c r="JF28" s="97">
        <v>36865676</v>
      </c>
      <c r="JG28" s="97">
        <v>88923561</v>
      </c>
      <c r="JH28" s="97">
        <v>0</v>
      </c>
      <c r="JI28" s="97">
        <v>0</v>
      </c>
      <c r="JJ28" s="97">
        <v>0</v>
      </c>
      <c r="JK28" s="97">
        <v>0</v>
      </c>
      <c r="JL28" s="97">
        <v>2000000</v>
      </c>
      <c r="JM28" s="97">
        <v>2000000</v>
      </c>
      <c r="JN28" s="97">
        <v>22710140</v>
      </c>
      <c r="JO28" s="97">
        <v>5599447</v>
      </c>
      <c r="JP28" s="97">
        <v>3507655</v>
      </c>
      <c r="JQ28" s="97">
        <v>20240643</v>
      </c>
      <c r="JR28" s="97">
        <v>38865676</v>
      </c>
      <c r="JS28" s="97">
        <v>90923561</v>
      </c>
      <c r="JU28" s="5">
        <f t="shared" si="78"/>
        <v>22798902</v>
      </c>
      <c r="JV28" s="29">
        <f t="shared" si="79"/>
        <v>0</v>
      </c>
      <c r="JW28" s="5">
        <f t="shared" si="80"/>
        <v>3243812</v>
      </c>
      <c r="JX28" s="29">
        <f t="shared" si="81"/>
        <v>0</v>
      </c>
      <c r="JY28" s="5">
        <f t="shared" si="82"/>
        <v>0</v>
      </c>
      <c r="JZ28" s="29">
        <f t="shared" si="83"/>
        <v>0</v>
      </c>
      <c r="KA28" s="5">
        <f t="shared" si="84"/>
        <v>27840989</v>
      </c>
      <c r="KB28" s="29">
        <f t="shared" si="85"/>
        <v>0</v>
      </c>
      <c r="KC28" s="5">
        <f t="shared" si="86"/>
        <v>0</v>
      </c>
      <c r="KD28" s="29">
        <f t="shared" si="87"/>
        <v>0</v>
      </c>
      <c r="KE28" s="5">
        <f t="shared" si="88"/>
        <v>0</v>
      </c>
      <c r="KF28" s="29">
        <f t="shared" si="89"/>
        <v>0</v>
      </c>
      <c r="KG28" s="5">
        <f t="shared" si="90"/>
        <v>0</v>
      </c>
      <c r="KH28" s="29">
        <f t="shared" si="91"/>
        <v>0</v>
      </c>
      <c r="KI28" s="5">
        <f t="shared" si="92"/>
        <v>0</v>
      </c>
      <c r="KJ28" s="29">
        <f t="shared" si="93"/>
        <v>0</v>
      </c>
      <c r="KK28" s="5">
        <f t="shared" si="94"/>
        <v>21142444</v>
      </c>
      <c r="KL28" s="29">
        <f t="shared" si="95"/>
        <v>0</v>
      </c>
      <c r="KM28" s="5">
        <f t="shared" si="96"/>
        <v>6630000</v>
      </c>
      <c r="KN28" s="29">
        <f t="shared" si="97"/>
        <v>0</v>
      </c>
      <c r="KO28" s="5">
        <f t="shared" si="98"/>
        <v>1427264</v>
      </c>
      <c r="KP28" s="29">
        <f t="shared" si="99"/>
        <v>0</v>
      </c>
      <c r="KQ28" s="5">
        <f t="shared" si="100"/>
        <v>7915908</v>
      </c>
      <c r="KR28" s="29">
        <f t="shared" si="101"/>
        <v>0</v>
      </c>
      <c r="KS28" s="5">
        <f t="shared" si="102"/>
        <v>88707</v>
      </c>
      <c r="KT28" s="29">
        <f t="shared" si="103"/>
        <v>0</v>
      </c>
      <c r="KU28" s="5">
        <f t="shared" si="104"/>
        <v>44196</v>
      </c>
      <c r="KV28" s="29">
        <f t="shared" si="105"/>
        <v>0</v>
      </c>
      <c r="KW28" s="5">
        <f t="shared" si="106"/>
        <v>538391</v>
      </c>
      <c r="KX28" s="29">
        <f t="shared" si="107"/>
        <v>0</v>
      </c>
      <c r="KY28" s="5">
        <f t="shared" si="108"/>
        <v>91670613</v>
      </c>
      <c r="KZ28" s="29">
        <f t="shared" si="109"/>
        <v>0</v>
      </c>
      <c r="LA28" s="5">
        <f t="shared" si="110"/>
        <v>9388772</v>
      </c>
      <c r="LB28" s="29">
        <f t="shared" si="111"/>
        <v>0</v>
      </c>
      <c r="LC28" s="5">
        <f t="shared" si="112"/>
        <v>2173745</v>
      </c>
      <c r="LD28" s="29">
        <f t="shared" si="113"/>
        <v>0</v>
      </c>
      <c r="LE28" s="5">
        <f t="shared" si="114"/>
        <v>15206248</v>
      </c>
      <c r="LF28" s="29">
        <f t="shared" si="115"/>
        <v>0</v>
      </c>
      <c r="LG28" s="5">
        <f t="shared" si="116"/>
        <v>0</v>
      </c>
      <c r="LH28" s="29">
        <f t="shared" si="117"/>
        <v>0</v>
      </c>
      <c r="LI28" s="5">
        <f t="shared" si="118"/>
        <v>14111072</v>
      </c>
      <c r="LJ28" s="29">
        <f t="shared" si="119"/>
        <v>0</v>
      </c>
      <c r="LK28" s="5">
        <f t="shared" si="120"/>
        <v>0</v>
      </c>
      <c r="LL28" s="29">
        <f t="shared" si="121"/>
        <v>0</v>
      </c>
      <c r="LM28" s="5">
        <f t="shared" si="122"/>
        <v>464378</v>
      </c>
      <c r="LN28" s="29">
        <f t="shared" si="123"/>
        <v>0</v>
      </c>
      <c r="LO28" s="5">
        <f t="shared" si="124"/>
        <v>1609077</v>
      </c>
      <c r="LP28" s="29">
        <f t="shared" si="125"/>
        <v>0</v>
      </c>
      <c r="LQ28" s="5">
        <f t="shared" si="126"/>
        <v>3915843</v>
      </c>
      <c r="LR28" s="29">
        <f t="shared" si="127"/>
        <v>0</v>
      </c>
      <c r="LS28" s="5">
        <f t="shared" si="128"/>
        <v>1260039</v>
      </c>
      <c r="LT28" s="29">
        <f t="shared" si="129"/>
        <v>0</v>
      </c>
      <c r="LU28" s="5">
        <f t="shared" si="130"/>
        <v>8458805</v>
      </c>
      <c r="LV28" s="29">
        <f t="shared" si="131"/>
        <v>0</v>
      </c>
      <c r="LW28" s="5">
        <f t="shared" si="132"/>
        <v>1589726</v>
      </c>
      <c r="LX28" s="29">
        <f t="shared" si="133"/>
        <v>0</v>
      </c>
      <c r="LY28" s="5">
        <f t="shared" si="134"/>
        <v>0</v>
      </c>
      <c r="LZ28" s="29">
        <f t="shared" si="135"/>
        <v>0</v>
      </c>
      <c r="MA28" s="5">
        <f t="shared" si="136"/>
        <v>22734582</v>
      </c>
      <c r="MB28" s="29">
        <f t="shared" si="137"/>
        <v>0</v>
      </c>
      <c r="MC28" s="5">
        <f t="shared" si="138"/>
        <v>758130</v>
      </c>
      <c r="MD28" s="29">
        <f t="shared" si="139"/>
        <v>0</v>
      </c>
      <c r="ME28" s="5">
        <f t="shared" si="140"/>
        <v>0</v>
      </c>
      <c r="MF28" s="29">
        <f t="shared" si="141"/>
        <v>0</v>
      </c>
      <c r="MG28" s="5">
        <f t="shared" si="142"/>
        <v>1896939</v>
      </c>
      <c r="MH28" s="29">
        <f t="shared" si="143"/>
        <v>0</v>
      </c>
      <c r="MI28" s="5">
        <f t="shared" si="144"/>
        <v>112115</v>
      </c>
      <c r="MJ28" s="29">
        <f t="shared" si="145"/>
        <v>0</v>
      </c>
      <c r="MK28" s="5">
        <f t="shared" si="146"/>
        <v>5244090</v>
      </c>
      <c r="ML28" s="29">
        <f t="shared" si="147"/>
        <v>0</v>
      </c>
      <c r="MM28" s="5">
        <f t="shared" si="148"/>
        <v>88923561</v>
      </c>
      <c r="MN28" s="29">
        <f t="shared" si="149"/>
        <v>0</v>
      </c>
      <c r="MO28" s="5">
        <f t="shared" si="150"/>
        <v>2000000</v>
      </c>
      <c r="MP28" s="29">
        <f t="shared" si="151"/>
        <v>0</v>
      </c>
      <c r="MQ28" s="5">
        <f t="shared" si="152"/>
        <v>90923561</v>
      </c>
      <c r="MR28" s="29">
        <f t="shared" si="153"/>
        <v>0</v>
      </c>
      <c r="MT28" s="5">
        <f t="shared" si="76"/>
        <v>0</v>
      </c>
      <c r="MV28" s="4">
        <f t="shared" si="77"/>
        <v>0</v>
      </c>
    </row>
    <row r="29" spans="1:360" x14ac:dyDescent="0.15">
      <c r="A29" s="157" t="s">
        <v>310</v>
      </c>
      <c r="B29" s="28" t="s">
        <v>458</v>
      </c>
      <c r="C29" s="48">
        <v>236939</v>
      </c>
      <c r="D29" s="48">
        <v>2012</v>
      </c>
      <c r="E29" s="49">
        <v>1</v>
      </c>
      <c r="F29" s="49">
        <v>1</v>
      </c>
      <c r="G29" s="50">
        <v>9458</v>
      </c>
      <c r="H29" s="50">
        <v>4490</v>
      </c>
      <c r="I29" s="51">
        <v>1248020723</v>
      </c>
      <c r="J29" s="51"/>
      <c r="K29" s="51">
        <v>6483393</v>
      </c>
      <c r="L29" s="51"/>
      <c r="M29" s="51">
        <v>26195244</v>
      </c>
      <c r="N29" s="51"/>
      <c r="O29" s="51">
        <v>224528744</v>
      </c>
      <c r="P29" s="51"/>
      <c r="Q29" s="51">
        <v>494701111</v>
      </c>
      <c r="R29" s="51"/>
      <c r="S29" s="51">
        <v>1178560991</v>
      </c>
      <c r="T29" s="51"/>
      <c r="U29" s="51">
        <v>19478</v>
      </c>
      <c r="V29" s="51"/>
      <c r="W29" s="51">
        <v>37688</v>
      </c>
      <c r="X29" s="51"/>
      <c r="Y29" s="51">
        <v>21098</v>
      </c>
      <c r="Z29" s="51"/>
      <c r="AA29" s="51">
        <v>39308</v>
      </c>
      <c r="AB29" s="51"/>
      <c r="AC29" s="72">
        <v>9</v>
      </c>
      <c r="AD29" s="72">
        <v>8</v>
      </c>
      <c r="AE29" s="72">
        <v>0</v>
      </c>
      <c r="AF29" s="29">
        <v>5447922</v>
      </c>
      <c r="AG29" s="29">
        <v>2837047</v>
      </c>
      <c r="AH29" s="29">
        <v>1108363</v>
      </c>
      <c r="AI29" s="29">
        <v>310644</v>
      </c>
      <c r="AJ29" s="29">
        <v>739492.31</v>
      </c>
      <c r="AK29" s="73">
        <v>6.5</v>
      </c>
      <c r="AL29" s="29">
        <v>686671.43</v>
      </c>
      <c r="AM29" s="73">
        <v>7</v>
      </c>
      <c r="AN29" s="29">
        <v>238542.55</v>
      </c>
      <c r="AO29" s="73">
        <v>5.5</v>
      </c>
      <c r="AP29" s="29">
        <v>218664</v>
      </c>
      <c r="AQ29" s="73">
        <v>6</v>
      </c>
      <c r="AR29" s="29">
        <v>189844.37</v>
      </c>
      <c r="AS29" s="73">
        <v>19</v>
      </c>
      <c r="AT29" s="29">
        <v>171763.95</v>
      </c>
      <c r="AU29" s="73">
        <v>21</v>
      </c>
      <c r="AV29" s="29">
        <v>89364.7</v>
      </c>
      <c r="AW29" s="73">
        <v>10</v>
      </c>
      <c r="AX29" s="29">
        <v>74470.58</v>
      </c>
      <c r="AY29" s="73">
        <v>12</v>
      </c>
      <c r="AZ29" s="112">
        <v>11493232</v>
      </c>
      <c r="BA29" s="112">
        <v>1418789</v>
      </c>
      <c r="BB29" s="112">
        <v>25592</v>
      </c>
      <c r="BC29" s="112">
        <v>177835</v>
      </c>
      <c r="BD29" s="112">
        <v>0</v>
      </c>
      <c r="BE29" s="112">
        <v>13115448</v>
      </c>
      <c r="BF29" s="112">
        <v>0</v>
      </c>
      <c r="BG29" s="112">
        <v>0</v>
      </c>
      <c r="BH29" s="112">
        <v>0</v>
      </c>
      <c r="BI29" s="112">
        <v>0</v>
      </c>
      <c r="BJ29" s="112">
        <v>4937616</v>
      </c>
      <c r="BK29" s="112">
        <v>4937616</v>
      </c>
      <c r="BL29" s="112">
        <v>0</v>
      </c>
      <c r="BM29" s="112">
        <v>0</v>
      </c>
      <c r="BN29" s="112">
        <v>0</v>
      </c>
      <c r="BO29" s="112">
        <v>0</v>
      </c>
      <c r="BP29" s="112">
        <v>4937616</v>
      </c>
      <c r="BQ29" s="112">
        <v>4937616</v>
      </c>
      <c r="BR29" s="112">
        <v>6531354</v>
      </c>
      <c r="BS29" s="112">
        <v>559022</v>
      </c>
      <c r="BT29" s="112">
        <v>0</v>
      </c>
      <c r="BU29" s="112">
        <v>96400</v>
      </c>
      <c r="BV29" s="112">
        <v>4610734</v>
      </c>
      <c r="BW29" s="112">
        <v>11797510</v>
      </c>
      <c r="BX29" s="112">
        <v>0</v>
      </c>
      <c r="BY29" s="112">
        <v>0</v>
      </c>
      <c r="BZ29" s="112">
        <v>0</v>
      </c>
      <c r="CA29" s="112">
        <v>0</v>
      </c>
      <c r="CB29" s="112">
        <v>0</v>
      </c>
      <c r="CC29" s="112">
        <v>0</v>
      </c>
      <c r="CD29" s="112">
        <v>0</v>
      </c>
      <c r="CE29" s="112">
        <v>0</v>
      </c>
      <c r="CF29" s="112">
        <v>0</v>
      </c>
      <c r="CG29" s="112">
        <v>0</v>
      </c>
      <c r="CH29" s="112">
        <v>0</v>
      </c>
      <c r="CI29" s="112">
        <v>0</v>
      </c>
      <c r="CJ29" s="112">
        <v>659016</v>
      </c>
      <c r="CK29" s="112">
        <v>83974</v>
      </c>
      <c r="CL29" s="112">
        <v>217776</v>
      </c>
      <c r="CM29" s="112">
        <v>641360</v>
      </c>
      <c r="CN29" s="112">
        <v>375000</v>
      </c>
      <c r="CO29" s="112">
        <v>1977126</v>
      </c>
      <c r="CP29" s="112">
        <v>0</v>
      </c>
      <c r="CQ29" s="112">
        <v>0</v>
      </c>
      <c r="CR29" s="112">
        <v>0</v>
      </c>
      <c r="CS29" s="112">
        <v>0</v>
      </c>
      <c r="CT29" s="112">
        <v>0</v>
      </c>
      <c r="CU29" s="112">
        <v>0</v>
      </c>
      <c r="CV29" s="112">
        <v>11592516</v>
      </c>
      <c r="CW29" s="112">
        <v>3490799</v>
      </c>
      <c r="CX29" s="112">
        <v>0</v>
      </c>
      <c r="CY29" s="112">
        <v>0</v>
      </c>
      <c r="CZ29" s="112">
        <v>1497678</v>
      </c>
      <c r="DA29" s="112">
        <v>16580993</v>
      </c>
      <c r="DB29" s="112">
        <v>0</v>
      </c>
      <c r="DC29" s="112">
        <v>0</v>
      </c>
      <c r="DD29" s="112">
        <v>0</v>
      </c>
      <c r="DE29" s="112">
        <v>0</v>
      </c>
      <c r="DF29" s="112">
        <v>2318510</v>
      </c>
      <c r="DG29" s="112">
        <v>2318510</v>
      </c>
      <c r="DH29" s="112">
        <v>1237129</v>
      </c>
      <c r="DI29" s="112">
        <v>52365</v>
      </c>
      <c r="DJ29" s="112">
        <v>0</v>
      </c>
      <c r="DK29" s="112">
        <v>31075</v>
      </c>
      <c r="DL29" s="112">
        <v>0</v>
      </c>
      <c r="DM29" s="112">
        <v>1320569</v>
      </c>
      <c r="DN29" s="112">
        <v>261206</v>
      </c>
      <c r="DO29" s="112">
        <v>44440</v>
      </c>
      <c r="DP29" s="112">
        <v>55127</v>
      </c>
      <c r="DQ29" s="112">
        <v>217976</v>
      </c>
      <c r="DR29" s="112">
        <v>3371573</v>
      </c>
      <c r="DS29" s="112">
        <v>3950322</v>
      </c>
      <c r="DT29" s="112">
        <v>0</v>
      </c>
      <c r="DU29" s="112">
        <v>0</v>
      </c>
      <c r="DV29" s="112">
        <v>0</v>
      </c>
      <c r="DW29" s="112">
        <v>0</v>
      </c>
      <c r="DX29" s="112">
        <v>0</v>
      </c>
      <c r="DY29" s="112">
        <v>0</v>
      </c>
      <c r="DZ29" s="112">
        <v>230476</v>
      </c>
      <c r="EA29" s="112">
        <v>105278</v>
      </c>
      <c r="EB29" s="112">
        <v>16134</v>
      </c>
      <c r="EC29" s="112">
        <v>839995</v>
      </c>
      <c r="ED29" s="112">
        <v>5460965</v>
      </c>
      <c r="EE29" s="112">
        <v>6652848</v>
      </c>
      <c r="EF29" s="112">
        <v>0</v>
      </c>
      <c r="EG29" s="112">
        <v>0</v>
      </c>
      <c r="EH29" s="112">
        <v>0</v>
      </c>
      <c r="EI29" s="112">
        <v>0</v>
      </c>
      <c r="EJ29" s="112">
        <v>433221</v>
      </c>
      <c r="EK29" s="112">
        <v>433221</v>
      </c>
      <c r="EL29" s="112">
        <v>32104929</v>
      </c>
      <c r="EM29" s="112">
        <v>5754667</v>
      </c>
      <c r="EN29" s="112">
        <v>314629</v>
      </c>
      <c r="EO29" s="112">
        <v>2004641</v>
      </c>
      <c r="EP29" s="112">
        <v>23005297</v>
      </c>
      <c r="EQ29" s="112">
        <v>63184163</v>
      </c>
      <c r="ER29" s="112">
        <v>3626597</v>
      </c>
      <c r="ES29" s="112">
        <v>469415</v>
      </c>
      <c r="ET29" s="112">
        <v>696681</v>
      </c>
      <c r="EU29" s="112">
        <v>3492276</v>
      </c>
      <c r="EV29" s="112">
        <v>337734</v>
      </c>
      <c r="EW29" s="112">
        <v>8622703</v>
      </c>
      <c r="EX29" s="112">
        <v>700000</v>
      </c>
      <c r="EY29" s="112">
        <v>300500</v>
      </c>
      <c r="EZ29" s="112">
        <v>50899</v>
      </c>
      <c r="FA29" s="112">
        <v>15004</v>
      </c>
      <c r="FB29" s="112">
        <v>0</v>
      </c>
      <c r="FC29" s="112">
        <v>1066403</v>
      </c>
      <c r="FD29" s="112">
        <v>5072142</v>
      </c>
      <c r="FE29" s="112">
        <v>1764581</v>
      </c>
      <c r="FF29" s="112">
        <v>1037790</v>
      </c>
      <c r="FG29" s="112">
        <v>2744861</v>
      </c>
      <c r="FH29" s="112">
        <v>0</v>
      </c>
      <c r="FI29" s="112">
        <v>10619374</v>
      </c>
      <c r="FJ29" s="112">
        <v>0</v>
      </c>
      <c r="FK29" s="112">
        <v>0</v>
      </c>
      <c r="FL29" s="112">
        <v>0</v>
      </c>
      <c r="FM29" s="112">
        <v>0</v>
      </c>
      <c r="FN29" s="112">
        <v>0</v>
      </c>
      <c r="FO29" s="112">
        <v>0</v>
      </c>
      <c r="FP29" s="112">
        <v>409249</v>
      </c>
      <c r="FQ29" s="112">
        <v>257768</v>
      </c>
      <c r="FR29" s="112">
        <v>276034</v>
      </c>
      <c r="FS29" s="112">
        <v>53992</v>
      </c>
      <c r="FT29" s="112">
        <v>8556578</v>
      </c>
      <c r="FU29" s="112">
        <v>9553621</v>
      </c>
      <c r="FV29" s="112">
        <v>0</v>
      </c>
      <c r="FW29" s="112">
        <v>0</v>
      </c>
      <c r="FX29" s="112">
        <v>0</v>
      </c>
      <c r="FY29" s="112">
        <v>0</v>
      </c>
      <c r="FZ29" s="112">
        <v>0</v>
      </c>
      <c r="GA29" s="112">
        <v>0</v>
      </c>
      <c r="GB29" s="112">
        <v>674014</v>
      </c>
      <c r="GC29" s="112">
        <v>906250</v>
      </c>
      <c r="GD29" s="112">
        <v>0</v>
      </c>
      <c r="GE29" s="112">
        <v>0</v>
      </c>
      <c r="GF29" s="112">
        <v>0</v>
      </c>
      <c r="GG29" s="112">
        <v>1580264</v>
      </c>
      <c r="GH29" s="112">
        <v>786454</v>
      </c>
      <c r="GI29" s="112">
        <v>191101</v>
      </c>
      <c r="GJ29" s="112">
        <v>168321</v>
      </c>
      <c r="GK29" s="112">
        <v>273131</v>
      </c>
      <c r="GL29" s="112">
        <v>5041</v>
      </c>
      <c r="GM29" s="112">
        <v>1424048</v>
      </c>
      <c r="GN29" s="112">
        <v>1871100</v>
      </c>
      <c r="GO29" s="112">
        <v>493952</v>
      </c>
      <c r="GP29" s="112">
        <v>466489</v>
      </c>
      <c r="GQ29" s="112">
        <v>1125058</v>
      </c>
      <c r="GR29" s="112">
        <v>0</v>
      </c>
      <c r="GS29" s="112">
        <v>3956599</v>
      </c>
      <c r="GT29" s="112">
        <v>512093</v>
      </c>
      <c r="GU29" s="112">
        <v>59506</v>
      </c>
      <c r="GV29" s="112">
        <v>106796</v>
      </c>
      <c r="GW29" s="112">
        <v>614973</v>
      </c>
      <c r="GX29" s="112">
        <v>147139</v>
      </c>
      <c r="GY29" s="112">
        <v>1440507</v>
      </c>
      <c r="GZ29" s="112">
        <v>2082910</v>
      </c>
      <c r="HA29" s="112">
        <v>832375</v>
      </c>
      <c r="HB29" s="112">
        <v>296700</v>
      </c>
      <c r="HC29" s="112">
        <v>201952</v>
      </c>
      <c r="HD29" s="112">
        <v>266540</v>
      </c>
      <c r="HE29" s="112">
        <v>3680477</v>
      </c>
      <c r="HF29" s="112">
        <v>375469</v>
      </c>
      <c r="HG29" s="112">
        <v>94821</v>
      </c>
      <c r="HH29" s="112">
        <v>26284</v>
      </c>
      <c r="HI29" s="112">
        <v>4078</v>
      </c>
      <c r="HJ29" s="112">
        <v>1178913</v>
      </c>
      <c r="HK29" s="112">
        <v>1679565</v>
      </c>
      <c r="HL29" s="112">
        <v>0</v>
      </c>
      <c r="HM29" s="112">
        <v>0</v>
      </c>
      <c r="HN29" s="112">
        <v>0</v>
      </c>
      <c r="HO29" s="112">
        <v>0</v>
      </c>
      <c r="HP29" s="112">
        <v>0</v>
      </c>
      <c r="HQ29" s="112">
        <v>0</v>
      </c>
      <c r="HR29" s="112">
        <v>849854</v>
      </c>
      <c r="HS29" s="112">
        <v>240885</v>
      </c>
      <c r="HT29" s="112">
        <v>60831</v>
      </c>
      <c r="HU29" s="112">
        <v>604499</v>
      </c>
      <c r="HV29" s="112">
        <v>9762447</v>
      </c>
      <c r="HW29" s="112">
        <v>11518516</v>
      </c>
      <c r="HX29" s="112">
        <v>0</v>
      </c>
      <c r="HY29" s="112">
        <v>0</v>
      </c>
      <c r="HZ29" s="112">
        <v>0</v>
      </c>
      <c r="IA29" s="112">
        <v>0</v>
      </c>
      <c r="IB29" s="112">
        <v>230413</v>
      </c>
      <c r="IC29" s="112">
        <v>230413</v>
      </c>
      <c r="ID29" s="112">
        <v>0</v>
      </c>
      <c r="IE29" s="112">
        <v>0</v>
      </c>
      <c r="IF29" s="112">
        <v>0</v>
      </c>
      <c r="IG29" s="112">
        <v>0</v>
      </c>
      <c r="IH29" s="112">
        <v>0</v>
      </c>
      <c r="II29" s="112">
        <v>0</v>
      </c>
      <c r="IJ29" s="112">
        <v>0</v>
      </c>
      <c r="IK29" s="112">
        <v>0</v>
      </c>
      <c r="IL29" s="112">
        <v>0</v>
      </c>
      <c r="IM29" s="112">
        <v>0</v>
      </c>
      <c r="IN29" s="112">
        <v>652152</v>
      </c>
      <c r="IO29" s="112">
        <v>652152</v>
      </c>
      <c r="IP29" s="112">
        <v>7061</v>
      </c>
      <c r="IQ29" s="112">
        <v>4725</v>
      </c>
      <c r="IR29" s="112">
        <v>170</v>
      </c>
      <c r="IS29" s="112">
        <v>42710</v>
      </c>
      <c r="IT29" s="112">
        <v>0</v>
      </c>
      <c r="IU29" s="112">
        <v>54666</v>
      </c>
      <c r="IV29" s="112">
        <v>154128</v>
      </c>
      <c r="IW29" s="112">
        <v>201176</v>
      </c>
      <c r="IX29" s="112">
        <v>86273</v>
      </c>
      <c r="IY29" s="112">
        <v>116602</v>
      </c>
      <c r="IZ29" s="112">
        <v>4542302</v>
      </c>
      <c r="JA29" s="112">
        <v>5100481</v>
      </c>
      <c r="JB29" s="112">
        <v>17121071</v>
      </c>
      <c r="JC29" s="112">
        <v>5817055</v>
      </c>
      <c r="JD29" s="112">
        <v>3273268</v>
      </c>
      <c r="JE29" s="112">
        <v>9289136</v>
      </c>
      <c r="JF29" s="112">
        <v>25679259</v>
      </c>
      <c r="JG29" s="112">
        <v>61179789</v>
      </c>
      <c r="JH29" s="112">
        <v>0</v>
      </c>
      <c r="JI29" s="112">
        <v>0</v>
      </c>
      <c r="JJ29" s="112">
        <v>0</v>
      </c>
      <c r="JK29" s="112">
        <v>0</v>
      </c>
      <c r="JL29" s="112">
        <v>1871000</v>
      </c>
      <c r="JM29" s="112">
        <v>1871000</v>
      </c>
      <c r="JN29" s="112">
        <v>17121071</v>
      </c>
      <c r="JO29" s="112">
        <v>5817055</v>
      </c>
      <c r="JP29" s="112">
        <v>3273268</v>
      </c>
      <c r="JQ29" s="112">
        <v>9289136</v>
      </c>
      <c r="JR29" s="112">
        <v>27550259</v>
      </c>
      <c r="JS29" s="112">
        <v>63050789</v>
      </c>
      <c r="JU29" s="5">
        <f t="shared" si="78"/>
        <v>13115448</v>
      </c>
      <c r="JV29" s="29">
        <f t="shared" si="79"/>
        <v>0</v>
      </c>
      <c r="JW29" s="5">
        <f t="shared" si="80"/>
        <v>4937616</v>
      </c>
      <c r="JX29" s="29">
        <f t="shared" si="81"/>
        <v>0</v>
      </c>
      <c r="JY29" s="5">
        <f t="shared" si="82"/>
        <v>4937616</v>
      </c>
      <c r="JZ29" s="29">
        <f t="shared" si="83"/>
        <v>0</v>
      </c>
      <c r="KA29" s="5">
        <f t="shared" si="84"/>
        <v>11797510</v>
      </c>
      <c r="KB29" s="29">
        <f t="shared" si="85"/>
        <v>0</v>
      </c>
      <c r="KC29" s="5">
        <f t="shared" si="86"/>
        <v>0</v>
      </c>
      <c r="KD29" s="29">
        <f t="shared" si="87"/>
        <v>0</v>
      </c>
      <c r="KE29" s="5">
        <f t="shared" si="88"/>
        <v>0</v>
      </c>
      <c r="KF29" s="29">
        <f t="shared" si="89"/>
        <v>0</v>
      </c>
      <c r="KG29" s="5">
        <f t="shared" si="90"/>
        <v>1977126</v>
      </c>
      <c r="KH29" s="29">
        <f t="shared" si="91"/>
        <v>0</v>
      </c>
      <c r="KI29" s="5">
        <f t="shared" si="92"/>
        <v>0</v>
      </c>
      <c r="KJ29" s="29">
        <f t="shared" si="93"/>
        <v>0</v>
      </c>
      <c r="KK29" s="5">
        <f t="shared" si="94"/>
        <v>16580993</v>
      </c>
      <c r="KL29" s="29">
        <f t="shared" si="95"/>
        <v>0</v>
      </c>
      <c r="KM29" s="5">
        <f t="shared" si="96"/>
        <v>2318510</v>
      </c>
      <c r="KN29" s="29">
        <f t="shared" si="97"/>
        <v>0</v>
      </c>
      <c r="KO29" s="5">
        <f t="shared" si="98"/>
        <v>1320569</v>
      </c>
      <c r="KP29" s="29">
        <f t="shared" si="99"/>
        <v>0</v>
      </c>
      <c r="KQ29" s="5">
        <f t="shared" si="100"/>
        <v>3950322</v>
      </c>
      <c r="KR29" s="29">
        <f t="shared" si="101"/>
        <v>0</v>
      </c>
      <c r="KS29" s="5">
        <f t="shared" si="102"/>
        <v>0</v>
      </c>
      <c r="KT29" s="29">
        <f t="shared" si="103"/>
        <v>0</v>
      </c>
      <c r="KU29" s="5">
        <f t="shared" si="104"/>
        <v>6652848</v>
      </c>
      <c r="KV29" s="29">
        <f t="shared" si="105"/>
        <v>0</v>
      </c>
      <c r="KW29" s="5">
        <f t="shared" si="106"/>
        <v>433221</v>
      </c>
      <c r="KX29" s="29">
        <f t="shared" si="107"/>
        <v>0</v>
      </c>
      <c r="KY29" s="5">
        <f t="shared" si="108"/>
        <v>63184163</v>
      </c>
      <c r="KZ29" s="29">
        <f t="shared" si="109"/>
        <v>0</v>
      </c>
      <c r="LA29" s="5">
        <f t="shared" si="110"/>
        <v>8622703</v>
      </c>
      <c r="LB29" s="29">
        <f t="shared" si="111"/>
        <v>0</v>
      </c>
      <c r="LC29" s="5">
        <f t="shared" si="112"/>
        <v>1066403</v>
      </c>
      <c r="LD29" s="29">
        <f t="shared" si="113"/>
        <v>0</v>
      </c>
      <c r="LE29" s="5">
        <f t="shared" si="114"/>
        <v>10619374</v>
      </c>
      <c r="LF29" s="29">
        <f t="shared" si="115"/>
        <v>0</v>
      </c>
      <c r="LG29" s="5">
        <f t="shared" si="116"/>
        <v>0</v>
      </c>
      <c r="LH29" s="29">
        <f t="shared" si="117"/>
        <v>0</v>
      </c>
      <c r="LI29" s="5">
        <f t="shared" si="118"/>
        <v>9553621</v>
      </c>
      <c r="LJ29" s="29">
        <f t="shared" si="119"/>
        <v>0</v>
      </c>
      <c r="LK29" s="5">
        <f t="shared" si="120"/>
        <v>0</v>
      </c>
      <c r="LL29" s="29">
        <f t="shared" si="121"/>
        <v>0</v>
      </c>
      <c r="LM29" s="5">
        <f t="shared" si="122"/>
        <v>1580264</v>
      </c>
      <c r="LN29" s="29">
        <f t="shared" si="123"/>
        <v>0</v>
      </c>
      <c r="LO29" s="5">
        <f t="shared" si="124"/>
        <v>1424048</v>
      </c>
      <c r="LP29" s="29">
        <f t="shared" si="125"/>
        <v>0</v>
      </c>
      <c r="LQ29" s="5">
        <f t="shared" si="126"/>
        <v>3956599</v>
      </c>
      <c r="LR29" s="29">
        <f t="shared" si="127"/>
        <v>0</v>
      </c>
      <c r="LS29" s="5">
        <f t="shared" si="128"/>
        <v>1440507</v>
      </c>
      <c r="LT29" s="29">
        <f t="shared" si="129"/>
        <v>0</v>
      </c>
      <c r="LU29" s="5">
        <f t="shared" si="130"/>
        <v>3680477</v>
      </c>
      <c r="LV29" s="29">
        <f t="shared" si="131"/>
        <v>0</v>
      </c>
      <c r="LW29" s="5">
        <f t="shared" si="132"/>
        <v>1679565</v>
      </c>
      <c r="LX29" s="29">
        <f t="shared" si="133"/>
        <v>0</v>
      </c>
      <c r="LY29" s="5">
        <f t="shared" si="134"/>
        <v>0</v>
      </c>
      <c r="LZ29" s="29">
        <f t="shared" si="135"/>
        <v>0</v>
      </c>
      <c r="MA29" s="5">
        <f t="shared" si="136"/>
        <v>11518516</v>
      </c>
      <c r="MB29" s="29">
        <f t="shared" si="137"/>
        <v>0</v>
      </c>
      <c r="MC29" s="5">
        <f t="shared" si="138"/>
        <v>230413</v>
      </c>
      <c r="MD29" s="29">
        <f t="shared" si="139"/>
        <v>0</v>
      </c>
      <c r="ME29" s="5">
        <f t="shared" si="140"/>
        <v>0</v>
      </c>
      <c r="MF29" s="29">
        <f t="shared" si="141"/>
        <v>0</v>
      </c>
      <c r="MG29" s="5">
        <f t="shared" si="142"/>
        <v>652152</v>
      </c>
      <c r="MH29" s="29">
        <f t="shared" si="143"/>
        <v>0</v>
      </c>
      <c r="MI29" s="5">
        <f t="shared" si="144"/>
        <v>54666</v>
      </c>
      <c r="MJ29" s="29">
        <f t="shared" si="145"/>
        <v>0</v>
      </c>
      <c r="MK29" s="5">
        <f t="shared" si="146"/>
        <v>5100481</v>
      </c>
      <c r="ML29" s="29">
        <f t="shared" si="147"/>
        <v>0</v>
      </c>
      <c r="MM29" s="5">
        <f t="shared" si="148"/>
        <v>61179789</v>
      </c>
      <c r="MN29" s="29">
        <f t="shared" si="149"/>
        <v>0</v>
      </c>
      <c r="MO29" s="5">
        <f t="shared" si="150"/>
        <v>1871000</v>
      </c>
      <c r="MP29" s="29">
        <f t="shared" si="151"/>
        <v>0</v>
      </c>
      <c r="MQ29" s="5">
        <f t="shared" si="152"/>
        <v>63050789</v>
      </c>
      <c r="MR29" s="29">
        <f t="shared" si="153"/>
        <v>0</v>
      </c>
      <c r="MT29" s="5">
        <f t="shared" si="76"/>
        <v>0</v>
      </c>
      <c r="MV29" s="4">
        <f t="shared" si="77"/>
        <v>0</v>
      </c>
    </row>
    <row r="30" spans="1:360" x14ac:dyDescent="0.15">
      <c r="A30" s="158" t="s">
        <v>311</v>
      </c>
      <c r="B30" s="28" t="s">
        <v>462</v>
      </c>
      <c r="C30" s="48">
        <v>141574</v>
      </c>
      <c r="D30" s="48">
        <v>2012</v>
      </c>
      <c r="E30" s="49">
        <v>1</v>
      </c>
      <c r="F30" s="49">
        <v>10</v>
      </c>
      <c r="G30" s="50">
        <v>5331</v>
      </c>
      <c r="H30" s="50">
        <v>6104</v>
      </c>
      <c r="I30" s="51">
        <v>1520543000</v>
      </c>
      <c r="J30" s="51"/>
      <c r="K30" s="51">
        <v>0</v>
      </c>
      <c r="L30" s="51"/>
      <c r="M30" s="51">
        <v>0</v>
      </c>
      <c r="N30" s="51"/>
      <c r="O30" s="51">
        <v>0</v>
      </c>
      <c r="P30" s="51"/>
      <c r="Q30" s="51">
        <v>623290000</v>
      </c>
      <c r="R30" s="51"/>
      <c r="S30" s="51">
        <v>1520543000</v>
      </c>
      <c r="T30" s="51"/>
      <c r="U30" s="51">
        <v>19254</v>
      </c>
      <c r="V30" s="51"/>
      <c r="W30" s="51">
        <v>34086</v>
      </c>
      <c r="X30" s="51"/>
      <c r="Y30" s="51">
        <v>24335</v>
      </c>
      <c r="Z30" s="51"/>
      <c r="AA30" s="51">
        <v>39167</v>
      </c>
      <c r="AB30" s="51"/>
      <c r="AC30" s="74">
        <v>7</v>
      </c>
      <c r="AD30" s="74">
        <v>13</v>
      </c>
      <c r="AE30" s="74">
        <v>1</v>
      </c>
      <c r="AF30" s="29">
        <v>3491652</v>
      </c>
      <c r="AG30" s="29">
        <v>2997272</v>
      </c>
      <c r="AH30" s="29">
        <v>403208</v>
      </c>
      <c r="AI30" s="29">
        <v>235833</v>
      </c>
      <c r="AJ30" s="29">
        <v>331989.05547226389</v>
      </c>
      <c r="AK30" s="73">
        <v>6.67</v>
      </c>
      <c r="AL30" s="29">
        <v>276795.875</v>
      </c>
      <c r="AM30" s="73">
        <v>8</v>
      </c>
      <c r="AN30" s="29">
        <v>130622.86324786325</v>
      </c>
      <c r="AO30" s="73">
        <v>9.36</v>
      </c>
      <c r="AP30" s="29">
        <v>111148.18181818182</v>
      </c>
      <c r="AQ30" s="73">
        <v>11</v>
      </c>
      <c r="AR30" s="29">
        <v>124878.74443895205</v>
      </c>
      <c r="AS30" s="73">
        <v>20.23</v>
      </c>
      <c r="AT30" s="29">
        <v>105262.375</v>
      </c>
      <c r="AU30" s="73">
        <v>24</v>
      </c>
      <c r="AV30" s="29">
        <v>64301.849405548215</v>
      </c>
      <c r="AW30" s="73">
        <v>15.14</v>
      </c>
      <c r="AX30" s="29">
        <v>51238.42105263158</v>
      </c>
      <c r="AY30" s="73">
        <v>19</v>
      </c>
      <c r="AZ30" s="97">
        <v>4096702</v>
      </c>
      <c r="BA30" s="97">
        <v>918249</v>
      </c>
      <c r="BB30" s="97">
        <v>43234</v>
      </c>
      <c r="BC30" s="97">
        <v>1651476</v>
      </c>
      <c r="BD30" s="97">
        <v>0</v>
      </c>
      <c r="BE30" s="97">
        <v>6709661</v>
      </c>
      <c r="BF30" s="97">
        <v>0</v>
      </c>
      <c r="BG30" s="97">
        <v>0</v>
      </c>
      <c r="BH30" s="97">
        <v>0</v>
      </c>
      <c r="BI30" s="97">
        <v>0</v>
      </c>
      <c r="BJ30" s="97">
        <v>1697779</v>
      </c>
      <c r="BK30" s="97">
        <v>1697779</v>
      </c>
      <c r="BL30" s="97">
        <v>550000</v>
      </c>
      <c r="BM30" s="97">
        <v>50984</v>
      </c>
      <c r="BN30" s="97">
        <v>0</v>
      </c>
      <c r="BO30" s="97">
        <v>5000</v>
      </c>
      <c r="BP30" s="97">
        <v>0</v>
      </c>
      <c r="BQ30" s="97">
        <v>605984</v>
      </c>
      <c r="BR30" s="97">
        <v>752053</v>
      </c>
      <c r="BS30" s="97">
        <v>273300</v>
      </c>
      <c r="BT30" s="97">
        <v>44126</v>
      </c>
      <c r="BU30" s="97">
        <v>797115</v>
      </c>
      <c r="BV30" s="97">
        <v>3499367</v>
      </c>
      <c r="BW30" s="97">
        <v>5365961</v>
      </c>
      <c r="BX30" s="97">
        <v>0</v>
      </c>
      <c r="BY30" s="97">
        <v>0</v>
      </c>
      <c r="BZ30" s="97">
        <v>0</v>
      </c>
      <c r="CA30" s="97">
        <v>0</v>
      </c>
      <c r="CB30" s="97">
        <v>0</v>
      </c>
      <c r="CC30" s="97">
        <v>0</v>
      </c>
      <c r="CD30" s="97">
        <v>0</v>
      </c>
      <c r="CE30" s="97">
        <v>0</v>
      </c>
      <c r="CF30" s="97">
        <v>0</v>
      </c>
      <c r="CG30" s="97">
        <v>0</v>
      </c>
      <c r="CH30" s="97">
        <v>0</v>
      </c>
      <c r="CI30" s="97">
        <v>0</v>
      </c>
      <c r="CJ30" s="97">
        <v>977412</v>
      </c>
      <c r="CK30" s="97">
        <v>229758</v>
      </c>
      <c r="CL30" s="97">
        <v>187888</v>
      </c>
      <c r="CM30" s="97">
        <v>2470367</v>
      </c>
      <c r="CN30" s="97">
        <v>2576047</v>
      </c>
      <c r="CO30" s="97">
        <v>6441472</v>
      </c>
      <c r="CP30" s="97">
        <v>0</v>
      </c>
      <c r="CQ30" s="97">
        <v>0</v>
      </c>
      <c r="CR30" s="97">
        <v>0</v>
      </c>
      <c r="CS30" s="97">
        <v>0</v>
      </c>
      <c r="CT30" s="97">
        <v>5508130</v>
      </c>
      <c r="CU30" s="97">
        <v>5508130</v>
      </c>
      <c r="CV30" s="97">
        <v>0</v>
      </c>
      <c r="CW30" s="97">
        <v>0</v>
      </c>
      <c r="CX30" s="97">
        <v>0</v>
      </c>
      <c r="CY30" s="97">
        <v>26676</v>
      </c>
      <c r="CZ30" s="97">
        <v>1466523</v>
      </c>
      <c r="DA30" s="97">
        <v>1493199</v>
      </c>
      <c r="DB30" s="97">
        <v>0</v>
      </c>
      <c r="DC30" s="97">
        <v>0</v>
      </c>
      <c r="DD30" s="97">
        <v>0</v>
      </c>
      <c r="DE30" s="97">
        <v>0</v>
      </c>
      <c r="DF30" s="97">
        <v>2621325</v>
      </c>
      <c r="DG30" s="97">
        <v>2621325</v>
      </c>
      <c r="DH30" s="97">
        <v>0</v>
      </c>
      <c r="DI30" s="97">
        <v>0</v>
      </c>
      <c r="DJ30" s="97">
        <v>0</v>
      </c>
      <c r="DK30" s="97">
        <v>0</v>
      </c>
      <c r="DL30" s="97">
        <v>787772</v>
      </c>
      <c r="DM30" s="97">
        <v>787772</v>
      </c>
      <c r="DN30" s="97">
        <v>191711</v>
      </c>
      <c r="DO30" s="97">
        <v>20479</v>
      </c>
      <c r="DP30" s="97">
        <v>6748</v>
      </c>
      <c r="DQ30" s="97">
        <v>192882</v>
      </c>
      <c r="DR30" s="97">
        <v>4070613</v>
      </c>
      <c r="DS30" s="97">
        <v>4482433</v>
      </c>
      <c r="DT30" s="97">
        <v>11320</v>
      </c>
      <c r="DU30" s="97">
        <v>40109</v>
      </c>
      <c r="DV30" s="97">
        <v>1550</v>
      </c>
      <c r="DW30" s="97">
        <v>270961</v>
      </c>
      <c r="DX30" s="97">
        <v>10180</v>
      </c>
      <c r="DY30" s="97">
        <v>334120</v>
      </c>
      <c r="DZ30" s="97">
        <v>3684</v>
      </c>
      <c r="EA30" s="97">
        <v>-1502</v>
      </c>
      <c r="EB30" s="97">
        <v>-845</v>
      </c>
      <c r="EC30" s="97">
        <v>117542</v>
      </c>
      <c r="ED30" s="97">
        <v>369598</v>
      </c>
      <c r="EE30" s="97">
        <v>488477</v>
      </c>
      <c r="EF30" s="97">
        <v>566779</v>
      </c>
      <c r="EG30" s="97">
        <v>68340</v>
      </c>
      <c r="EH30" s="97">
        <v>5628</v>
      </c>
      <c r="EI30" s="97">
        <v>288127</v>
      </c>
      <c r="EJ30" s="97">
        <v>414553</v>
      </c>
      <c r="EK30" s="97">
        <v>1343427</v>
      </c>
      <c r="EL30" s="97">
        <v>7149661</v>
      </c>
      <c r="EM30" s="97">
        <v>1599717</v>
      </c>
      <c r="EN30" s="97">
        <v>288329</v>
      </c>
      <c r="EO30" s="97">
        <v>5820146</v>
      </c>
      <c r="EP30" s="97">
        <v>23021887</v>
      </c>
      <c r="EQ30" s="97">
        <v>37879740</v>
      </c>
      <c r="ER30" s="97">
        <v>2177769</v>
      </c>
      <c r="ES30" s="97">
        <v>397566</v>
      </c>
      <c r="ET30" s="97">
        <v>376798</v>
      </c>
      <c r="EU30" s="97">
        <v>3536791</v>
      </c>
      <c r="EV30" s="97">
        <v>704556</v>
      </c>
      <c r="EW30" s="97">
        <v>7193480</v>
      </c>
      <c r="EX30" s="97">
        <v>1447003</v>
      </c>
      <c r="EY30" s="97">
        <v>158576</v>
      </c>
      <c r="EZ30" s="97">
        <v>60382</v>
      </c>
      <c r="FA30" s="97">
        <v>394121</v>
      </c>
      <c r="FB30" s="97">
        <v>0</v>
      </c>
      <c r="FC30" s="97">
        <v>2060082</v>
      </c>
      <c r="FD30" s="97">
        <v>2797375</v>
      </c>
      <c r="FE30" s="97">
        <v>888801</v>
      </c>
      <c r="FF30" s="97">
        <v>520283</v>
      </c>
      <c r="FG30" s="97">
        <v>2707403</v>
      </c>
      <c r="FH30" s="97">
        <v>22962</v>
      </c>
      <c r="FI30" s="97">
        <v>6936824</v>
      </c>
      <c r="FJ30" s="97">
        <v>0</v>
      </c>
      <c r="FK30" s="97">
        <v>0</v>
      </c>
      <c r="FL30" s="97">
        <v>0</v>
      </c>
      <c r="FM30" s="97">
        <v>0</v>
      </c>
      <c r="FN30" s="97">
        <v>0</v>
      </c>
      <c r="FO30" s="97">
        <v>0</v>
      </c>
      <c r="FP30" s="97"/>
      <c r="FQ30" s="97"/>
      <c r="FR30" s="97"/>
      <c r="FS30" s="97">
        <v>114898</v>
      </c>
      <c r="FT30" s="97">
        <v>5830798</v>
      </c>
      <c r="FU30" s="97">
        <v>6489069</v>
      </c>
      <c r="FV30" s="97">
        <v>0</v>
      </c>
      <c r="FW30" s="97">
        <v>0</v>
      </c>
      <c r="FX30" s="97">
        <v>0</v>
      </c>
      <c r="FY30" s="97">
        <v>0</v>
      </c>
      <c r="FZ30" s="97">
        <v>0</v>
      </c>
      <c r="GA30" s="97">
        <v>0</v>
      </c>
      <c r="GB30" s="97">
        <v>0</v>
      </c>
      <c r="GC30" s="97">
        <v>0</v>
      </c>
      <c r="GD30" s="97">
        <v>0</v>
      </c>
      <c r="GE30" s="97">
        <v>0</v>
      </c>
      <c r="GF30" s="97">
        <v>600000</v>
      </c>
      <c r="GG30" s="97">
        <v>600000</v>
      </c>
      <c r="GH30" s="97">
        <v>170736</v>
      </c>
      <c r="GI30" s="97">
        <v>124635</v>
      </c>
      <c r="GJ30" s="97">
        <v>65882</v>
      </c>
      <c r="GK30" s="97">
        <v>277788</v>
      </c>
      <c r="GL30" s="97">
        <v>288</v>
      </c>
      <c r="GM30" s="97">
        <v>639329</v>
      </c>
      <c r="GN30" s="97">
        <v>1140260</v>
      </c>
      <c r="GO30" s="97">
        <v>321950</v>
      </c>
      <c r="GP30" s="97">
        <v>192318</v>
      </c>
      <c r="GQ30" s="97">
        <v>1899676</v>
      </c>
      <c r="GR30" s="97">
        <v>0</v>
      </c>
      <c r="GS30" s="97">
        <v>3554204</v>
      </c>
      <c r="GT30" s="97">
        <v>513277</v>
      </c>
      <c r="GU30" s="97">
        <v>41243</v>
      </c>
      <c r="GV30" s="97">
        <v>29617</v>
      </c>
      <c r="GW30" s="97">
        <v>370668</v>
      </c>
      <c r="GX30" s="97">
        <v>504622</v>
      </c>
      <c r="GY30" s="97">
        <v>1459427</v>
      </c>
      <c r="GZ30" s="97">
        <v>729036</v>
      </c>
      <c r="HA30" s="97">
        <v>74095</v>
      </c>
      <c r="HB30" s="97">
        <v>121179</v>
      </c>
      <c r="HC30" s="97">
        <v>177622</v>
      </c>
      <c r="HD30" s="97">
        <v>117913</v>
      </c>
      <c r="HE30" s="97">
        <v>1219845</v>
      </c>
      <c r="HF30" s="97">
        <v>117966</v>
      </c>
      <c r="HG30" s="97">
        <v>32071</v>
      </c>
      <c r="HH30" s="97">
        <v>3283</v>
      </c>
      <c r="HI30" s="97">
        <v>66573</v>
      </c>
      <c r="HJ30" s="97">
        <v>488819</v>
      </c>
      <c r="HK30" s="97">
        <v>708712</v>
      </c>
      <c r="HL30" s="97">
        <v>233</v>
      </c>
      <c r="HM30" s="97">
        <v>2491</v>
      </c>
      <c r="HN30" s="97">
        <v>0</v>
      </c>
      <c r="HO30" s="97">
        <v>2007</v>
      </c>
      <c r="HP30" s="97">
        <v>0</v>
      </c>
      <c r="HQ30" s="97">
        <v>4731</v>
      </c>
      <c r="HR30" s="97">
        <v>49960</v>
      </c>
      <c r="HS30" s="97">
        <v>255</v>
      </c>
      <c r="HT30" s="97">
        <v>240</v>
      </c>
      <c r="HU30" s="97">
        <v>86210</v>
      </c>
      <c r="HV30" s="97">
        <v>282548</v>
      </c>
      <c r="HW30" s="97">
        <v>419213</v>
      </c>
      <c r="HX30" s="97">
        <v>0</v>
      </c>
      <c r="HY30" s="97">
        <v>0</v>
      </c>
      <c r="HZ30" s="97">
        <v>0</v>
      </c>
      <c r="IA30" s="97">
        <v>0</v>
      </c>
      <c r="IB30" s="97">
        <v>5842</v>
      </c>
      <c r="IC30" s="97">
        <v>5842</v>
      </c>
      <c r="ID30" s="97">
        <v>0</v>
      </c>
      <c r="IE30" s="97">
        <v>0</v>
      </c>
      <c r="IF30" s="97">
        <v>0</v>
      </c>
      <c r="IG30" s="97">
        <v>0</v>
      </c>
      <c r="IH30" s="97">
        <v>5508130</v>
      </c>
      <c r="II30" s="97">
        <v>5508130</v>
      </c>
      <c r="IJ30" s="97">
        <v>44297</v>
      </c>
      <c r="IK30" s="97">
        <v>4836</v>
      </c>
      <c r="IL30" s="97">
        <v>6127</v>
      </c>
      <c r="IM30" s="97">
        <v>78324</v>
      </c>
      <c r="IN30" s="97">
        <v>202075</v>
      </c>
      <c r="IO30" s="97">
        <v>335659</v>
      </c>
      <c r="IP30" s="97">
        <v>82</v>
      </c>
      <c r="IQ30" s="97">
        <v>155</v>
      </c>
      <c r="IR30" s="97">
        <v>1085</v>
      </c>
      <c r="IS30" s="97">
        <v>5846</v>
      </c>
      <c r="IT30" s="97">
        <v>438487</v>
      </c>
      <c r="IU30" s="97">
        <v>445655</v>
      </c>
      <c r="IV30" s="97">
        <v>449367</v>
      </c>
      <c r="IW30" s="97">
        <v>106939</v>
      </c>
      <c r="IX30" s="97">
        <v>56459</v>
      </c>
      <c r="IY30" s="97">
        <v>481995</v>
      </c>
      <c r="IZ30" s="97">
        <v>1644813</v>
      </c>
      <c r="JA30" s="97">
        <v>2739573</v>
      </c>
      <c r="JB30" s="97">
        <v>10583552</v>
      </c>
      <c r="JC30" s="97">
        <v>2292153</v>
      </c>
      <c r="JD30" s="97">
        <v>1492295</v>
      </c>
      <c r="JE30" s="97">
        <v>10199922</v>
      </c>
      <c r="JF30" s="97">
        <v>15751853</v>
      </c>
      <c r="JG30" s="97">
        <v>40319775</v>
      </c>
      <c r="JH30" s="97">
        <v>0</v>
      </c>
      <c r="JI30" s="97">
        <v>0</v>
      </c>
      <c r="JJ30" s="97">
        <v>0</v>
      </c>
      <c r="JK30" s="97">
        <v>0</v>
      </c>
      <c r="JL30" s="97">
        <v>0</v>
      </c>
      <c r="JM30" s="97">
        <v>0</v>
      </c>
      <c r="JN30" s="97">
        <v>10583552</v>
      </c>
      <c r="JO30" s="97">
        <v>2292153</v>
      </c>
      <c r="JP30" s="97">
        <v>1492295</v>
      </c>
      <c r="JQ30" s="97">
        <v>10199922</v>
      </c>
      <c r="JR30" s="97">
        <v>15751853</v>
      </c>
      <c r="JS30" s="97">
        <v>40319775</v>
      </c>
      <c r="JT30" s="14"/>
      <c r="JU30" s="5">
        <f t="shared" si="78"/>
        <v>6709661</v>
      </c>
      <c r="JV30" s="29">
        <f t="shared" si="79"/>
        <v>0</v>
      </c>
      <c r="JW30" s="5">
        <f t="shared" si="80"/>
        <v>1697779</v>
      </c>
      <c r="JX30" s="29">
        <f t="shared" si="81"/>
        <v>0</v>
      </c>
      <c r="JY30" s="5">
        <f t="shared" si="82"/>
        <v>605984</v>
      </c>
      <c r="JZ30" s="29">
        <f t="shared" si="83"/>
        <v>0</v>
      </c>
      <c r="KA30" s="5">
        <f t="shared" si="84"/>
        <v>5365961</v>
      </c>
      <c r="KB30" s="29">
        <f t="shared" si="85"/>
        <v>0</v>
      </c>
      <c r="KC30" s="5">
        <f t="shared" si="86"/>
        <v>0</v>
      </c>
      <c r="KD30" s="29">
        <f t="shared" si="87"/>
        <v>0</v>
      </c>
      <c r="KE30" s="5">
        <f t="shared" si="88"/>
        <v>0</v>
      </c>
      <c r="KF30" s="29">
        <f t="shared" si="89"/>
        <v>0</v>
      </c>
      <c r="KG30" s="5">
        <f t="shared" si="90"/>
        <v>6441472</v>
      </c>
      <c r="KH30" s="29">
        <f t="shared" si="91"/>
        <v>0</v>
      </c>
      <c r="KI30" s="5">
        <f t="shared" si="92"/>
        <v>5508130</v>
      </c>
      <c r="KJ30" s="29">
        <f t="shared" si="93"/>
        <v>0</v>
      </c>
      <c r="KK30" s="5">
        <f t="shared" si="94"/>
        <v>1493199</v>
      </c>
      <c r="KL30" s="29">
        <f t="shared" si="95"/>
        <v>0</v>
      </c>
      <c r="KM30" s="5">
        <f t="shared" si="96"/>
        <v>2621325</v>
      </c>
      <c r="KN30" s="29">
        <f t="shared" si="97"/>
        <v>0</v>
      </c>
      <c r="KO30" s="5">
        <f t="shared" si="98"/>
        <v>787772</v>
      </c>
      <c r="KP30" s="29">
        <f t="shared" si="99"/>
        <v>0</v>
      </c>
      <c r="KQ30" s="5">
        <f t="shared" si="100"/>
        <v>4482433</v>
      </c>
      <c r="KR30" s="29">
        <f t="shared" si="101"/>
        <v>0</v>
      </c>
      <c r="KS30" s="5">
        <f t="shared" si="102"/>
        <v>334120</v>
      </c>
      <c r="KT30" s="29">
        <f t="shared" si="103"/>
        <v>0</v>
      </c>
      <c r="KU30" s="5">
        <f t="shared" si="104"/>
        <v>488477</v>
      </c>
      <c r="KV30" s="29">
        <f t="shared" si="105"/>
        <v>0</v>
      </c>
      <c r="KW30" s="5">
        <f t="shared" si="106"/>
        <v>1343427</v>
      </c>
      <c r="KX30" s="29">
        <f t="shared" si="107"/>
        <v>0</v>
      </c>
      <c r="KY30" s="5">
        <f t="shared" si="108"/>
        <v>37879740</v>
      </c>
      <c r="KZ30" s="29">
        <f t="shared" si="109"/>
        <v>0</v>
      </c>
      <c r="LA30" s="5">
        <f t="shared" si="110"/>
        <v>7193480</v>
      </c>
      <c r="LB30" s="29">
        <f t="shared" si="111"/>
        <v>0</v>
      </c>
      <c r="LC30" s="5">
        <f t="shared" si="112"/>
        <v>2060082</v>
      </c>
      <c r="LD30" s="29">
        <f t="shared" si="113"/>
        <v>0</v>
      </c>
      <c r="LE30" s="5">
        <f t="shared" si="114"/>
        <v>6936824</v>
      </c>
      <c r="LF30" s="29">
        <f t="shared" si="115"/>
        <v>0</v>
      </c>
      <c r="LG30" s="5">
        <f t="shared" si="116"/>
        <v>0</v>
      </c>
      <c r="LH30" s="29">
        <f t="shared" si="117"/>
        <v>0</v>
      </c>
      <c r="LI30" s="5">
        <f t="shared" si="118"/>
        <v>5945696</v>
      </c>
      <c r="LJ30" s="29">
        <f t="shared" si="119"/>
        <v>543373</v>
      </c>
      <c r="LK30" s="5">
        <f t="shared" si="120"/>
        <v>0</v>
      </c>
      <c r="LL30" s="29">
        <f t="shared" si="121"/>
        <v>0</v>
      </c>
      <c r="LM30" s="5">
        <f t="shared" si="122"/>
        <v>600000</v>
      </c>
      <c r="LN30" s="29">
        <f t="shared" si="123"/>
        <v>0</v>
      </c>
      <c r="LO30" s="5">
        <f t="shared" si="124"/>
        <v>639329</v>
      </c>
      <c r="LP30" s="29">
        <f t="shared" si="125"/>
        <v>0</v>
      </c>
      <c r="LQ30" s="5">
        <f t="shared" si="126"/>
        <v>3554204</v>
      </c>
      <c r="LR30" s="29">
        <f t="shared" si="127"/>
        <v>0</v>
      </c>
      <c r="LS30" s="5">
        <f t="shared" si="128"/>
        <v>1459427</v>
      </c>
      <c r="LT30" s="29">
        <f t="shared" si="129"/>
        <v>0</v>
      </c>
      <c r="LU30" s="5">
        <f t="shared" si="130"/>
        <v>1219845</v>
      </c>
      <c r="LV30" s="29">
        <f t="shared" si="131"/>
        <v>0</v>
      </c>
      <c r="LW30" s="5">
        <f t="shared" si="132"/>
        <v>708712</v>
      </c>
      <c r="LX30" s="29">
        <f t="shared" si="133"/>
        <v>0</v>
      </c>
      <c r="LY30" s="5">
        <f t="shared" si="134"/>
        <v>4731</v>
      </c>
      <c r="LZ30" s="29">
        <f t="shared" si="135"/>
        <v>0</v>
      </c>
      <c r="MA30" s="5">
        <f t="shared" si="136"/>
        <v>419213</v>
      </c>
      <c r="MB30" s="29">
        <f t="shared" si="137"/>
        <v>0</v>
      </c>
      <c r="MC30" s="5">
        <f t="shared" si="138"/>
        <v>5842</v>
      </c>
      <c r="MD30" s="29">
        <f t="shared" si="139"/>
        <v>0</v>
      </c>
      <c r="ME30" s="5">
        <f t="shared" si="140"/>
        <v>5508130</v>
      </c>
      <c r="MF30" s="29">
        <f t="shared" si="141"/>
        <v>0</v>
      </c>
      <c r="MG30" s="5">
        <f t="shared" si="142"/>
        <v>335659</v>
      </c>
      <c r="MH30" s="29">
        <f t="shared" si="143"/>
        <v>0</v>
      </c>
      <c r="MI30" s="5">
        <f t="shared" si="144"/>
        <v>445655</v>
      </c>
      <c r="MJ30" s="29">
        <f t="shared" si="145"/>
        <v>0</v>
      </c>
      <c r="MK30" s="5">
        <f t="shared" si="146"/>
        <v>2739573</v>
      </c>
      <c r="ML30" s="29">
        <f t="shared" si="147"/>
        <v>0</v>
      </c>
      <c r="MM30" s="5">
        <f t="shared" si="148"/>
        <v>40319775</v>
      </c>
      <c r="MN30" s="29">
        <f t="shared" si="149"/>
        <v>0</v>
      </c>
      <c r="MO30" s="5">
        <f t="shared" si="150"/>
        <v>0</v>
      </c>
      <c r="MP30" s="29">
        <f t="shared" si="151"/>
        <v>0</v>
      </c>
      <c r="MQ30" s="5">
        <f t="shared" si="152"/>
        <v>40319775</v>
      </c>
      <c r="MR30" s="29">
        <f t="shared" si="153"/>
        <v>0</v>
      </c>
      <c r="MT30" s="5">
        <f t="shared" si="76"/>
        <v>543373</v>
      </c>
      <c r="MV30" s="4">
        <f t="shared" si="77"/>
        <v>1</v>
      </c>
    </row>
    <row r="31" spans="1:360" x14ac:dyDescent="0.15">
      <c r="A31" s="155" t="s">
        <v>312</v>
      </c>
      <c r="B31" s="28" t="s">
        <v>466</v>
      </c>
      <c r="C31" s="47">
        <v>225511</v>
      </c>
      <c r="D31" s="48">
        <v>2012</v>
      </c>
      <c r="E31" s="49">
        <v>1</v>
      </c>
      <c r="F31" s="49">
        <v>8</v>
      </c>
      <c r="G31" s="50">
        <v>15121</v>
      </c>
      <c r="H31" s="50">
        <v>15331</v>
      </c>
      <c r="I31" s="51">
        <v>745385172</v>
      </c>
      <c r="J31" s="51"/>
      <c r="K31" s="51">
        <v>1842722</v>
      </c>
      <c r="L31" s="51"/>
      <c r="M31" s="51">
        <v>103919810</v>
      </c>
      <c r="N31" s="51"/>
      <c r="O31" s="51">
        <v>7483638</v>
      </c>
      <c r="P31" s="51"/>
      <c r="Q31" s="51">
        <v>703348760</v>
      </c>
      <c r="R31" s="51"/>
      <c r="S31" s="52">
        <v>574258043</v>
      </c>
      <c r="T31" s="52"/>
      <c r="U31" s="52">
        <v>18800</v>
      </c>
      <c r="V31" s="52"/>
      <c r="W31" s="52">
        <v>27640</v>
      </c>
      <c r="X31" s="52"/>
      <c r="Y31" s="52">
        <v>24722</v>
      </c>
      <c r="Z31" s="52"/>
      <c r="AA31" s="52">
        <v>33562</v>
      </c>
      <c r="AB31" s="49"/>
      <c r="AC31" s="72">
        <v>7</v>
      </c>
      <c r="AD31" s="72">
        <v>8</v>
      </c>
      <c r="AE31" s="72">
        <v>0</v>
      </c>
      <c r="AF31" s="29">
        <v>3050462</v>
      </c>
      <c r="AG31" s="29">
        <v>2090503</v>
      </c>
      <c r="AH31" s="29">
        <v>302641</v>
      </c>
      <c r="AI31" s="29">
        <v>179392</v>
      </c>
      <c r="AJ31" s="29">
        <v>492572.89</v>
      </c>
      <c r="AK31" s="73">
        <v>4.5</v>
      </c>
      <c r="AL31" s="29">
        <v>443315.6</v>
      </c>
      <c r="AM31" s="73">
        <v>5</v>
      </c>
      <c r="AN31" s="29">
        <v>109355.23</v>
      </c>
      <c r="AO31" s="73">
        <v>6.5</v>
      </c>
      <c r="AP31" s="29">
        <v>101544.14</v>
      </c>
      <c r="AQ31" s="73">
        <v>7</v>
      </c>
      <c r="AR31" s="29">
        <v>172883.88</v>
      </c>
      <c r="AS31" s="73">
        <v>17</v>
      </c>
      <c r="AT31" s="29">
        <v>154685.57999999999</v>
      </c>
      <c r="AU31" s="73">
        <v>19</v>
      </c>
      <c r="AV31" s="29">
        <v>80580.070000000007</v>
      </c>
      <c r="AW31" s="73">
        <v>14</v>
      </c>
      <c r="AX31" s="29">
        <v>70507.56</v>
      </c>
      <c r="AY31" s="73">
        <v>16</v>
      </c>
      <c r="AZ31" s="97">
        <v>4203809</v>
      </c>
      <c r="BA31" s="97">
        <v>353175</v>
      </c>
      <c r="BB31" s="97">
        <v>24692</v>
      </c>
      <c r="BC31" s="97">
        <v>174914</v>
      </c>
      <c r="BD31" s="97">
        <v>177440</v>
      </c>
      <c r="BE31" s="97">
        <v>4934030</v>
      </c>
      <c r="BF31" s="97">
        <v>0</v>
      </c>
      <c r="BG31" s="97">
        <v>0</v>
      </c>
      <c r="BH31" s="97">
        <v>0</v>
      </c>
      <c r="BI31" s="97">
        <v>0</v>
      </c>
      <c r="BJ31" s="97">
        <v>4407707</v>
      </c>
      <c r="BK31" s="97">
        <v>4407707</v>
      </c>
      <c r="BL31" s="97">
        <v>300000</v>
      </c>
      <c r="BM31" s="97">
        <v>85000</v>
      </c>
      <c r="BN31" s="97">
        <v>0</v>
      </c>
      <c r="BO31" s="97">
        <v>4000</v>
      </c>
      <c r="BP31" s="97">
        <v>0</v>
      </c>
      <c r="BQ31" s="97">
        <v>389000</v>
      </c>
      <c r="BR31" s="97">
        <v>426690</v>
      </c>
      <c r="BS31" s="97">
        <v>37010</v>
      </c>
      <c r="BT31" s="97">
        <v>20139</v>
      </c>
      <c r="BU31" s="97">
        <v>652839</v>
      </c>
      <c r="BV31" s="97">
        <v>2873602</v>
      </c>
      <c r="BW31" s="97">
        <v>4010280</v>
      </c>
      <c r="BX31" s="97">
        <v>0</v>
      </c>
      <c r="BY31" s="97">
        <v>0</v>
      </c>
      <c r="BZ31" s="97">
        <v>0</v>
      </c>
      <c r="CA31" s="97">
        <v>0</v>
      </c>
      <c r="CB31" s="97">
        <v>0</v>
      </c>
      <c r="CC31" s="97">
        <v>0</v>
      </c>
      <c r="CD31" s="97">
        <v>0</v>
      </c>
      <c r="CE31" s="97">
        <v>0</v>
      </c>
      <c r="CF31" s="97">
        <v>0</v>
      </c>
      <c r="CG31" s="97">
        <v>0</v>
      </c>
      <c r="CH31" s="97">
        <v>0</v>
      </c>
      <c r="CI31" s="97">
        <v>0</v>
      </c>
      <c r="CJ31" s="97">
        <v>19789</v>
      </c>
      <c r="CK31" s="97">
        <v>679659</v>
      </c>
      <c r="CL31" s="97">
        <v>635005</v>
      </c>
      <c r="CM31" s="97">
        <v>2706007</v>
      </c>
      <c r="CN31" s="97">
        <v>12895691</v>
      </c>
      <c r="CO31" s="97">
        <v>16936151</v>
      </c>
      <c r="CP31" s="97">
        <v>0</v>
      </c>
      <c r="CQ31" s="97">
        <v>0</v>
      </c>
      <c r="CR31" s="97">
        <v>0</v>
      </c>
      <c r="CS31" s="97">
        <v>0</v>
      </c>
      <c r="CT31" s="97">
        <v>0</v>
      </c>
      <c r="CU31" s="97">
        <v>0</v>
      </c>
      <c r="CV31" s="97">
        <v>938234</v>
      </c>
      <c r="CW31" s="97">
        <v>481962</v>
      </c>
      <c r="CX31" s="97">
        <v>0</v>
      </c>
      <c r="CY31" s="97">
        <v>0</v>
      </c>
      <c r="CZ31" s="97">
        <v>1032948</v>
      </c>
      <c r="DA31" s="97">
        <v>2453144</v>
      </c>
      <c r="DB31" s="97">
        <v>0</v>
      </c>
      <c r="DC31" s="97">
        <v>0</v>
      </c>
      <c r="DD31" s="97">
        <v>0</v>
      </c>
      <c r="DE31" s="97">
        <v>0</v>
      </c>
      <c r="DF31" s="97">
        <v>0</v>
      </c>
      <c r="DG31" s="97">
        <v>0</v>
      </c>
      <c r="DH31" s="97">
        <v>529393</v>
      </c>
      <c r="DI31" s="97">
        <v>34686</v>
      </c>
      <c r="DJ31" s="97">
        <v>4629</v>
      </c>
      <c r="DK31" s="97">
        <v>46626</v>
      </c>
      <c r="DL31" s="97">
        <v>386902</v>
      </c>
      <c r="DM31" s="97">
        <v>1002236</v>
      </c>
      <c r="DN31" s="97">
        <v>0</v>
      </c>
      <c r="DO31" s="97">
        <v>0</v>
      </c>
      <c r="DP31" s="97">
        <v>0</v>
      </c>
      <c r="DQ31" s="97">
        <v>0</v>
      </c>
      <c r="DR31" s="97">
        <v>1002236</v>
      </c>
      <c r="DS31" s="97">
        <v>1002236</v>
      </c>
      <c r="DT31" s="97">
        <v>0</v>
      </c>
      <c r="DU31" s="97">
        <v>0</v>
      </c>
      <c r="DV31" s="97">
        <v>0</v>
      </c>
      <c r="DW31" s="97">
        <v>0</v>
      </c>
      <c r="DX31" s="97">
        <v>0</v>
      </c>
      <c r="DY31" s="97">
        <v>0</v>
      </c>
      <c r="DZ31" s="97">
        <v>13207</v>
      </c>
      <c r="EA31" s="97">
        <v>5328</v>
      </c>
      <c r="EB31" s="97">
        <v>0</v>
      </c>
      <c r="EC31" s="97">
        <v>14446</v>
      </c>
      <c r="ED31" s="97">
        <v>141257</v>
      </c>
      <c r="EE31" s="98">
        <v>174238</v>
      </c>
      <c r="EF31" s="97">
        <v>410495</v>
      </c>
      <c r="EG31" s="97">
        <v>0</v>
      </c>
      <c r="EH31" s="97">
        <v>0</v>
      </c>
      <c r="EI31" s="97">
        <v>36683</v>
      </c>
      <c r="EJ31" s="97">
        <v>1441537</v>
      </c>
      <c r="EK31" s="97">
        <v>1888715</v>
      </c>
      <c r="EL31" s="97">
        <v>6841617</v>
      </c>
      <c r="EM31" s="97">
        <v>1676820</v>
      </c>
      <c r="EN31" s="97">
        <v>684465</v>
      </c>
      <c r="EO31" s="97">
        <v>3635515</v>
      </c>
      <c r="EP31" s="97">
        <v>23814075</v>
      </c>
      <c r="EQ31" s="97">
        <v>36652492</v>
      </c>
      <c r="ER31" s="97">
        <v>2235532</v>
      </c>
      <c r="ES31" s="97">
        <v>292067</v>
      </c>
      <c r="ET31" s="97">
        <v>311919</v>
      </c>
      <c r="EU31" s="97">
        <v>2301447</v>
      </c>
      <c r="EV31" s="97">
        <v>106800</v>
      </c>
      <c r="EW31" s="97">
        <v>5247765</v>
      </c>
      <c r="EX31" s="97">
        <v>725000</v>
      </c>
      <c r="EY31" s="97">
        <v>225000</v>
      </c>
      <c r="EZ31" s="97">
        <v>8984</v>
      </c>
      <c r="FA31" s="97">
        <v>20066</v>
      </c>
      <c r="FB31" s="97">
        <v>0</v>
      </c>
      <c r="FC31" s="97">
        <v>979050</v>
      </c>
      <c r="FD31" s="97">
        <v>3131437</v>
      </c>
      <c r="FE31" s="97">
        <v>980835</v>
      </c>
      <c r="FF31" s="97">
        <v>501185</v>
      </c>
      <c r="FG31" s="97">
        <v>1987224</v>
      </c>
      <c r="FH31" s="97">
        <v>393853</v>
      </c>
      <c r="FI31" s="97">
        <v>6994534</v>
      </c>
      <c r="FJ31" s="97">
        <v>0</v>
      </c>
      <c r="FK31" s="97">
        <v>0</v>
      </c>
      <c r="FL31" s="97">
        <v>0</v>
      </c>
      <c r="FM31" s="97">
        <v>0</v>
      </c>
      <c r="FN31" s="97">
        <v>0</v>
      </c>
      <c r="FO31" s="97">
        <v>0</v>
      </c>
      <c r="FP31" s="97">
        <v>361452</v>
      </c>
      <c r="FQ31" s="97">
        <v>232587</v>
      </c>
      <c r="FR31" s="97">
        <v>89940</v>
      </c>
      <c r="FS31" s="97">
        <v>52654</v>
      </c>
      <c r="FT31" s="97">
        <v>5795176</v>
      </c>
      <c r="FU31" s="97">
        <v>6531809</v>
      </c>
      <c r="FV31" s="97">
        <v>0</v>
      </c>
      <c r="FW31" s="97">
        <v>0</v>
      </c>
      <c r="FX31" s="97">
        <v>0</v>
      </c>
      <c r="FY31" s="97">
        <v>0</v>
      </c>
      <c r="FZ31" s="97">
        <v>0</v>
      </c>
      <c r="GA31" s="97">
        <v>0</v>
      </c>
      <c r="GB31" s="97">
        <v>0</v>
      </c>
      <c r="GC31" s="97">
        <v>0</v>
      </c>
      <c r="GD31" s="97">
        <v>0</v>
      </c>
      <c r="GE31" s="97">
        <v>0</v>
      </c>
      <c r="GF31" s="97">
        <v>0</v>
      </c>
      <c r="GG31" s="97">
        <v>0</v>
      </c>
      <c r="GH31" s="97">
        <v>160086</v>
      </c>
      <c r="GI31" s="97">
        <v>75819</v>
      </c>
      <c r="GJ31" s="97">
        <v>70214</v>
      </c>
      <c r="GK31" s="97">
        <v>175914</v>
      </c>
      <c r="GL31" s="97">
        <v>0</v>
      </c>
      <c r="GM31" s="97">
        <v>482033</v>
      </c>
      <c r="GN31" s="97">
        <v>752834</v>
      </c>
      <c r="GO31" s="97">
        <v>267579</v>
      </c>
      <c r="GP31" s="97">
        <v>303687</v>
      </c>
      <c r="GQ31" s="97">
        <v>1175689</v>
      </c>
      <c r="GR31" s="97">
        <v>13934</v>
      </c>
      <c r="GS31" s="97">
        <v>2513723</v>
      </c>
      <c r="GT31" s="97">
        <v>373444</v>
      </c>
      <c r="GU31" s="97">
        <v>39560</v>
      </c>
      <c r="GV31" s="97">
        <v>34438</v>
      </c>
      <c r="GW31" s="97">
        <v>438641</v>
      </c>
      <c r="GX31" s="97">
        <v>194076</v>
      </c>
      <c r="GY31" s="97">
        <v>1080159</v>
      </c>
      <c r="GZ31" s="97">
        <v>803224</v>
      </c>
      <c r="HA31" s="97">
        <v>312719</v>
      </c>
      <c r="HB31" s="97">
        <v>110204</v>
      </c>
      <c r="HC31" s="97">
        <v>226297</v>
      </c>
      <c r="HD31" s="97">
        <v>16516</v>
      </c>
      <c r="HE31" s="97">
        <v>1468960</v>
      </c>
      <c r="HF31" s="97">
        <v>8986</v>
      </c>
      <c r="HG31" s="97">
        <v>0</v>
      </c>
      <c r="HH31" s="97">
        <v>0</v>
      </c>
      <c r="HI31" s="97">
        <v>1610</v>
      </c>
      <c r="HJ31" s="97">
        <v>349336</v>
      </c>
      <c r="HK31" s="97">
        <v>359932</v>
      </c>
      <c r="HL31" s="97">
        <v>0</v>
      </c>
      <c r="HM31" s="97">
        <v>0</v>
      </c>
      <c r="HN31" s="97">
        <v>0</v>
      </c>
      <c r="HO31" s="97">
        <v>0</v>
      </c>
      <c r="HP31" s="97">
        <v>0</v>
      </c>
      <c r="HQ31" s="97">
        <v>0</v>
      </c>
      <c r="HR31" s="97">
        <v>0</v>
      </c>
      <c r="HS31" s="97">
        <v>0</v>
      </c>
      <c r="HT31" s="97">
        <v>0</v>
      </c>
      <c r="HU31" s="97">
        <v>0</v>
      </c>
      <c r="HV31" s="97">
        <v>3984272</v>
      </c>
      <c r="HW31" s="97">
        <v>3984272</v>
      </c>
      <c r="HX31" s="97">
        <v>0</v>
      </c>
      <c r="HY31" s="97">
        <v>0</v>
      </c>
      <c r="HZ31" s="97">
        <v>0</v>
      </c>
      <c r="IA31" s="97">
        <v>0</v>
      </c>
      <c r="IB31" s="97">
        <v>0</v>
      </c>
      <c r="IC31" s="97">
        <v>0</v>
      </c>
      <c r="ID31" s="97">
        <v>0</v>
      </c>
      <c r="IE31" s="97">
        <v>0</v>
      </c>
      <c r="IF31" s="97">
        <v>0</v>
      </c>
      <c r="IG31" s="97">
        <v>0</v>
      </c>
      <c r="IH31" s="97">
        <v>0</v>
      </c>
      <c r="II31" s="97">
        <v>0</v>
      </c>
      <c r="IJ31" s="97">
        <v>1128</v>
      </c>
      <c r="IK31" s="97">
        <v>0</v>
      </c>
      <c r="IL31" s="97">
        <v>0</v>
      </c>
      <c r="IM31" s="97">
        <v>0</v>
      </c>
      <c r="IN31" s="97">
        <v>882597</v>
      </c>
      <c r="IO31" s="97">
        <v>883725</v>
      </c>
      <c r="IP31" s="97">
        <v>0</v>
      </c>
      <c r="IQ31" s="97">
        <v>0</v>
      </c>
      <c r="IR31" s="97">
        <v>0</v>
      </c>
      <c r="IS31" s="97">
        <v>0</v>
      </c>
      <c r="IT31" s="97">
        <v>336487</v>
      </c>
      <c r="IU31" s="97">
        <v>336487</v>
      </c>
      <c r="IV31" s="97">
        <v>555261</v>
      </c>
      <c r="IW31" s="97">
        <v>138248</v>
      </c>
      <c r="IX31" s="97">
        <v>52990</v>
      </c>
      <c r="IY31" s="97">
        <v>505194</v>
      </c>
      <c r="IZ31" s="97">
        <v>4281065</v>
      </c>
      <c r="JA31" s="97">
        <v>5532758</v>
      </c>
      <c r="JB31" s="97">
        <v>9108384</v>
      </c>
      <c r="JC31" s="97">
        <v>2564414</v>
      </c>
      <c r="JD31" s="97">
        <v>1483561</v>
      </c>
      <c r="JE31" s="97">
        <v>6884736</v>
      </c>
      <c r="JF31" s="97">
        <v>16354112</v>
      </c>
      <c r="JG31" s="97">
        <v>36395207</v>
      </c>
      <c r="JH31" s="97">
        <v>0</v>
      </c>
      <c r="JI31" s="97">
        <v>0</v>
      </c>
      <c r="JJ31" s="97">
        <v>0</v>
      </c>
      <c r="JK31" s="97">
        <v>0</v>
      </c>
      <c r="JL31" s="97">
        <v>0</v>
      </c>
      <c r="JM31" s="97">
        <v>0</v>
      </c>
      <c r="JN31" s="97">
        <v>9108384</v>
      </c>
      <c r="JO31" s="97">
        <v>2564414</v>
      </c>
      <c r="JP31" s="97">
        <v>1483561</v>
      </c>
      <c r="JQ31" s="97">
        <v>6884736</v>
      </c>
      <c r="JR31" s="97">
        <v>16354112</v>
      </c>
      <c r="JS31" s="97">
        <v>36395207</v>
      </c>
      <c r="JU31" s="5">
        <f t="shared" si="78"/>
        <v>4934030</v>
      </c>
      <c r="JV31" s="29">
        <f t="shared" si="79"/>
        <v>0</v>
      </c>
      <c r="JW31" s="5">
        <f t="shared" si="80"/>
        <v>4407707</v>
      </c>
      <c r="JX31" s="29">
        <f t="shared" si="81"/>
        <v>0</v>
      </c>
      <c r="JY31" s="5">
        <f t="shared" si="82"/>
        <v>389000</v>
      </c>
      <c r="JZ31" s="29">
        <f t="shared" si="83"/>
        <v>0</v>
      </c>
      <c r="KA31" s="5">
        <f t="shared" si="84"/>
        <v>4010280</v>
      </c>
      <c r="KB31" s="29">
        <f t="shared" si="85"/>
        <v>0</v>
      </c>
      <c r="KC31" s="5">
        <f t="shared" si="86"/>
        <v>0</v>
      </c>
      <c r="KD31" s="29">
        <f t="shared" si="87"/>
        <v>0</v>
      </c>
      <c r="KE31" s="5">
        <f t="shared" si="88"/>
        <v>0</v>
      </c>
      <c r="KF31" s="29">
        <f t="shared" si="89"/>
        <v>0</v>
      </c>
      <c r="KG31" s="5">
        <f t="shared" si="90"/>
        <v>16936151</v>
      </c>
      <c r="KH31" s="29">
        <f t="shared" si="91"/>
        <v>0</v>
      </c>
      <c r="KI31" s="5">
        <f t="shared" si="92"/>
        <v>0</v>
      </c>
      <c r="KJ31" s="29">
        <f t="shared" si="93"/>
        <v>0</v>
      </c>
      <c r="KK31" s="5">
        <f t="shared" si="94"/>
        <v>2453144</v>
      </c>
      <c r="KL31" s="29">
        <f t="shared" si="95"/>
        <v>0</v>
      </c>
      <c r="KM31" s="5">
        <f t="shared" si="96"/>
        <v>0</v>
      </c>
      <c r="KN31" s="29">
        <f t="shared" si="97"/>
        <v>0</v>
      </c>
      <c r="KO31" s="5">
        <f t="shared" si="98"/>
        <v>1002236</v>
      </c>
      <c r="KP31" s="29">
        <f t="shared" si="99"/>
        <v>0</v>
      </c>
      <c r="KQ31" s="5">
        <f t="shared" si="100"/>
        <v>1002236</v>
      </c>
      <c r="KR31" s="29">
        <f t="shared" si="101"/>
        <v>0</v>
      </c>
      <c r="KS31" s="5">
        <f t="shared" si="102"/>
        <v>0</v>
      </c>
      <c r="KT31" s="29">
        <f t="shared" si="103"/>
        <v>0</v>
      </c>
      <c r="KU31" s="5">
        <f t="shared" si="104"/>
        <v>174238</v>
      </c>
      <c r="KV31" s="29">
        <f t="shared" si="105"/>
        <v>0</v>
      </c>
      <c r="KW31" s="5">
        <f t="shared" si="106"/>
        <v>1888715</v>
      </c>
      <c r="KX31" s="29">
        <f t="shared" si="107"/>
        <v>0</v>
      </c>
      <c r="KY31" s="5">
        <f t="shared" si="108"/>
        <v>36652492</v>
      </c>
      <c r="KZ31" s="29">
        <f t="shared" si="109"/>
        <v>0</v>
      </c>
      <c r="LA31" s="5">
        <f t="shared" si="110"/>
        <v>5247765</v>
      </c>
      <c r="LB31" s="29">
        <f t="shared" si="111"/>
        <v>0</v>
      </c>
      <c r="LC31" s="5">
        <f t="shared" si="112"/>
        <v>979050</v>
      </c>
      <c r="LD31" s="29">
        <f t="shared" si="113"/>
        <v>0</v>
      </c>
      <c r="LE31" s="5">
        <f t="shared" si="114"/>
        <v>6994534</v>
      </c>
      <c r="LF31" s="29">
        <f t="shared" si="115"/>
        <v>0</v>
      </c>
      <c r="LG31" s="5">
        <f t="shared" si="116"/>
        <v>0</v>
      </c>
      <c r="LH31" s="29">
        <f t="shared" si="117"/>
        <v>0</v>
      </c>
      <c r="LI31" s="5">
        <f t="shared" si="118"/>
        <v>6531809</v>
      </c>
      <c r="LJ31" s="29">
        <f t="shared" si="119"/>
        <v>0</v>
      </c>
      <c r="LK31" s="5">
        <f t="shared" si="120"/>
        <v>0</v>
      </c>
      <c r="LL31" s="29">
        <f t="shared" si="121"/>
        <v>0</v>
      </c>
      <c r="LM31" s="5">
        <f t="shared" si="122"/>
        <v>0</v>
      </c>
      <c r="LN31" s="29">
        <f t="shared" si="123"/>
        <v>0</v>
      </c>
      <c r="LO31" s="5">
        <f t="shared" si="124"/>
        <v>482033</v>
      </c>
      <c r="LP31" s="29">
        <f t="shared" si="125"/>
        <v>0</v>
      </c>
      <c r="LQ31" s="5">
        <f t="shared" si="126"/>
        <v>2513723</v>
      </c>
      <c r="LR31" s="29">
        <f t="shared" si="127"/>
        <v>0</v>
      </c>
      <c r="LS31" s="5">
        <f t="shared" si="128"/>
        <v>1080159</v>
      </c>
      <c r="LT31" s="29">
        <f t="shared" si="129"/>
        <v>0</v>
      </c>
      <c r="LU31" s="5">
        <f t="shared" si="130"/>
        <v>1468960</v>
      </c>
      <c r="LV31" s="29">
        <f t="shared" si="131"/>
        <v>0</v>
      </c>
      <c r="LW31" s="5">
        <f t="shared" si="132"/>
        <v>359932</v>
      </c>
      <c r="LX31" s="29">
        <f t="shared" si="133"/>
        <v>0</v>
      </c>
      <c r="LY31" s="5">
        <f t="shared" si="134"/>
        <v>0</v>
      </c>
      <c r="LZ31" s="29">
        <f t="shared" si="135"/>
        <v>0</v>
      </c>
      <c r="MA31" s="5">
        <f t="shared" si="136"/>
        <v>3984272</v>
      </c>
      <c r="MB31" s="29">
        <f t="shared" si="137"/>
        <v>0</v>
      </c>
      <c r="MC31" s="5">
        <f t="shared" si="138"/>
        <v>0</v>
      </c>
      <c r="MD31" s="29">
        <f t="shared" si="139"/>
        <v>0</v>
      </c>
      <c r="ME31" s="5">
        <f t="shared" si="140"/>
        <v>0</v>
      </c>
      <c r="MF31" s="29">
        <f t="shared" si="141"/>
        <v>0</v>
      </c>
      <c r="MG31" s="5">
        <f t="shared" si="142"/>
        <v>883725</v>
      </c>
      <c r="MH31" s="29">
        <f t="shared" si="143"/>
        <v>0</v>
      </c>
      <c r="MI31" s="5">
        <f t="shared" si="144"/>
        <v>336487</v>
      </c>
      <c r="MJ31" s="29">
        <f t="shared" si="145"/>
        <v>0</v>
      </c>
      <c r="MK31" s="5">
        <f t="shared" si="146"/>
        <v>5532758</v>
      </c>
      <c r="ML31" s="29">
        <f t="shared" si="147"/>
        <v>0</v>
      </c>
      <c r="MM31" s="5">
        <f t="shared" si="148"/>
        <v>36395207</v>
      </c>
      <c r="MN31" s="29">
        <f t="shared" si="149"/>
        <v>0</v>
      </c>
      <c r="MO31" s="5">
        <f t="shared" si="150"/>
        <v>0</v>
      </c>
      <c r="MP31" s="29">
        <f t="shared" si="151"/>
        <v>0</v>
      </c>
      <c r="MQ31" s="5">
        <f t="shared" si="152"/>
        <v>36395207</v>
      </c>
      <c r="MR31" s="29">
        <f t="shared" si="153"/>
        <v>0</v>
      </c>
      <c r="MT31" s="5">
        <f t="shared" si="76"/>
        <v>0</v>
      </c>
      <c r="MV31" s="4">
        <f t="shared" si="77"/>
        <v>0</v>
      </c>
    </row>
    <row r="32" spans="1:360" x14ac:dyDescent="0.15">
      <c r="A32" s="156" t="s">
        <v>313</v>
      </c>
      <c r="B32" s="28" t="s">
        <v>405</v>
      </c>
      <c r="C32" s="48">
        <v>142285</v>
      </c>
      <c r="D32" s="48">
        <v>2012</v>
      </c>
      <c r="E32" s="49">
        <v>1</v>
      </c>
      <c r="F32" s="49">
        <v>12</v>
      </c>
      <c r="G32" s="50">
        <v>4618</v>
      </c>
      <c r="H32" s="50">
        <v>4001</v>
      </c>
      <c r="I32" s="51">
        <v>366481264</v>
      </c>
      <c r="J32" s="51"/>
      <c r="K32" s="51">
        <v>1644497</v>
      </c>
      <c r="L32" s="51"/>
      <c r="M32" s="51">
        <v>13945792</v>
      </c>
      <c r="N32" s="51"/>
      <c r="O32" s="51">
        <v>28184272</v>
      </c>
      <c r="P32" s="51"/>
      <c r="Q32" s="51">
        <v>161384189</v>
      </c>
      <c r="R32" s="51"/>
      <c r="S32" s="51">
        <v>163204192</v>
      </c>
      <c r="T32" s="51"/>
      <c r="U32" s="51">
        <v>13804</v>
      </c>
      <c r="V32" s="51"/>
      <c r="W32" s="51">
        <v>26324</v>
      </c>
      <c r="X32" s="51"/>
      <c r="Y32" s="51">
        <v>19100</v>
      </c>
      <c r="Z32" s="51"/>
      <c r="AA32" s="51">
        <v>31620</v>
      </c>
      <c r="AB32" s="51"/>
      <c r="AC32" s="74">
        <v>7</v>
      </c>
      <c r="AD32" s="74">
        <v>9</v>
      </c>
      <c r="AE32" s="74">
        <v>0</v>
      </c>
      <c r="AF32" s="29">
        <v>3036555</v>
      </c>
      <c r="AG32" s="29">
        <v>2122285</v>
      </c>
      <c r="AH32" s="29">
        <v>358836</v>
      </c>
      <c r="AI32" s="29">
        <v>135582</v>
      </c>
      <c r="AJ32" s="29">
        <v>124871.16</v>
      </c>
      <c r="AK32" s="73">
        <v>4.75</v>
      </c>
      <c r="AL32" s="29">
        <v>98856.33</v>
      </c>
      <c r="AM32" s="73">
        <v>6</v>
      </c>
      <c r="AN32" s="29">
        <v>88888.51</v>
      </c>
      <c r="AO32" s="73">
        <v>5.92</v>
      </c>
      <c r="AP32" s="29">
        <v>75174.289999999994</v>
      </c>
      <c r="AQ32" s="73">
        <v>7</v>
      </c>
      <c r="AR32" s="29">
        <v>102968.26</v>
      </c>
      <c r="AS32" s="73">
        <v>12.57</v>
      </c>
      <c r="AT32" s="29">
        <v>80894.44</v>
      </c>
      <c r="AU32" s="73">
        <v>16</v>
      </c>
      <c r="AV32" s="29">
        <v>47757.82</v>
      </c>
      <c r="AW32" s="73">
        <v>9.65</v>
      </c>
      <c r="AX32" s="29">
        <v>35451</v>
      </c>
      <c r="AY32" s="73">
        <v>13</v>
      </c>
      <c r="AZ32" s="105">
        <v>489788</v>
      </c>
      <c r="BA32" s="105">
        <v>77530</v>
      </c>
      <c r="BB32" s="105">
        <v>6740</v>
      </c>
      <c r="BC32" s="105">
        <v>8388</v>
      </c>
      <c r="BD32" s="105">
        <v>0</v>
      </c>
      <c r="BE32" s="105">
        <v>582446</v>
      </c>
      <c r="BF32" s="105">
        <v>0</v>
      </c>
      <c r="BG32" s="105">
        <v>0</v>
      </c>
      <c r="BH32" s="105">
        <v>0</v>
      </c>
      <c r="BI32" s="105">
        <v>0</v>
      </c>
      <c r="BJ32" s="105">
        <v>2330453</v>
      </c>
      <c r="BK32" s="105">
        <v>2330453</v>
      </c>
      <c r="BL32" s="105">
        <v>2075000</v>
      </c>
      <c r="BM32" s="105">
        <v>87000</v>
      </c>
      <c r="BN32" s="105">
        <v>44000</v>
      </c>
      <c r="BO32" s="105">
        <v>17592</v>
      </c>
      <c r="BP32" s="105">
        <v>0</v>
      </c>
      <c r="BQ32" s="105">
        <v>2223592</v>
      </c>
      <c r="BR32" s="105">
        <v>926379</v>
      </c>
      <c r="BS32" s="105">
        <v>149833</v>
      </c>
      <c r="BT32" s="105">
        <v>117552</v>
      </c>
      <c r="BU32" s="105">
        <v>769209</v>
      </c>
      <c r="BV32" s="105">
        <v>1220295</v>
      </c>
      <c r="BW32" s="105">
        <v>3183268</v>
      </c>
      <c r="BX32" s="105">
        <v>200000</v>
      </c>
      <c r="BY32" s="105">
        <v>98500</v>
      </c>
      <c r="BZ32" s="105">
        <v>20000</v>
      </c>
      <c r="CA32" s="105">
        <v>66300</v>
      </c>
      <c r="CB32" s="105">
        <v>17500</v>
      </c>
      <c r="CC32" s="105">
        <v>402300</v>
      </c>
      <c r="CD32" s="105">
        <v>677861</v>
      </c>
      <c r="CE32" s="105">
        <v>218731</v>
      </c>
      <c r="CF32" s="105">
        <v>138760</v>
      </c>
      <c r="CG32" s="105">
        <v>385579</v>
      </c>
      <c r="CH32" s="105">
        <v>1688778</v>
      </c>
      <c r="CI32" s="105">
        <v>3109709</v>
      </c>
      <c r="CJ32" s="105">
        <v>895180</v>
      </c>
      <c r="CK32" s="105">
        <v>141476</v>
      </c>
      <c r="CL32" s="105">
        <v>162760</v>
      </c>
      <c r="CM32" s="105">
        <v>905845</v>
      </c>
      <c r="CN32" s="105">
        <v>828977</v>
      </c>
      <c r="CO32" s="105">
        <v>2934238</v>
      </c>
      <c r="CP32" s="105">
        <v>0</v>
      </c>
      <c r="CQ32" s="105">
        <v>0</v>
      </c>
      <c r="CR32" s="105">
        <v>0</v>
      </c>
      <c r="CS32" s="105">
        <v>0</v>
      </c>
      <c r="CT32" s="105">
        <v>394510</v>
      </c>
      <c r="CU32" s="105">
        <v>394510</v>
      </c>
      <c r="CV32" s="105">
        <v>202658</v>
      </c>
      <c r="CW32" s="105">
        <v>37591</v>
      </c>
      <c r="CX32" s="105">
        <v>37807</v>
      </c>
      <c r="CY32" s="105">
        <v>285587</v>
      </c>
      <c r="CZ32" s="105">
        <v>967991</v>
      </c>
      <c r="DA32" s="105">
        <v>1531634</v>
      </c>
      <c r="DB32" s="105">
        <v>0</v>
      </c>
      <c r="DC32" s="105">
        <v>0</v>
      </c>
      <c r="DD32" s="105">
        <v>0</v>
      </c>
      <c r="DE32" s="105">
        <v>0</v>
      </c>
      <c r="DF32" s="105">
        <v>50000</v>
      </c>
      <c r="DG32" s="105">
        <v>50000</v>
      </c>
      <c r="DH32" s="105">
        <v>27468</v>
      </c>
      <c r="DI32" s="105">
        <v>3689</v>
      </c>
      <c r="DJ32" s="105">
        <v>1259</v>
      </c>
      <c r="DK32" s="105">
        <v>313</v>
      </c>
      <c r="DL32" s="105">
        <v>2802</v>
      </c>
      <c r="DM32" s="105">
        <v>35531</v>
      </c>
      <c r="DN32" s="105">
        <v>5450</v>
      </c>
      <c r="DO32" s="105">
        <v>0</v>
      </c>
      <c r="DP32" s="105">
        <v>0</v>
      </c>
      <c r="DQ32" s="105">
        <v>0</v>
      </c>
      <c r="DR32" s="105">
        <v>1064389</v>
      </c>
      <c r="DS32" s="105">
        <v>1069839</v>
      </c>
      <c r="DT32" s="105">
        <v>24480</v>
      </c>
      <c r="DU32" s="105">
        <v>16475</v>
      </c>
      <c r="DV32" s="105">
        <v>4400</v>
      </c>
      <c r="DW32" s="105">
        <v>102463</v>
      </c>
      <c r="DX32" s="105">
        <v>0</v>
      </c>
      <c r="DY32" s="105">
        <v>147818</v>
      </c>
      <c r="DZ32" s="105">
        <v>0</v>
      </c>
      <c r="EA32" s="105">
        <v>1670</v>
      </c>
      <c r="EB32" s="105">
        <v>0</v>
      </c>
      <c r="EC32" s="105">
        <v>0</v>
      </c>
      <c r="ED32" s="105">
        <v>219680</v>
      </c>
      <c r="EE32" s="105">
        <v>221350</v>
      </c>
      <c r="EF32" s="105">
        <v>3001</v>
      </c>
      <c r="EG32" s="105">
        <v>10573</v>
      </c>
      <c r="EH32" s="105">
        <v>0</v>
      </c>
      <c r="EI32" s="105">
        <v>9447</v>
      </c>
      <c r="EJ32" s="105">
        <v>344507</v>
      </c>
      <c r="EK32" s="105">
        <v>367528</v>
      </c>
      <c r="EL32" s="105">
        <v>5527265</v>
      </c>
      <c r="EM32" s="105">
        <v>843068</v>
      </c>
      <c r="EN32" s="105">
        <v>533278</v>
      </c>
      <c r="EO32" s="105">
        <v>2550723</v>
      </c>
      <c r="EP32" s="105">
        <v>9129882</v>
      </c>
      <c r="EQ32" s="105">
        <v>18584216</v>
      </c>
      <c r="ER32" s="105">
        <v>2210958</v>
      </c>
      <c r="ES32" s="105">
        <v>349315</v>
      </c>
      <c r="ET32" s="105">
        <v>372051</v>
      </c>
      <c r="EU32" s="105">
        <v>2226516</v>
      </c>
      <c r="EV32" s="105">
        <v>247415</v>
      </c>
      <c r="EW32" s="105">
        <v>5406255</v>
      </c>
      <c r="EX32" s="105">
        <v>250000</v>
      </c>
      <c r="EY32" s="105">
        <v>17655</v>
      </c>
      <c r="EZ32" s="105">
        <v>7477</v>
      </c>
      <c r="FA32" s="105">
        <v>0</v>
      </c>
      <c r="FB32" s="105">
        <v>0</v>
      </c>
      <c r="FC32" s="105">
        <v>275132</v>
      </c>
      <c r="FD32" s="105">
        <v>1225855</v>
      </c>
      <c r="FE32" s="105">
        <v>456283</v>
      </c>
      <c r="FF32" s="105">
        <v>294552</v>
      </c>
      <c r="FG32" s="105">
        <v>897842</v>
      </c>
      <c r="FH32" s="105">
        <v>0</v>
      </c>
      <c r="FI32" s="105">
        <v>2874532</v>
      </c>
      <c r="FJ32" s="105">
        <v>200000</v>
      </c>
      <c r="FK32" s="105">
        <v>98500</v>
      </c>
      <c r="FL32" s="105">
        <v>20000</v>
      </c>
      <c r="FM32" s="105">
        <v>66300</v>
      </c>
      <c r="FN32" s="105">
        <v>0</v>
      </c>
      <c r="FO32" s="105">
        <v>384800</v>
      </c>
      <c r="FP32" s="105">
        <v>96684</v>
      </c>
      <c r="FQ32" s="105">
        <v>30051</v>
      </c>
      <c r="FR32" s="105">
        <v>10605</v>
      </c>
      <c r="FS32" s="105">
        <v>5334</v>
      </c>
      <c r="FT32" s="105">
        <v>1759548</v>
      </c>
      <c r="FU32" s="105">
        <v>1902222</v>
      </c>
      <c r="FV32" s="105">
        <v>0</v>
      </c>
      <c r="FW32" s="105">
        <v>0</v>
      </c>
      <c r="FX32" s="105">
        <v>0</v>
      </c>
      <c r="FY32" s="105">
        <v>0</v>
      </c>
      <c r="FZ32" s="105">
        <v>17500</v>
      </c>
      <c r="GA32" s="105">
        <v>17500</v>
      </c>
      <c r="GB32" s="105">
        <v>56414</v>
      </c>
      <c r="GC32" s="105">
        <v>0</v>
      </c>
      <c r="GD32" s="105">
        <v>0</v>
      </c>
      <c r="GE32" s="105">
        <v>0</v>
      </c>
      <c r="GF32" s="105">
        <v>22241</v>
      </c>
      <c r="GG32" s="105">
        <v>78655</v>
      </c>
      <c r="GH32" s="105">
        <v>241299</v>
      </c>
      <c r="GI32" s="105">
        <v>105534</v>
      </c>
      <c r="GJ32" s="105">
        <v>50964</v>
      </c>
      <c r="GK32" s="105">
        <v>96621</v>
      </c>
      <c r="GL32" s="105">
        <v>0</v>
      </c>
      <c r="GM32" s="105">
        <v>494418</v>
      </c>
      <c r="GN32" s="105">
        <v>741724</v>
      </c>
      <c r="GO32" s="105">
        <v>248502</v>
      </c>
      <c r="GP32" s="105">
        <v>154868</v>
      </c>
      <c r="GQ32" s="105">
        <v>813436</v>
      </c>
      <c r="GR32" s="105">
        <v>0</v>
      </c>
      <c r="GS32" s="105">
        <v>1958530</v>
      </c>
      <c r="GT32" s="105">
        <v>200026</v>
      </c>
      <c r="GU32" s="105">
        <v>33479</v>
      </c>
      <c r="GV32" s="105">
        <v>25282</v>
      </c>
      <c r="GW32" s="105">
        <v>181820</v>
      </c>
      <c r="GX32" s="105">
        <v>172719</v>
      </c>
      <c r="GY32" s="105">
        <v>613326</v>
      </c>
      <c r="GZ32" s="105">
        <v>258749</v>
      </c>
      <c r="HA32" s="105">
        <v>150965</v>
      </c>
      <c r="HB32" s="105">
        <v>113872</v>
      </c>
      <c r="HC32" s="105">
        <v>78891</v>
      </c>
      <c r="HD32" s="105">
        <v>1000</v>
      </c>
      <c r="HE32" s="105">
        <v>603477</v>
      </c>
      <c r="HF32" s="105">
        <v>0</v>
      </c>
      <c r="HG32" s="105">
        <v>0</v>
      </c>
      <c r="HH32" s="105">
        <v>0</v>
      </c>
      <c r="HI32" s="105">
        <v>0</v>
      </c>
      <c r="HJ32" s="105">
        <v>491286</v>
      </c>
      <c r="HK32" s="105">
        <v>491286</v>
      </c>
      <c r="HL32" s="105">
        <v>20120</v>
      </c>
      <c r="HM32" s="105">
        <v>8975</v>
      </c>
      <c r="HN32" s="105">
        <v>1783</v>
      </c>
      <c r="HO32" s="105">
        <v>83937</v>
      </c>
      <c r="HP32" s="105">
        <v>0</v>
      </c>
      <c r="HQ32" s="105">
        <v>114815</v>
      </c>
      <c r="HR32" s="105">
        <v>525</v>
      </c>
      <c r="HS32" s="105">
        <v>2500</v>
      </c>
      <c r="HT32" s="105">
        <v>0</v>
      </c>
      <c r="HU32" s="105">
        <v>5637</v>
      </c>
      <c r="HV32" s="105">
        <v>274568</v>
      </c>
      <c r="HW32" s="105">
        <v>283230</v>
      </c>
      <c r="HX32" s="97">
        <v>0</v>
      </c>
      <c r="HY32" s="97">
        <v>0</v>
      </c>
      <c r="HZ32" s="97">
        <v>0</v>
      </c>
      <c r="IA32" s="97">
        <v>0</v>
      </c>
      <c r="IB32" s="97">
        <v>0</v>
      </c>
      <c r="IC32" s="97">
        <v>0</v>
      </c>
      <c r="ID32" s="105">
        <v>0</v>
      </c>
      <c r="IE32" s="105">
        <v>0</v>
      </c>
      <c r="IF32" s="105">
        <v>0</v>
      </c>
      <c r="IG32" s="105">
        <v>0</v>
      </c>
      <c r="IH32" s="105">
        <v>394510</v>
      </c>
      <c r="II32" s="105">
        <v>394510</v>
      </c>
      <c r="IJ32" s="105">
        <v>0</v>
      </c>
      <c r="IK32" s="105">
        <v>0</v>
      </c>
      <c r="IL32" s="105">
        <v>0</v>
      </c>
      <c r="IM32" s="105">
        <v>0</v>
      </c>
      <c r="IN32" s="105">
        <v>368250</v>
      </c>
      <c r="IO32" s="105">
        <v>368250</v>
      </c>
      <c r="IP32" s="105">
        <v>0</v>
      </c>
      <c r="IQ32" s="105">
        <v>510</v>
      </c>
      <c r="IR32" s="105">
        <v>0</v>
      </c>
      <c r="IS32" s="105">
        <v>3225</v>
      </c>
      <c r="IT32" s="105">
        <v>415780</v>
      </c>
      <c r="IU32" s="105">
        <v>419515</v>
      </c>
      <c r="IV32" s="105">
        <v>484948</v>
      </c>
      <c r="IW32" s="105">
        <v>193616</v>
      </c>
      <c r="IX32" s="105">
        <v>106305</v>
      </c>
      <c r="IY32" s="105">
        <v>145219</v>
      </c>
      <c r="IZ32" s="105">
        <v>760999</v>
      </c>
      <c r="JA32" s="105">
        <v>1691087</v>
      </c>
      <c r="JB32" s="105">
        <v>5987302</v>
      </c>
      <c r="JC32" s="105">
        <v>1695885</v>
      </c>
      <c r="JD32" s="105">
        <v>1157759</v>
      </c>
      <c r="JE32" s="105">
        <v>4604778</v>
      </c>
      <c r="JF32" s="105">
        <v>4925816</v>
      </c>
      <c r="JG32" s="105">
        <v>18371540</v>
      </c>
      <c r="JH32" s="97">
        <v>0</v>
      </c>
      <c r="JI32" s="97">
        <v>0</v>
      </c>
      <c r="JJ32" s="97">
        <v>0</v>
      </c>
      <c r="JK32" s="97">
        <v>0</v>
      </c>
      <c r="JL32" s="97">
        <v>0</v>
      </c>
      <c r="JM32" s="97">
        <v>0</v>
      </c>
      <c r="JN32" s="105">
        <v>5987302</v>
      </c>
      <c r="JO32" s="105">
        <v>1695885</v>
      </c>
      <c r="JP32" s="105">
        <v>1157759</v>
      </c>
      <c r="JQ32" s="105">
        <v>4604778</v>
      </c>
      <c r="JR32" s="105">
        <v>4925816</v>
      </c>
      <c r="JS32" s="105">
        <v>18371540</v>
      </c>
      <c r="JU32" s="5">
        <f t="shared" si="78"/>
        <v>582446</v>
      </c>
      <c r="JV32" s="29">
        <f t="shared" si="79"/>
        <v>0</v>
      </c>
      <c r="JW32" s="5">
        <f t="shared" si="80"/>
        <v>2330453</v>
      </c>
      <c r="JX32" s="29">
        <f t="shared" si="81"/>
        <v>0</v>
      </c>
      <c r="JY32" s="5">
        <f t="shared" si="82"/>
        <v>2223592</v>
      </c>
      <c r="JZ32" s="29">
        <f t="shared" si="83"/>
        <v>0</v>
      </c>
      <c r="KA32" s="5">
        <f t="shared" si="84"/>
        <v>3183268</v>
      </c>
      <c r="KB32" s="29">
        <f t="shared" si="85"/>
        <v>0</v>
      </c>
      <c r="KC32" s="5">
        <f t="shared" si="86"/>
        <v>402300</v>
      </c>
      <c r="KD32" s="29">
        <f t="shared" si="87"/>
        <v>0</v>
      </c>
      <c r="KE32" s="5">
        <f t="shared" si="88"/>
        <v>3109709</v>
      </c>
      <c r="KF32" s="29">
        <f t="shared" si="89"/>
        <v>0</v>
      </c>
      <c r="KG32" s="5">
        <f t="shared" si="90"/>
        <v>2934238</v>
      </c>
      <c r="KH32" s="29">
        <f t="shared" si="91"/>
        <v>0</v>
      </c>
      <c r="KI32" s="5">
        <f t="shared" si="92"/>
        <v>394510</v>
      </c>
      <c r="KJ32" s="29">
        <f t="shared" si="93"/>
        <v>0</v>
      </c>
      <c r="KK32" s="5">
        <f t="shared" si="94"/>
        <v>1531634</v>
      </c>
      <c r="KL32" s="29">
        <f t="shared" si="95"/>
        <v>0</v>
      </c>
      <c r="KM32" s="5">
        <f t="shared" si="96"/>
        <v>50000</v>
      </c>
      <c r="KN32" s="29">
        <f t="shared" si="97"/>
        <v>0</v>
      </c>
      <c r="KO32" s="5">
        <f t="shared" si="98"/>
        <v>35531</v>
      </c>
      <c r="KP32" s="29">
        <f t="shared" si="99"/>
        <v>0</v>
      </c>
      <c r="KQ32" s="5">
        <f t="shared" si="100"/>
        <v>1069839</v>
      </c>
      <c r="KR32" s="29">
        <f t="shared" si="101"/>
        <v>0</v>
      </c>
      <c r="KS32" s="5">
        <f t="shared" si="102"/>
        <v>147818</v>
      </c>
      <c r="KT32" s="29">
        <f t="shared" si="103"/>
        <v>0</v>
      </c>
      <c r="KU32" s="5">
        <f t="shared" si="104"/>
        <v>221350</v>
      </c>
      <c r="KV32" s="29">
        <f t="shared" si="105"/>
        <v>0</v>
      </c>
      <c r="KW32" s="5">
        <f t="shared" si="106"/>
        <v>367528</v>
      </c>
      <c r="KX32" s="29">
        <f t="shared" si="107"/>
        <v>0</v>
      </c>
      <c r="KY32" s="5">
        <f t="shared" si="108"/>
        <v>18584216</v>
      </c>
      <c r="KZ32" s="29">
        <f t="shared" si="109"/>
        <v>0</v>
      </c>
      <c r="LA32" s="5">
        <f t="shared" si="110"/>
        <v>5406255</v>
      </c>
      <c r="LB32" s="29">
        <f t="shared" si="111"/>
        <v>0</v>
      </c>
      <c r="LC32" s="5">
        <f t="shared" si="112"/>
        <v>275132</v>
      </c>
      <c r="LD32" s="29">
        <f t="shared" si="113"/>
        <v>0</v>
      </c>
      <c r="LE32" s="5">
        <f t="shared" si="114"/>
        <v>2874532</v>
      </c>
      <c r="LF32" s="29">
        <f t="shared" si="115"/>
        <v>0</v>
      </c>
      <c r="LG32" s="5">
        <f t="shared" si="116"/>
        <v>384800</v>
      </c>
      <c r="LH32" s="29">
        <f t="shared" si="117"/>
        <v>0</v>
      </c>
      <c r="LI32" s="5">
        <f t="shared" si="118"/>
        <v>1902222</v>
      </c>
      <c r="LJ32" s="29">
        <f t="shared" si="119"/>
        <v>0</v>
      </c>
      <c r="LK32" s="5">
        <f t="shared" si="120"/>
        <v>17500</v>
      </c>
      <c r="LL32" s="29">
        <f t="shared" si="121"/>
        <v>0</v>
      </c>
      <c r="LM32" s="5">
        <f t="shared" si="122"/>
        <v>78655</v>
      </c>
      <c r="LN32" s="29">
        <f t="shared" si="123"/>
        <v>0</v>
      </c>
      <c r="LO32" s="5">
        <f t="shared" si="124"/>
        <v>494418</v>
      </c>
      <c r="LP32" s="29">
        <f t="shared" si="125"/>
        <v>0</v>
      </c>
      <c r="LQ32" s="5">
        <f t="shared" si="126"/>
        <v>1958530</v>
      </c>
      <c r="LR32" s="29">
        <f t="shared" si="127"/>
        <v>0</v>
      </c>
      <c r="LS32" s="5">
        <f t="shared" si="128"/>
        <v>613326</v>
      </c>
      <c r="LT32" s="29">
        <f t="shared" si="129"/>
        <v>0</v>
      </c>
      <c r="LU32" s="5">
        <f t="shared" si="130"/>
        <v>603477</v>
      </c>
      <c r="LV32" s="29">
        <f t="shared" si="131"/>
        <v>0</v>
      </c>
      <c r="LW32" s="5">
        <f t="shared" si="132"/>
        <v>491286</v>
      </c>
      <c r="LX32" s="29">
        <f t="shared" si="133"/>
        <v>0</v>
      </c>
      <c r="LY32" s="5">
        <f t="shared" si="134"/>
        <v>114815</v>
      </c>
      <c r="LZ32" s="29">
        <f t="shared" si="135"/>
        <v>0</v>
      </c>
      <c r="MA32" s="5">
        <f t="shared" si="136"/>
        <v>283230</v>
      </c>
      <c r="MB32" s="29">
        <f t="shared" si="137"/>
        <v>0</v>
      </c>
      <c r="MC32" s="5">
        <f t="shared" si="138"/>
        <v>0</v>
      </c>
      <c r="MD32" s="29">
        <f t="shared" si="139"/>
        <v>0</v>
      </c>
      <c r="ME32" s="5">
        <f t="shared" si="140"/>
        <v>394510</v>
      </c>
      <c r="MF32" s="29">
        <f t="shared" si="141"/>
        <v>0</v>
      </c>
      <c r="MG32" s="5">
        <f t="shared" si="142"/>
        <v>368250</v>
      </c>
      <c r="MH32" s="29">
        <f t="shared" si="143"/>
        <v>0</v>
      </c>
      <c r="MI32" s="5">
        <f t="shared" si="144"/>
        <v>419515</v>
      </c>
      <c r="MJ32" s="29">
        <f t="shared" si="145"/>
        <v>0</v>
      </c>
      <c r="MK32" s="5">
        <f t="shared" si="146"/>
        <v>1691087</v>
      </c>
      <c r="ML32" s="29">
        <f t="shared" si="147"/>
        <v>0</v>
      </c>
      <c r="MM32" s="5">
        <f t="shared" si="148"/>
        <v>18371540</v>
      </c>
      <c r="MN32" s="29">
        <f t="shared" si="149"/>
        <v>0</v>
      </c>
      <c r="MO32" s="5">
        <f t="shared" si="150"/>
        <v>0</v>
      </c>
      <c r="MP32" s="29">
        <f t="shared" si="151"/>
        <v>0</v>
      </c>
      <c r="MQ32" s="5">
        <f t="shared" si="152"/>
        <v>18371540</v>
      </c>
      <c r="MR32" s="29">
        <f t="shared" si="153"/>
        <v>0</v>
      </c>
      <c r="MT32" s="5">
        <f t="shared" si="76"/>
        <v>0</v>
      </c>
      <c r="MV32" s="4">
        <f t="shared" si="77"/>
        <v>0</v>
      </c>
    </row>
    <row r="33" spans="1:360" x14ac:dyDescent="0.15">
      <c r="A33" s="156" t="s">
        <v>314</v>
      </c>
      <c r="B33" s="28" t="s">
        <v>461</v>
      </c>
      <c r="C33" s="47">
        <v>182290</v>
      </c>
      <c r="D33" s="48">
        <v>2012</v>
      </c>
      <c r="E33" s="49">
        <v>1</v>
      </c>
      <c r="F33" s="49">
        <v>3</v>
      </c>
      <c r="G33" s="50">
        <v>16863</v>
      </c>
      <c r="H33" s="50">
        <v>14967</v>
      </c>
      <c r="I33" s="51">
        <v>4772058000</v>
      </c>
      <c r="J33" s="51"/>
      <c r="K33" s="51">
        <v>9516401</v>
      </c>
      <c r="L33" s="51"/>
      <c r="M33" s="51">
        <v>65561739</v>
      </c>
      <c r="N33" s="51"/>
      <c r="O33" s="51">
        <v>117067916</v>
      </c>
      <c r="P33" s="51"/>
      <c r="Q33" s="51">
        <v>890088917</v>
      </c>
      <c r="R33" s="51"/>
      <c r="S33" s="51">
        <v>3503697000</v>
      </c>
      <c r="T33" s="51"/>
      <c r="U33" s="51">
        <v>25780</v>
      </c>
      <c r="V33" s="51"/>
      <c r="W33" s="51">
        <v>39843</v>
      </c>
      <c r="X33" s="51"/>
      <c r="Y33" s="51">
        <v>28204</v>
      </c>
      <c r="Z33" s="51"/>
      <c r="AA33" s="51">
        <v>42346</v>
      </c>
      <c r="AB33" s="51"/>
      <c r="AC33" s="72">
        <v>10</v>
      </c>
      <c r="AD33" s="72">
        <v>11</v>
      </c>
      <c r="AE33" s="72">
        <v>0</v>
      </c>
      <c r="AF33" s="29">
        <v>5586692</v>
      </c>
      <c r="AG33" s="29">
        <v>4342351</v>
      </c>
      <c r="AH33" s="29">
        <v>1020797</v>
      </c>
      <c r="AI33" s="29">
        <v>393852</v>
      </c>
      <c r="AJ33" s="29">
        <v>541123.25</v>
      </c>
      <c r="AK33" s="73">
        <v>8</v>
      </c>
      <c r="AL33" s="29">
        <v>541123.25</v>
      </c>
      <c r="AM33" s="73">
        <v>8</v>
      </c>
      <c r="AN33" s="29">
        <v>145738</v>
      </c>
      <c r="AO33" s="73">
        <v>9</v>
      </c>
      <c r="AP33" s="29">
        <v>145738</v>
      </c>
      <c r="AQ33" s="73">
        <v>9</v>
      </c>
      <c r="AR33" s="29">
        <v>172879</v>
      </c>
      <c r="AS33" s="73">
        <v>22</v>
      </c>
      <c r="AT33" s="29">
        <v>172879</v>
      </c>
      <c r="AU33" s="73">
        <v>22</v>
      </c>
      <c r="AV33" s="29">
        <v>68740.41</v>
      </c>
      <c r="AW33" s="73">
        <v>17</v>
      </c>
      <c r="AX33" s="29">
        <v>68740.41</v>
      </c>
      <c r="AY33" s="73">
        <v>17</v>
      </c>
      <c r="AZ33" s="97">
        <v>12661590</v>
      </c>
      <c r="BA33" s="97">
        <v>7387020</v>
      </c>
      <c r="BB33" s="97">
        <v>19350</v>
      </c>
      <c r="BC33" s="97">
        <v>129045</v>
      </c>
      <c r="BD33" s="97">
        <v>259239</v>
      </c>
      <c r="BE33" s="97">
        <v>20456244</v>
      </c>
      <c r="BF33" s="97">
        <v>0</v>
      </c>
      <c r="BG33" s="97">
        <v>0</v>
      </c>
      <c r="BH33" s="97">
        <v>0</v>
      </c>
      <c r="BI33" s="97">
        <v>0</v>
      </c>
      <c r="BJ33" s="97">
        <v>3000718</v>
      </c>
      <c r="BK33" s="97">
        <v>3000718</v>
      </c>
      <c r="BL33" s="97">
        <v>0</v>
      </c>
      <c r="BM33" s="97">
        <v>0</v>
      </c>
      <c r="BN33" s="97">
        <v>0</v>
      </c>
      <c r="BO33" s="97">
        <v>28200</v>
      </c>
      <c r="BP33" s="97">
        <v>0</v>
      </c>
      <c r="BQ33" s="97">
        <v>28200</v>
      </c>
      <c r="BR33" s="97">
        <v>3204144</v>
      </c>
      <c r="BS33" s="97">
        <v>450270</v>
      </c>
      <c r="BT33" s="97">
        <v>478033</v>
      </c>
      <c r="BU33" s="97">
        <v>4584233</v>
      </c>
      <c r="BV33" s="97">
        <v>6913163</v>
      </c>
      <c r="BW33" s="97">
        <v>15629843</v>
      </c>
      <c r="BX33" s="97">
        <v>0</v>
      </c>
      <c r="BY33" s="97">
        <v>0</v>
      </c>
      <c r="BZ33" s="97">
        <v>0</v>
      </c>
      <c r="CA33" s="97">
        <v>0</v>
      </c>
      <c r="CB33" s="97">
        <v>0</v>
      </c>
      <c r="CC33" s="97">
        <v>0</v>
      </c>
      <c r="CD33" s="97">
        <v>0</v>
      </c>
      <c r="CE33" s="97">
        <v>0</v>
      </c>
      <c r="CF33" s="97">
        <v>0</v>
      </c>
      <c r="CG33" s="97">
        <v>0</v>
      </c>
      <c r="CH33" s="97">
        <v>0</v>
      </c>
      <c r="CI33" s="97">
        <v>0</v>
      </c>
      <c r="CJ33" s="97">
        <v>873</v>
      </c>
      <c r="CK33" s="97">
        <v>1443</v>
      </c>
      <c r="CL33" s="97">
        <v>0</v>
      </c>
      <c r="CM33" s="97">
        <v>924800</v>
      </c>
      <c r="CN33" s="97">
        <v>10056</v>
      </c>
      <c r="CO33" s="97">
        <v>937172</v>
      </c>
      <c r="CP33" s="97">
        <v>0</v>
      </c>
      <c r="CQ33" s="97">
        <v>0</v>
      </c>
      <c r="CR33" s="97">
        <v>0</v>
      </c>
      <c r="CS33" s="97">
        <v>0</v>
      </c>
      <c r="CT33" s="97">
        <v>0</v>
      </c>
      <c r="CU33" s="97">
        <v>0</v>
      </c>
      <c r="CV33" s="97">
        <v>11316908</v>
      </c>
      <c r="CW33" s="97">
        <v>5282402</v>
      </c>
      <c r="CX33" s="97">
        <v>54476</v>
      </c>
      <c r="CY33" s="97">
        <v>321304</v>
      </c>
      <c r="CZ33" s="97">
        <v>8282511</v>
      </c>
      <c r="DA33" s="97">
        <v>25257601</v>
      </c>
      <c r="DB33" s="97">
        <v>553086</v>
      </c>
      <c r="DC33" s="97">
        <v>675983</v>
      </c>
      <c r="DD33" s="97">
        <v>22288</v>
      </c>
      <c r="DE33" s="97">
        <v>22288</v>
      </c>
      <c r="DF33" s="97">
        <v>0</v>
      </c>
      <c r="DG33" s="97">
        <v>1273645</v>
      </c>
      <c r="DH33" s="97">
        <v>1401321</v>
      </c>
      <c r="DI33" s="97">
        <v>615324</v>
      </c>
      <c r="DJ33" s="97">
        <v>27075</v>
      </c>
      <c r="DK33" s="97">
        <v>57345</v>
      </c>
      <c r="DL33" s="97">
        <v>394319</v>
      </c>
      <c r="DM33" s="97">
        <v>2495384</v>
      </c>
      <c r="DN33" s="97">
        <v>1136913</v>
      </c>
      <c r="DO33" s="97">
        <v>1030705</v>
      </c>
      <c r="DP33" s="97">
        <v>121787</v>
      </c>
      <c r="DQ33" s="97">
        <v>460345</v>
      </c>
      <c r="DR33" s="97">
        <v>1734275</v>
      </c>
      <c r="DS33" s="97">
        <v>4484025</v>
      </c>
      <c r="DT33" s="97">
        <v>82295</v>
      </c>
      <c r="DU33" s="97">
        <v>292721</v>
      </c>
      <c r="DV33" s="97">
        <v>55529</v>
      </c>
      <c r="DW33" s="97">
        <v>971910</v>
      </c>
      <c r="DX33" s="97">
        <v>197594</v>
      </c>
      <c r="DY33" s="97">
        <v>1600049</v>
      </c>
      <c r="DZ33" s="97">
        <v>388240</v>
      </c>
      <c r="EA33" s="97">
        <v>195650</v>
      </c>
      <c r="EB33" s="97">
        <v>84048</v>
      </c>
      <c r="EC33" s="97">
        <v>200020</v>
      </c>
      <c r="ED33" s="97">
        <v>1298043</v>
      </c>
      <c r="EE33" s="97">
        <v>2166001</v>
      </c>
      <c r="EF33" s="97">
        <v>70804</v>
      </c>
      <c r="EG33" s="97">
        <v>0</v>
      </c>
      <c r="EH33" s="97">
        <v>0</v>
      </c>
      <c r="EI33" s="97">
        <v>0</v>
      </c>
      <c r="EJ33" s="97">
        <v>1308564</v>
      </c>
      <c r="EK33" s="97">
        <v>1379368</v>
      </c>
      <c r="EL33" s="97">
        <v>30816174</v>
      </c>
      <c r="EM33" s="97">
        <v>15931518</v>
      </c>
      <c r="EN33" s="97">
        <v>862586</v>
      </c>
      <c r="EO33" s="97">
        <v>7699490</v>
      </c>
      <c r="EP33" s="97">
        <v>23398482</v>
      </c>
      <c r="EQ33" s="97">
        <v>78708250</v>
      </c>
      <c r="ER33" s="97">
        <v>3393602</v>
      </c>
      <c r="ES33" s="97">
        <v>454713</v>
      </c>
      <c r="ET33" s="97">
        <v>588852</v>
      </c>
      <c r="EU33" s="97">
        <v>5491876</v>
      </c>
      <c r="EV33" s="97">
        <v>0</v>
      </c>
      <c r="EW33" s="97">
        <v>9929043</v>
      </c>
      <c r="EX33" s="97">
        <v>1800000</v>
      </c>
      <c r="EY33" s="97">
        <v>631415</v>
      </c>
      <c r="EZ33" s="97">
        <v>20128</v>
      </c>
      <c r="FA33" s="97">
        <v>27697</v>
      </c>
      <c r="FB33" s="97">
        <v>0</v>
      </c>
      <c r="FC33" s="97">
        <v>2479240</v>
      </c>
      <c r="FD33" s="97">
        <v>4333615</v>
      </c>
      <c r="FE33" s="97">
        <v>2409081</v>
      </c>
      <c r="FF33" s="97">
        <v>737323</v>
      </c>
      <c r="FG33" s="97">
        <v>3132534</v>
      </c>
      <c r="FH33" s="97">
        <v>0</v>
      </c>
      <c r="FI33" s="97">
        <v>10612553</v>
      </c>
      <c r="FJ33" s="97">
        <v>0</v>
      </c>
      <c r="FK33" s="97">
        <v>0</v>
      </c>
      <c r="FL33" s="97">
        <v>0</v>
      </c>
      <c r="FM33" s="97">
        <v>0</v>
      </c>
      <c r="FN33" s="97">
        <v>0</v>
      </c>
      <c r="FO33" s="97">
        <v>0</v>
      </c>
      <c r="FP33" s="97">
        <v>1198377</v>
      </c>
      <c r="FQ33" s="97">
        <v>455989</v>
      </c>
      <c r="FR33" s="97">
        <v>182086</v>
      </c>
      <c r="FS33" s="97">
        <v>190291</v>
      </c>
      <c r="FT33" s="97">
        <v>10951888</v>
      </c>
      <c r="FU33" s="97">
        <v>12978631</v>
      </c>
      <c r="FV33" s="97">
        <v>0</v>
      </c>
      <c r="FW33" s="97">
        <v>0</v>
      </c>
      <c r="FX33" s="97">
        <v>0</v>
      </c>
      <c r="FY33" s="97">
        <v>0</v>
      </c>
      <c r="FZ33" s="97">
        <v>0</v>
      </c>
      <c r="GA33" s="97">
        <v>0</v>
      </c>
      <c r="GB33" s="97">
        <v>960972</v>
      </c>
      <c r="GC33" s="97">
        <v>413320</v>
      </c>
      <c r="GD33" s="97">
        <v>117292</v>
      </c>
      <c r="GE33" s="97">
        <v>0</v>
      </c>
      <c r="GF33" s="97">
        <v>58227</v>
      </c>
      <c r="GG33" s="97">
        <v>1549811</v>
      </c>
      <c r="GH33" s="97">
        <v>614529</v>
      </c>
      <c r="GI33" s="97">
        <v>231473</v>
      </c>
      <c r="GJ33" s="97">
        <v>138795</v>
      </c>
      <c r="GK33" s="97">
        <v>429852</v>
      </c>
      <c r="GL33" s="97">
        <v>0</v>
      </c>
      <c r="GM33" s="97">
        <v>1414649</v>
      </c>
      <c r="GN33" s="97">
        <v>1869727</v>
      </c>
      <c r="GO33" s="97">
        <v>817790</v>
      </c>
      <c r="GP33" s="97">
        <v>491930</v>
      </c>
      <c r="GQ33" s="97">
        <v>1921039</v>
      </c>
      <c r="GR33" s="97">
        <v>0</v>
      </c>
      <c r="GS33" s="97">
        <v>5100486</v>
      </c>
      <c r="GT33" s="97">
        <v>624305</v>
      </c>
      <c r="GU33" s="97">
        <v>198928</v>
      </c>
      <c r="GV33" s="97">
        <v>121900</v>
      </c>
      <c r="GW33" s="97">
        <v>683099</v>
      </c>
      <c r="GX33" s="97">
        <v>26283</v>
      </c>
      <c r="GY33" s="97">
        <v>1654515</v>
      </c>
      <c r="GZ33" s="97">
        <v>1461674</v>
      </c>
      <c r="HA33" s="97">
        <v>936706</v>
      </c>
      <c r="HB33" s="97">
        <v>225312</v>
      </c>
      <c r="HC33" s="97">
        <v>230978</v>
      </c>
      <c r="HD33" s="97">
        <v>290</v>
      </c>
      <c r="HE33" s="97">
        <v>2854960</v>
      </c>
      <c r="HF33" s="97">
        <v>0</v>
      </c>
      <c r="HG33" s="97">
        <v>0</v>
      </c>
      <c r="HH33" s="97">
        <v>0</v>
      </c>
      <c r="HI33" s="97">
        <v>0</v>
      </c>
      <c r="HJ33" s="97">
        <v>3373682</v>
      </c>
      <c r="HK33" s="97">
        <v>3373682</v>
      </c>
      <c r="HL33" s="97">
        <v>66846</v>
      </c>
      <c r="HM33" s="97">
        <v>255966</v>
      </c>
      <c r="HN33" s="97">
        <v>52692</v>
      </c>
      <c r="HO33" s="97">
        <v>563215</v>
      </c>
      <c r="HP33" s="97">
        <v>121550</v>
      </c>
      <c r="HQ33" s="97">
        <v>1060269</v>
      </c>
      <c r="HR33" s="97">
        <v>0</v>
      </c>
      <c r="HS33" s="97">
        <v>0</v>
      </c>
      <c r="HT33" s="97">
        <v>0</v>
      </c>
      <c r="HU33" s="97">
        <v>0</v>
      </c>
      <c r="HV33" s="97">
        <v>16990372</v>
      </c>
      <c r="HW33" s="97">
        <v>16990372</v>
      </c>
      <c r="HX33" s="97">
        <v>2136</v>
      </c>
      <c r="HY33" s="97">
        <v>5375</v>
      </c>
      <c r="HZ33" s="97">
        <v>3301</v>
      </c>
      <c r="IA33" s="97">
        <v>1675</v>
      </c>
      <c r="IB33" s="97">
        <v>319638</v>
      </c>
      <c r="IC33" s="97">
        <v>332125</v>
      </c>
      <c r="ID33" s="97">
        <v>0</v>
      </c>
      <c r="IE33" s="97">
        <v>0</v>
      </c>
      <c r="IF33" s="97">
        <v>0</v>
      </c>
      <c r="IG33" s="97">
        <v>0</v>
      </c>
      <c r="IH33" s="97">
        <v>0</v>
      </c>
      <c r="II33" s="97">
        <v>0</v>
      </c>
      <c r="IJ33" s="97">
        <v>22614</v>
      </c>
      <c r="IK33" s="97">
        <v>2033</v>
      </c>
      <c r="IL33" s="97">
        <v>743</v>
      </c>
      <c r="IM33" s="97">
        <v>2045</v>
      </c>
      <c r="IN33" s="97">
        <v>486898</v>
      </c>
      <c r="IO33" s="97">
        <v>514333</v>
      </c>
      <c r="IP33" s="97">
        <v>3956</v>
      </c>
      <c r="IQ33" s="97">
        <v>10211</v>
      </c>
      <c r="IR33" s="97">
        <v>799</v>
      </c>
      <c r="IS33" s="97">
        <v>6251</v>
      </c>
      <c r="IT33" s="97">
        <v>130261</v>
      </c>
      <c r="IU33" s="97">
        <v>151478</v>
      </c>
      <c r="IV33" s="97">
        <v>359941</v>
      </c>
      <c r="IW33" s="97">
        <v>216150</v>
      </c>
      <c r="IX33" s="97">
        <v>61730</v>
      </c>
      <c r="IY33" s="97">
        <v>334762</v>
      </c>
      <c r="IZ33" s="97">
        <v>4772006</v>
      </c>
      <c r="JA33" s="97">
        <v>5744589</v>
      </c>
      <c r="JB33" s="97">
        <v>16712294</v>
      </c>
      <c r="JC33" s="97">
        <v>7039150</v>
      </c>
      <c r="JD33" s="97">
        <v>2742883</v>
      </c>
      <c r="JE33" s="97">
        <v>13015314</v>
      </c>
      <c r="JF33" s="97">
        <v>37231095</v>
      </c>
      <c r="JG33" s="97">
        <v>76740736</v>
      </c>
      <c r="JH33" s="97">
        <v>0</v>
      </c>
      <c r="JI33" s="97">
        <v>0</v>
      </c>
      <c r="JJ33" s="97">
        <v>0</v>
      </c>
      <c r="JK33" s="97">
        <v>0</v>
      </c>
      <c r="JL33" s="97">
        <v>0</v>
      </c>
      <c r="JM33" s="97">
        <v>0</v>
      </c>
      <c r="JN33" s="97">
        <v>16712294</v>
      </c>
      <c r="JO33" s="97">
        <v>7039150</v>
      </c>
      <c r="JP33" s="97">
        <v>2742883</v>
      </c>
      <c r="JQ33" s="97">
        <v>13015314</v>
      </c>
      <c r="JR33" s="97">
        <v>37231095</v>
      </c>
      <c r="JS33" s="97">
        <v>76740736</v>
      </c>
      <c r="JU33" s="5">
        <f t="shared" si="78"/>
        <v>20456244</v>
      </c>
      <c r="JV33" s="29">
        <f t="shared" si="79"/>
        <v>0</v>
      </c>
      <c r="JW33" s="5">
        <f t="shared" si="80"/>
        <v>3000718</v>
      </c>
      <c r="JX33" s="29">
        <f t="shared" si="81"/>
        <v>0</v>
      </c>
      <c r="JY33" s="5">
        <f t="shared" si="82"/>
        <v>28200</v>
      </c>
      <c r="JZ33" s="29">
        <f t="shared" si="83"/>
        <v>0</v>
      </c>
      <c r="KA33" s="5">
        <f t="shared" si="84"/>
        <v>15629843</v>
      </c>
      <c r="KB33" s="29">
        <f t="shared" si="85"/>
        <v>0</v>
      </c>
      <c r="KC33" s="5">
        <f t="shared" si="86"/>
        <v>0</v>
      </c>
      <c r="KD33" s="29">
        <f t="shared" si="87"/>
        <v>0</v>
      </c>
      <c r="KE33" s="5">
        <f t="shared" si="88"/>
        <v>0</v>
      </c>
      <c r="KF33" s="29">
        <f t="shared" si="89"/>
        <v>0</v>
      </c>
      <c r="KG33" s="5">
        <f t="shared" si="90"/>
        <v>937172</v>
      </c>
      <c r="KH33" s="29">
        <f t="shared" si="91"/>
        <v>0</v>
      </c>
      <c r="KI33" s="5">
        <f t="shared" si="92"/>
        <v>0</v>
      </c>
      <c r="KJ33" s="29">
        <f t="shared" si="93"/>
        <v>0</v>
      </c>
      <c r="KK33" s="5">
        <f t="shared" si="94"/>
        <v>25257601</v>
      </c>
      <c r="KL33" s="29">
        <f t="shared" si="95"/>
        <v>0</v>
      </c>
      <c r="KM33" s="5">
        <f t="shared" si="96"/>
        <v>1273645</v>
      </c>
      <c r="KN33" s="29">
        <f t="shared" si="97"/>
        <v>0</v>
      </c>
      <c r="KO33" s="5">
        <f t="shared" si="98"/>
        <v>2495384</v>
      </c>
      <c r="KP33" s="29">
        <f t="shared" si="99"/>
        <v>0</v>
      </c>
      <c r="KQ33" s="5">
        <f t="shared" si="100"/>
        <v>4484025</v>
      </c>
      <c r="KR33" s="29">
        <f t="shared" si="101"/>
        <v>0</v>
      </c>
      <c r="KS33" s="5">
        <f t="shared" si="102"/>
        <v>1600049</v>
      </c>
      <c r="KT33" s="29">
        <f t="shared" si="103"/>
        <v>0</v>
      </c>
      <c r="KU33" s="5">
        <f t="shared" si="104"/>
        <v>2166001</v>
      </c>
      <c r="KV33" s="29">
        <f t="shared" si="105"/>
        <v>0</v>
      </c>
      <c r="KW33" s="5">
        <f t="shared" si="106"/>
        <v>1379368</v>
      </c>
      <c r="KX33" s="29">
        <f t="shared" si="107"/>
        <v>0</v>
      </c>
      <c r="KY33" s="5">
        <f t="shared" si="108"/>
        <v>78708250</v>
      </c>
      <c r="KZ33" s="29">
        <f t="shared" si="109"/>
        <v>0</v>
      </c>
      <c r="LA33" s="5">
        <f t="shared" si="110"/>
        <v>9929043</v>
      </c>
      <c r="LB33" s="29">
        <f t="shared" si="111"/>
        <v>0</v>
      </c>
      <c r="LC33" s="5">
        <f t="shared" si="112"/>
        <v>2479240</v>
      </c>
      <c r="LD33" s="29">
        <f t="shared" si="113"/>
        <v>0</v>
      </c>
      <c r="LE33" s="5">
        <f t="shared" si="114"/>
        <v>10612553</v>
      </c>
      <c r="LF33" s="29">
        <f t="shared" si="115"/>
        <v>0</v>
      </c>
      <c r="LG33" s="5">
        <f t="shared" si="116"/>
        <v>0</v>
      </c>
      <c r="LH33" s="29">
        <f t="shared" si="117"/>
        <v>0</v>
      </c>
      <c r="LI33" s="5">
        <f t="shared" si="118"/>
        <v>12978631</v>
      </c>
      <c r="LJ33" s="29">
        <f t="shared" si="119"/>
        <v>0</v>
      </c>
      <c r="LK33" s="5">
        <f t="shared" si="120"/>
        <v>0</v>
      </c>
      <c r="LL33" s="29">
        <f t="shared" si="121"/>
        <v>0</v>
      </c>
      <c r="LM33" s="5">
        <f t="shared" si="122"/>
        <v>1549811</v>
      </c>
      <c r="LN33" s="29">
        <f t="shared" si="123"/>
        <v>0</v>
      </c>
      <c r="LO33" s="5">
        <f t="shared" si="124"/>
        <v>1414649</v>
      </c>
      <c r="LP33" s="29">
        <f t="shared" si="125"/>
        <v>0</v>
      </c>
      <c r="LQ33" s="5">
        <f t="shared" si="126"/>
        <v>5100486</v>
      </c>
      <c r="LR33" s="29">
        <f t="shared" si="127"/>
        <v>0</v>
      </c>
      <c r="LS33" s="5">
        <f t="shared" si="128"/>
        <v>1654515</v>
      </c>
      <c r="LT33" s="29">
        <f t="shared" si="129"/>
        <v>0</v>
      </c>
      <c r="LU33" s="5">
        <f t="shared" si="130"/>
        <v>2854960</v>
      </c>
      <c r="LV33" s="29">
        <f t="shared" si="131"/>
        <v>0</v>
      </c>
      <c r="LW33" s="5">
        <f t="shared" si="132"/>
        <v>3373682</v>
      </c>
      <c r="LX33" s="29">
        <f t="shared" si="133"/>
        <v>0</v>
      </c>
      <c r="LY33" s="5">
        <f t="shared" si="134"/>
        <v>1060269</v>
      </c>
      <c r="LZ33" s="29">
        <f t="shared" si="135"/>
        <v>0</v>
      </c>
      <c r="MA33" s="5">
        <f t="shared" si="136"/>
        <v>16990372</v>
      </c>
      <c r="MB33" s="29">
        <f t="shared" si="137"/>
        <v>0</v>
      </c>
      <c r="MC33" s="5">
        <f t="shared" si="138"/>
        <v>332125</v>
      </c>
      <c r="MD33" s="29">
        <f t="shared" si="139"/>
        <v>0</v>
      </c>
      <c r="ME33" s="5">
        <f t="shared" si="140"/>
        <v>0</v>
      </c>
      <c r="MF33" s="29">
        <f t="shared" si="141"/>
        <v>0</v>
      </c>
      <c r="MG33" s="5">
        <f t="shared" si="142"/>
        <v>514333</v>
      </c>
      <c r="MH33" s="29">
        <f t="shared" si="143"/>
        <v>0</v>
      </c>
      <c r="MI33" s="5">
        <f t="shared" si="144"/>
        <v>151478</v>
      </c>
      <c r="MJ33" s="29">
        <f t="shared" si="145"/>
        <v>0</v>
      </c>
      <c r="MK33" s="5">
        <f t="shared" si="146"/>
        <v>5744589</v>
      </c>
      <c r="ML33" s="29">
        <f t="shared" si="147"/>
        <v>0</v>
      </c>
      <c r="MM33" s="5">
        <f t="shared" si="148"/>
        <v>76740736</v>
      </c>
      <c r="MN33" s="29">
        <f t="shared" si="149"/>
        <v>0</v>
      </c>
      <c r="MO33" s="5">
        <f t="shared" si="150"/>
        <v>0</v>
      </c>
      <c r="MP33" s="29">
        <f t="shared" si="151"/>
        <v>0</v>
      </c>
      <c r="MQ33" s="5">
        <f t="shared" si="152"/>
        <v>76740736</v>
      </c>
      <c r="MR33" s="29">
        <f t="shared" si="153"/>
        <v>0</v>
      </c>
      <c r="MT33" s="5">
        <f t="shared" si="76"/>
        <v>0</v>
      </c>
      <c r="MV33" s="4">
        <f t="shared" si="77"/>
        <v>0</v>
      </c>
    </row>
    <row r="34" spans="1:360" x14ac:dyDescent="0.15">
      <c r="A34" s="157" t="s">
        <v>315</v>
      </c>
      <c r="B34" s="28" t="s">
        <v>407</v>
      </c>
      <c r="C34" s="47">
        <v>151351</v>
      </c>
      <c r="D34" s="48">
        <v>2012</v>
      </c>
      <c r="E34" s="49">
        <v>1</v>
      </c>
      <c r="F34" s="49">
        <v>3</v>
      </c>
      <c r="G34" s="50">
        <v>15331</v>
      </c>
      <c r="H34" s="50">
        <v>15762</v>
      </c>
      <c r="I34" s="51">
        <v>1355637500</v>
      </c>
      <c r="J34" s="51"/>
      <c r="K34" s="51">
        <v>3841000</v>
      </c>
      <c r="L34" s="51"/>
      <c r="M34" s="51">
        <v>49935000</v>
      </c>
      <c r="N34" s="51"/>
      <c r="O34" s="51">
        <v>54227000</v>
      </c>
      <c r="P34" s="51"/>
      <c r="Q34" s="51">
        <v>445042000</v>
      </c>
      <c r="R34" s="51"/>
      <c r="S34" s="51">
        <v>1113700447</v>
      </c>
      <c r="T34" s="51"/>
      <c r="U34" s="51">
        <v>19601</v>
      </c>
      <c r="V34" s="51"/>
      <c r="W34" s="51">
        <v>39617</v>
      </c>
      <c r="X34" s="51"/>
      <c r="Y34" s="51">
        <v>22049</v>
      </c>
      <c r="Z34" s="51"/>
      <c r="AA34" s="51">
        <v>42065</v>
      </c>
      <c r="AB34" s="51"/>
      <c r="AC34" s="72">
        <v>11</v>
      </c>
      <c r="AD34" s="72">
        <v>13</v>
      </c>
      <c r="AE34" s="72">
        <v>0</v>
      </c>
      <c r="AF34" s="29">
        <v>6192716</v>
      </c>
      <c r="AG34" s="29">
        <v>5582432</v>
      </c>
      <c r="AH34" s="29">
        <v>793149</v>
      </c>
      <c r="AI34" s="29">
        <v>295853</v>
      </c>
      <c r="AJ34" s="29">
        <v>622049</v>
      </c>
      <c r="AK34" s="73">
        <v>9</v>
      </c>
      <c r="AL34" s="29">
        <v>528741</v>
      </c>
      <c r="AM34" s="73">
        <v>10</v>
      </c>
      <c r="AN34" s="29">
        <v>164659</v>
      </c>
      <c r="AO34" s="73">
        <v>11</v>
      </c>
      <c r="AP34" s="29">
        <v>144077</v>
      </c>
      <c r="AQ34" s="73">
        <v>12</v>
      </c>
      <c r="AR34" s="29">
        <v>187653</v>
      </c>
      <c r="AS34" s="73">
        <v>25</v>
      </c>
      <c r="AT34" s="29">
        <v>158534</v>
      </c>
      <c r="AU34" s="73">
        <v>29</v>
      </c>
      <c r="AV34" s="29">
        <v>78147</v>
      </c>
      <c r="AW34" s="73">
        <v>21</v>
      </c>
      <c r="AX34" s="29">
        <v>64080</v>
      </c>
      <c r="AY34" s="73">
        <v>25</v>
      </c>
      <c r="AZ34" s="97">
        <v>4351066</v>
      </c>
      <c r="BA34" s="97">
        <v>8333648</v>
      </c>
      <c r="BB34" s="97">
        <v>47738</v>
      </c>
      <c r="BC34" s="97">
        <v>103024</v>
      </c>
      <c r="BD34" s="97">
        <v>57614</v>
      </c>
      <c r="BE34" s="97">
        <v>12893090</v>
      </c>
      <c r="BF34" s="97">
        <v>0</v>
      </c>
      <c r="BG34" s="97">
        <v>0</v>
      </c>
      <c r="BH34" s="97">
        <v>0</v>
      </c>
      <c r="BI34" s="97">
        <v>0</v>
      </c>
      <c r="BJ34" s="97">
        <v>0</v>
      </c>
      <c r="BK34" s="97">
        <v>0</v>
      </c>
      <c r="BL34" s="97">
        <v>787568</v>
      </c>
      <c r="BM34" s="97">
        <v>225929</v>
      </c>
      <c r="BN34" s="97">
        <v>0</v>
      </c>
      <c r="BO34" s="97">
        <v>23000</v>
      </c>
      <c r="BP34" s="97">
        <v>0</v>
      </c>
      <c r="BQ34" s="97">
        <v>1036497</v>
      </c>
      <c r="BR34" s="97">
        <v>0</v>
      </c>
      <c r="BS34" s="97">
        <v>107752</v>
      </c>
      <c r="BT34" s="97">
        <v>4568</v>
      </c>
      <c r="BU34" s="97">
        <v>107718</v>
      </c>
      <c r="BV34" s="97">
        <v>14326164</v>
      </c>
      <c r="BW34" s="97">
        <v>14546202</v>
      </c>
      <c r="BX34" s="97">
        <v>87946</v>
      </c>
      <c r="BY34" s="97">
        <v>63255</v>
      </c>
      <c r="BZ34" s="97">
        <v>21742</v>
      </c>
      <c r="CA34" s="97">
        <v>14185</v>
      </c>
      <c r="CB34" s="97">
        <v>60904</v>
      </c>
      <c r="CC34" s="97">
        <v>248032</v>
      </c>
      <c r="CD34" s="97">
        <v>0</v>
      </c>
      <c r="CE34" s="97">
        <v>0</v>
      </c>
      <c r="CF34" s="97">
        <v>0</v>
      </c>
      <c r="CG34" s="97">
        <v>0</v>
      </c>
      <c r="CH34" s="97">
        <v>0</v>
      </c>
      <c r="CI34" s="97">
        <v>0</v>
      </c>
      <c r="CJ34" s="97">
        <v>0</v>
      </c>
      <c r="CK34" s="97">
        <v>0</v>
      </c>
      <c r="CL34" s="97">
        <v>0</v>
      </c>
      <c r="CM34" s="97">
        <v>0</v>
      </c>
      <c r="CN34" s="97">
        <v>0</v>
      </c>
      <c r="CO34" s="97">
        <v>0</v>
      </c>
      <c r="CP34" s="97">
        <v>0</v>
      </c>
      <c r="CQ34" s="97">
        <v>0</v>
      </c>
      <c r="CR34" s="97">
        <v>0</v>
      </c>
      <c r="CS34" s="97">
        <v>0</v>
      </c>
      <c r="CT34" s="97">
        <v>2782080</v>
      </c>
      <c r="CU34" s="97">
        <v>2782080</v>
      </c>
      <c r="CV34" s="97">
        <v>18038679</v>
      </c>
      <c r="CW34" s="97">
        <v>7999666</v>
      </c>
      <c r="CX34" s="97">
        <v>0</v>
      </c>
      <c r="CY34" s="97">
        <v>0</v>
      </c>
      <c r="CZ34" s="97">
        <v>2475445</v>
      </c>
      <c r="DA34" s="97">
        <v>28513790</v>
      </c>
      <c r="DB34" s="97">
        <v>0</v>
      </c>
      <c r="DC34" s="97">
        <v>0</v>
      </c>
      <c r="DD34" s="97">
        <v>0</v>
      </c>
      <c r="DE34" s="97">
        <v>0</v>
      </c>
      <c r="DF34" s="97">
        <v>0</v>
      </c>
      <c r="DG34" s="97">
        <v>0</v>
      </c>
      <c r="DH34" s="97">
        <v>1094575</v>
      </c>
      <c r="DI34" s="97">
        <v>1026408</v>
      </c>
      <c r="DJ34" s="97">
        <v>30923</v>
      </c>
      <c r="DK34" s="97">
        <v>76210</v>
      </c>
      <c r="DL34" s="97">
        <v>454864</v>
      </c>
      <c r="DM34" s="97">
        <v>2682980</v>
      </c>
      <c r="DN34" s="97">
        <v>735800</v>
      </c>
      <c r="DO34" s="97">
        <v>533137</v>
      </c>
      <c r="DP34" s="97">
        <v>41352</v>
      </c>
      <c r="DQ34" s="97">
        <v>504475</v>
      </c>
      <c r="DR34" s="97">
        <v>4781961</v>
      </c>
      <c r="DS34" s="97">
        <v>6596725</v>
      </c>
      <c r="DT34" s="97">
        <v>0</v>
      </c>
      <c r="DU34" s="97">
        <v>0</v>
      </c>
      <c r="DV34" s="97">
        <v>0</v>
      </c>
      <c r="DW34" s="97">
        <v>0</v>
      </c>
      <c r="DX34" s="97">
        <v>0</v>
      </c>
      <c r="DY34" s="97">
        <v>0</v>
      </c>
      <c r="DZ34" s="97">
        <v>0</v>
      </c>
      <c r="EA34" s="97">
        <v>0</v>
      </c>
      <c r="EB34" s="97">
        <v>0</v>
      </c>
      <c r="EC34" s="97">
        <v>0</v>
      </c>
      <c r="ED34" s="97">
        <v>0</v>
      </c>
      <c r="EE34" s="97">
        <v>0</v>
      </c>
      <c r="EF34" s="97">
        <v>0</v>
      </c>
      <c r="EG34" s="97">
        <v>0</v>
      </c>
      <c r="EH34" s="97">
        <v>3156</v>
      </c>
      <c r="EI34" s="97">
        <v>152434</v>
      </c>
      <c r="EJ34" s="97">
        <v>3518968</v>
      </c>
      <c r="EK34" s="97">
        <v>3674558</v>
      </c>
      <c r="EL34" s="97">
        <v>25095634</v>
      </c>
      <c r="EM34" s="97">
        <v>18289795</v>
      </c>
      <c r="EN34" s="97">
        <v>149479</v>
      </c>
      <c r="EO34" s="97">
        <v>981046</v>
      </c>
      <c r="EP34" s="97">
        <v>28458000</v>
      </c>
      <c r="EQ34" s="97">
        <v>72973954</v>
      </c>
      <c r="ER34" s="97">
        <v>3331544</v>
      </c>
      <c r="ES34" s="97">
        <v>549178</v>
      </c>
      <c r="ET34" s="97">
        <v>609183</v>
      </c>
      <c r="EU34" s="97">
        <v>7285243</v>
      </c>
      <c r="EV34" s="97">
        <v>35800</v>
      </c>
      <c r="EW34" s="97">
        <v>11810948</v>
      </c>
      <c r="EX34" s="97">
        <v>2012748</v>
      </c>
      <c r="EY34" s="97">
        <v>1595299</v>
      </c>
      <c r="EZ34" s="97">
        <v>30975</v>
      </c>
      <c r="FA34" s="97">
        <v>24793</v>
      </c>
      <c r="FB34" s="97">
        <v>0</v>
      </c>
      <c r="FC34" s="97">
        <v>3663815</v>
      </c>
      <c r="FD34" s="97">
        <v>4360816</v>
      </c>
      <c r="FE34" s="97">
        <v>3585013</v>
      </c>
      <c r="FF34" s="97">
        <v>800339</v>
      </c>
      <c r="FG34" s="97">
        <v>4469692</v>
      </c>
      <c r="FH34" s="97">
        <v>0</v>
      </c>
      <c r="FI34" s="97">
        <v>13215860</v>
      </c>
      <c r="FJ34" s="97">
        <v>77197</v>
      </c>
      <c r="FK34" s="97">
        <v>57005</v>
      </c>
      <c r="FL34" s="97">
        <v>21741</v>
      </c>
      <c r="FM34" s="97">
        <v>14185</v>
      </c>
      <c r="FN34" s="97">
        <v>0</v>
      </c>
      <c r="FO34" s="97">
        <v>170128</v>
      </c>
      <c r="FP34" s="97">
        <v>1074920</v>
      </c>
      <c r="FQ34" s="97">
        <v>806863</v>
      </c>
      <c r="FR34" s="97">
        <v>137366</v>
      </c>
      <c r="FS34" s="97">
        <v>278897</v>
      </c>
      <c r="FT34" s="97">
        <v>11540890</v>
      </c>
      <c r="FU34" s="97">
        <v>13838936</v>
      </c>
      <c r="FV34" s="97">
        <v>10750</v>
      </c>
      <c r="FW34" s="97">
        <v>6250</v>
      </c>
      <c r="FX34" s="97">
        <v>0</v>
      </c>
      <c r="FY34" s="97">
        <v>0</v>
      </c>
      <c r="FZ34" s="97">
        <v>60904</v>
      </c>
      <c r="GA34" s="97">
        <v>77904</v>
      </c>
      <c r="GB34" s="97">
        <v>52884</v>
      </c>
      <c r="GC34" s="97">
        <v>87134</v>
      </c>
      <c r="GD34" s="97">
        <v>437167</v>
      </c>
      <c r="GE34" s="97">
        <v>32048</v>
      </c>
      <c r="GF34" s="97">
        <v>295683</v>
      </c>
      <c r="GG34" s="97">
        <v>904916</v>
      </c>
      <c r="GH34" s="97">
        <v>393764</v>
      </c>
      <c r="GI34" s="97">
        <v>228147</v>
      </c>
      <c r="GJ34" s="97">
        <v>67644</v>
      </c>
      <c r="GK34" s="97">
        <v>399447</v>
      </c>
      <c r="GL34" s="97">
        <v>0</v>
      </c>
      <c r="GM34" s="97">
        <v>1089002</v>
      </c>
      <c r="GN34" s="97">
        <v>735304</v>
      </c>
      <c r="GO34" s="97">
        <v>650499</v>
      </c>
      <c r="GP34" s="97">
        <v>287410</v>
      </c>
      <c r="GQ34" s="97">
        <v>2141871</v>
      </c>
      <c r="GR34" s="97">
        <v>0</v>
      </c>
      <c r="GS34" s="97">
        <v>3815084</v>
      </c>
      <c r="GT34" s="97">
        <v>431806</v>
      </c>
      <c r="GU34" s="97">
        <v>117743</v>
      </c>
      <c r="GV34" s="97">
        <v>43116</v>
      </c>
      <c r="GW34" s="97">
        <v>661951</v>
      </c>
      <c r="GX34" s="97">
        <v>0</v>
      </c>
      <c r="GY34" s="97">
        <v>1254616</v>
      </c>
      <c r="GZ34" s="97">
        <v>760812</v>
      </c>
      <c r="HA34" s="97">
        <v>1093175</v>
      </c>
      <c r="HB34" s="97">
        <v>181904</v>
      </c>
      <c r="HC34" s="97">
        <v>171742</v>
      </c>
      <c r="HD34" s="97">
        <v>50123</v>
      </c>
      <c r="HE34" s="97">
        <v>2257756</v>
      </c>
      <c r="HF34" s="97">
        <v>547894</v>
      </c>
      <c r="HG34" s="97">
        <v>174199</v>
      </c>
      <c r="HH34" s="97">
        <v>22579</v>
      </c>
      <c r="HI34" s="97">
        <v>82059</v>
      </c>
      <c r="HJ34" s="97">
        <v>509304</v>
      </c>
      <c r="HK34" s="97">
        <v>1336035</v>
      </c>
      <c r="HL34" s="97">
        <v>0</v>
      </c>
      <c r="HM34" s="97">
        <v>0</v>
      </c>
      <c r="HN34" s="97">
        <v>0</v>
      </c>
      <c r="HO34" s="97">
        <v>0</v>
      </c>
      <c r="HP34" s="97">
        <v>0</v>
      </c>
      <c r="HQ34" s="97">
        <v>0</v>
      </c>
      <c r="HR34" s="97">
        <v>772775</v>
      </c>
      <c r="HS34" s="97">
        <v>140442</v>
      </c>
      <c r="HT34" s="97">
        <v>101918</v>
      </c>
      <c r="HU34" s="97">
        <v>670477</v>
      </c>
      <c r="HV34" s="97">
        <v>3624283</v>
      </c>
      <c r="HW34" s="97">
        <v>5309895</v>
      </c>
      <c r="HX34" s="97">
        <v>0</v>
      </c>
      <c r="HY34" s="97">
        <v>0</v>
      </c>
      <c r="HZ34" s="97">
        <v>0</v>
      </c>
      <c r="IA34" s="97">
        <v>0</v>
      </c>
      <c r="IB34" s="97">
        <v>177500</v>
      </c>
      <c r="IC34" s="97">
        <v>177500</v>
      </c>
      <c r="ID34" s="97">
        <v>0</v>
      </c>
      <c r="IE34" s="97">
        <v>0</v>
      </c>
      <c r="IF34" s="97">
        <v>0</v>
      </c>
      <c r="IG34" s="97">
        <v>0</v>
      </c>
      <c r="IH34" s="97">
        <v>2782080</v>
      </c>
      <c r="II34" s="97">
        <v>2782080</v>
      </c>
      <c r="IJ34" s="97">
        <v>240636</v>
      </c>
      <c r="IK34" s="97">
        <v>8995</v>
      </c>
      <c r="IL34" s="97">
        <v>25677</v>
      </c>
      <c r="IM34" s="97">
        <v>404499</v>
      </c>
      <c r="IN34" s="97">
        <v>489717</v>
      </c>
      <c r="IO34" s="97">
        <v>1169524</v>
      </c>
      <c r="IP34" s="97">
        <v>2420</v>
      </c>
      <c r="IQ34" s="97">
        <v>4073</v>
      </c>
      <c r="IR34" s="97">
        <v>650</v>
      </c>
      <c r="IS34" s="97">
        <v>18400</v>
      </c>
      <c r="IT34" s="97">
        <v>136245</v>
      </c>
      <c r="IU34" s="97">
        <v>161788</v>
      </c>
      <c r="IV34" s="97">
        <v>1350419</v>
      </c>
      <c r="IW34" s="97">
        <v>297843</v>
      </c>
      <c r="IX34" s="97">
        <v>0</v>
      </c>
      <c r="IY34" s="97">
        <v>553318</v>
      </c>
      <c r="IZ34" s="97">
        <v>4677693</v>
      </c>
      <c r="JA34" s="97">
        <v>6879273</v>
      </c>
      <c r="JB34" s="97">
        <v>16156689</v>
      </c>
      <c r="JC34" s="97">
        <v>9401858</v>
      </c>
      <c r="JD34" s="97">
        <v>2767669</v>
      </c>
      <c r="JE34" s="97">
        <v>17208622</v>
      </c>
      <c r="JF34" s="97">
        <v>24380222</v>
      </c>
      <c r="JG34" s="97">
        <v>69915060</v>
      </c>
      <c r="JH34" s="97">
        <v>0</v>
      </c>
      <c r="JI34" s="97">
        <v>0</v>
      </c>
      <c r="JJ34" s="97">
        <v>0</v>
      </c>
      <c r="JK34" s="97">
        <v>0</v>
      </c>
      <c r="JL34" s="97">
        <v>0</v>
      </c>
      <c r="JM34" s="97">
        <v>0</v>
      </c>
      <c r="JN34" s="97">
        <v>16156689</v>
      </c>
      <c r="JO34" s="97">
        <v>9401858</v>
      </c>
      <c r="JP34" s="97">
        <v>2767669</v>
      </c>
      <c r="JQ34" s="97">
        <v>17208622</v>
      </c>
      <c r="JR34" s="97">
        <v>24380222</v>
      </c>
      <c r="JS34" s="97">
        <v>69915060</v>
      </c>
      <c r="JT34" s="10"/>
      <c r="JU34" s="5">
        <f t="shared" si="78"/>
        <v>12893090</v>
      </c>
      <c r="JV34" s="29">
        <f t="shared" si="79"/>
        <v>0</v>
      </c>
      <c r="JW34" s="5">
        <f t="shared" si="80"/>
        <v>0</v>
      </c>
      <c r="JX34" s="29">
        <f t="shared" si="81"/>
        <v>0</v>
      </c>
      <c r="JY34" s="5">
        <f t="shared" si="82"/>
        <v>1036497</v>
      </c>
      <c r="JZ34" s="29">
        <f t="shared" si="83"/>
        <v>0</v>
      </c>
      <c r="KA34" s="5">
        <f t="shared" si="84"/>
        <v>14546202</v>
      </c>
      <c r="KB34" s="29">
        <f t="shared" si="85"/>
        <v>0</v>
      </c>
      <c r="KC34" s="5">
        <f t="shared" si="86"/>
        <v>248032</v>
      </c>
      <c r="KD34" s="29">
        <f t="shared" si="87"/>
        <v>0</v>
      </c>
      <c r="KE34" s="5">
        <f t="shared" si="88"/>
        <v>0</v>
      </c>
      <c r="KF34" s="29">
        <f t="shared" si="89"/>
        <v>0</v>
      </c>
      <c r="KG34" s="5">
        <f t="shared" si="90"/>
        <v>0</v>
      </c>
      <c r="KH34" s="29">
        <f t="shared" si="91"/>
        <v>0</v>
      </c>
      <c r="KI34" s="5">
        <f t="shared" si="92"/>
        <v>2782080</v>
      </c>
      <c r="KJ34" s="29">
        <f t="shared" si="93"/>
        <v>0</v>
      </c>
      <c r="KK34" s="5">
        <f t="shared" si="94"/>
        <v>28513790</v>
      </c>
      <c r="KL34" s="29">
        <f t="shared" si="95"/>
        <v>0</v>
      </c>
      <c r="KM34" s="5">
        <f t="shared" si="96"/>
        <v>0</v>
      </c>
      <c r="KN34" s="29">
        <f t="shared" si="97"/>
        <v>0</v>
      </c>
      <c r="KO34" s="5">
        <f t="shared" si="98"/>
        <v>2682980</v>
      </c>
      <c r="KP34" s="29">
        <f t="shared" si="99"/>
        <v>0</v>
      </c>
      <c r="KQ34" s="5">
        <f t="shared" si="100"/>
        <v>6596725</v>
      </c>
      <c r="KR34" s="29">
        <f t="shared" si="101"/>
        <v>0</v>
      </c>
      <c r="KS34" s="5">
        <f t="shared" si="102"/>
        <v>0</v>
      </c>
      <c r="KT34" s="29">
        <f t="shared" si="103"/>
        <v>0</v>
      </c>
      <c r="KU34" s="5">
        <f t="shared" si="104"/>
        <v>0</v>
      </c>
      <c r="KV34" s="29">
        <f t="shared" si="105"/>
        <v>0</v>
      </c>
      <c r="KW34" s="5">
        <f t="shared" si="106"/>
        <v>3674558</v>
      </c>
      <c r="KX34" s="29">
        <f t="shared" si="107"/>
        <v>0</v>
      </c>
      <c r="KY34" s="5">
        <f t="shared" si="108"/>
        <v>72973954</v>
      </c>
      <c r="KZ34" s="29">
        <f t="shared" si="109"/>
        <v>0</v>
      </c>
      <c r="LA34" s="5">
        <f t="shared" si="110"/>
        <v>11810948</v>
      </c>
      <c r="LB34" s="29">
        <f t="shared" si="111"/>
        <v>0</v>
      </c>
      <c r="LC34" s="5">
        <f t="shared" si="112"/>
        <v>3663815</v>
      </c>
      <c r="LD34" s="29">
        <f t="shared" si="113"/>
        <v>0</v>
      </c>
      <c r="LE34" s="5">
        <f t="shared" si="114"/>
        <v>13215860</v>
      </c>
      <c r="LF34" s="29">
        <f t="shared" si="115"/>
        <v>0</v>
      </c>
      <c r="LG34" s="5">
        <f t="shared" si="116"/>
        <v>170128</v>
      </c>
      <c r="LH34" s="29">
        <f t="shared" si="117"/>
        <v>0</v>
      </c>
      <c r="LI34" s="5">
        <f t="shared" si="118"/>
        <v>13838936</v>
      </c>
      <c r="LJ34" s="29">
        <f t="shared" si="119"/>
        <v>0</v>
      </c>
      <c r="LK34" s="5">
        <f t="shared" si="120"/>
        <v>77904</v>
      </c>
      <c r="LL34" s="29">
        <f t="shared" si="121"/>
        <v>0</v>
      </c>
      <c r="LM34" s="5">
        <f t="shared" si="122"/>
        <v>904916</v>
      </c>
      <c r="LN34" s="29">
        <f t="shared" si="123"/>
        <v>0</v>
      </c>
      <c r="LO34" s="5">
        <f t="shared" si="124"/>
        <v>1089002</v>
      </c>
      <c r="LP34" s="29">
        <f t="shared" si="125"/>
        <v>0</v>
      </c>
      <c r="LQ34" s="5">
        <f t="shared" si="126"/>
        <v>3815084</v>
      </c>
      <c r="LR34" s="29">
        <f t="shared" si="127"/>
        <v>0</v>
      </c>
      <c r="LS34" s="5">
        <f t="shared" si="128"/>
        <v>1254616</v>
      </c>
      <c r="LT34" s="29">
        <f t="shared" si="129"/>
        <v>0</v>
      </c>
      <c r="LU34" s="5">
        <f t="shared" si="130"/>
        <v>2257756</v>
      </c>
      <c r="LV34" s="29">
        <f t="shared" si="131"/>
        <v>0</v>
      </c>
      <c r="LW34" s="5">
        <f t="shared" si="132"/>
        <v>1336035</v>
      </c>
      <c r="LX34" s="29">
        <f t="shared" si="133"/>
        <v>0</v>
      </c>
      <c r="LY34" s="5">
        <f t="shared" si="134"/>
        <v>0</v>
      </c>
      <c r="LZ34" s="29">
        <f t="shared" si="135"/>
        <v>0</v>
      </c>
      <c r="MA34" s="5">
        <f t="shared" si="136"/>
        <v>5309895</v>
      </c>
      <c r="MB34" s="29">
        <f t="shared" si="137"/>
        <v>0</v>
      </c>
      <c r="MC34" s="5">
        <f t="shared" si="138"/>
        <v>177500</v>
      </c>
      <c r="MD34" s="29">
        <f t="shared" si="139"/>
        <v>0</v>
      </c>
      <c r="ME34" s="5">
        <f t="shared" si="140"/>
        <v>2782080</v>
      </c>
      <c r="MF34" s="29">
        <f t="shared" si="141"/>
        <v>0</v>
      </c>
      <c r="MG34" s="5">
        <f t="shared" si="142"/>
        <v>1169524</v>
      </c>
      <c r="MH34" s="29">
        <f t="shared" si="143"/>
        <v>0</v>
      </c>
      <c r="MI34" s="5">
        <f t="shared" si="144"/>
        <v>161788</v>
      </c>
      <c r="MJ34" s="29">
        <f t="shared" si="145"/>
        <v>0</v>
      </c>
      <c r="MK34" s="5">
        <f t="shared" si="146"/>
        <v>6879273</v>
      </c>
      <c r="ML34" s="29">
        <f t="shared" si="147"/>
        <v>0</v>
      </c>
      <c r="MM34" s="5">
        <f t="shared" si="148"/>
        <v>69915060</v>
      </c>
      <c r="MN34" s="29">
        <f t="shared" si="149"/>
        <v>0</v>
      </c>
      <c r="MO34" s="5">
        <f t="shared" si="150"/>
        <v>0</v>
      </c>
      <c r="MP34" s="29">
        <f t="shared" si="151"/>
        <v>0</v>
      </c>
      <c r="MQ34" s="5">
        <f t="shared" si="152"/>
        <v>69915060</v>
      </c>
      <c r="MR34" s="29">
        <f t="shared" si="153"/>
        <v>0</v>
      </c>
      <c r="MT34" s="5">
        <f t="shared" si="76"/>
        <v>0</v>
      </c>
      <c r="MV34" s="4">
        <f t="shared" si="77"/>
        <v>0</v>
      </c>
    </row>
    <row r="35" spans="1:360" x14ac:dyDescent="0.15">
      <c r="A35" s="156" t="s">
        <v>316</v>
      </c>
      <c r="B35" s="28" t="s">
        <v>461</v>
      </c>
      <c r="C35" s="48">
        <v>187985</v>
      </c>
      <c r="D35" s="48">
        <v>2012</v>
      </c>
      <c r="E35" s="49">
        <v>1</v>
      </c>
      <c r="F35" s="49">
        <v>3</v>
      </c>
      <c r="G35" s="50">
        <v>9282</v>
      </c>
      <c r="H35" s="50">
        <v>9876</v>
      </c>
      <c r="I35" s="54">
        <v>2580989770</v>
      </c>
      <c r="J35" s="51"/>
      <c r="K35" s="54">
        <v>10186734</v>
      </c>
      <c r="L35" s="51"/>
      <c r="M35" s="54">
        <v>63079921</v>
      </c>
      <c r="N35" s="51"/>
      <c r="O35" s="51">
        <v>149520000</v>
      </c>
      <c r="P35" s="51"/>
      <c r="Q35" s="54">
        <v>799409838</v>
      </c>
      <c r="R35" s="51"/>
      <c r="S35" s="54">
        <v>972663231</v>
      </c>
      <c r="T35" s="51"/>
      <c r="U35" s="51">
        <v>16915</v>
      </c>
      <c r="V35" s="54"/>
      <c r="W35" s="54">
        <v>34249</v>
      </c>
      <c r="X35" s="54"/>
      <c r="Y35" s="51">
        <v>21120</v>
      </c>
      <c r="Z35" s="54"/>
      <c r="AA35" s="51">
        <v>38454</v>
      </c>
      <c r="AB35" s="51"/>
      <c r="AC35" s="72">
        <v>11</v>
      </c>
      <c r="AD35" s="72">
        <v>13</v>
      </c>
      <c r="AE35" s="72">
        <v>0</v>
      </c>
      <c r="AF35" s="76">
        <v>5175643</v>
      </c>
      <c r="AG35" s="76">
        <v>4641495</v>
      </c>
      <c r="AH35" s="29">
        <v>764549</v>
      </c>
      <c r="AI35" s="29">
        <v>432645</v>
      </c>
      <c r="AJ35" s="76">
        <f>(6621675+450000)/AK35</f>
        <v>831961.76470588241</v>
      </c>
      <c r="AK35" s="78">
        <v>8.5</v>
      </c>
      <c r="AL35" s="76">
        <f>(6621675+450000)/AM35</f>
        <v>707167.5</v>
      </c>
      <c r="AM35" s="78">
        <v>10</v>
      </c>
      <c r="AN35" s="76">
        <f>2012646/AO35</f>
        <v>191680.57142857142</v>
      </c>
      <c r="AO35" s="78">
        <v>10.5</v>
      </c>
      <c r="AP35" s="76">
        <f>2012646/AQ35</f>
        <v>167720.5</v>
      </c>
      <c r="AQ35" s="78">
        <v>12</v>
      </c>
      <c r="AR35" s="76">
        <f>5015033/AS35</f>
        <v>201974.74828836086</v>
      </c>
      <c r="AS35" s="78">
        <v>24.83</v>
      </c>
      <c r="AT35" s="76">
        <f>5015033/AU35</f>
        <v>167167.76666666666</v>
      </c>
      <c r="AU35" s="78">
        <v>30</v>
      </c>
      <c r="AV35" s="76">
        <f>1724065/AW35</f>
        <v>80828.176277543374</v>
      </c>
      <c r="AW35" s="78">
        <v>21.33</v>
      </c>
      <c r="AX35" s="76">
        <f>1724065/AY35</f>
        <v>66310.192307692312</v>
      </c>
      <c r="AY35" s="78">
        <v>26</v>
      </c>
      <c r="AZ35" s="100">
        <v>21034457</v>
      </c>
      <c r="BA35" s="100">
        <v>2680029</v>
      </c>
      <c r="BB35" s="100">
        <v>169719</v>
      </c>
      <c r="BC35" s="100">
        <v>580575</v>
      </c>
      <c r="BD35" s="100">
        <v>779518</v>
      </c>
      <c r="BE35" s="100">
        <v>25244298</v>
      </c>
      <c r="BF35" s="100">
        <v>0</v>
      </c>
      <c r="BG35" s="100">
        <v>0</v>
      </c>
      <c r="BH35" s="100">
        <v>0</v>
      </c>
      <c r="BI35" s="100">
        <v>0</v>
      </c>
      <c r="BJ35" s="100">
        <v>543574</v>
      </c>
      <c r="BK35" s="100">
        <v>543574</v>
      </c>
      <c r="BL35" s="100">
        <v>428253</v>
      </c>
      <c r="BM35" s="100">
        <v>0</v>
      </c>
      <c r="BN35" s="100">
        <v>0</v>
      </c>
      <c r="BO35" s="100">
        <v>3000</v>
      </c>
      <c r="BP35" s="100">
        <v>0</v>
      </c>
      <c r="BQ35" s="100">
        <v>431253</v>
      </c>
      <c r="BR35" s="100">
        <v>9606036</v>
      </c>
      <c r="BS35" s="100">
        <v>250112</v>
      </c>
      <c r="BT35" s="100">
        <v>181941</v>
      </c>
      <c r="BU35" s="100">
        <v>1492727</v>
      </c>
      <c r="BV35" s="100">
        <v>14474883</v>
      </c>
      <c r="BW35" s="100">
        <v>26005699</v>
      </c>
      <c r="BX35" s="100">
        <v>150000</v>
      </c>
      <c r="BY35" s="100">
        <v>300000</v>
      </c>
      <c r="BZ35" s="100">
        <v>0</v>
      </c>
      <c r="CA35" s="100">
        <v>0</v>
      </c>
      <c r="CB35" s="100">
        <v>0</v>
      </c>
      <c r="CC35" s="100">
        <v>450000</v>
      </c>
      <c r="CD35" s="100">
        <v>0</v>
      </c>
      <c r="CE35" s="100">
        <v>0</v>
      </c>
      <c r="CF35" s="100">
        <v>0</v>
      </c>
      <c r="CG35" s="100">
        <v>0</v>
      </c>
      <c r="CH35" s="100">
        <v>0</v>
      </c>
      <c r="CI35" s="100">
        <v>0</v>
      </c>
      <c r="CJ35" s="100">
        <v>0</v>
      </c>
      <c r="CK35" s="100">
        <v>0</v>
      </c>
      <c r="CL35" s="100">
        <v>0</v>
      </c>
      <c r="CM35" s="100">
        <v>0</v>
      </c>
      <c r="CN35" s="100">
        <v>0</v>
      </c>
      <c r="CO35" s="100">
        <v>0</v>
      </c>
      <c r="CP35" s="100">
        <v>0</v>
      </c>
      <c r="CQ35" s="100">
        <v>0</v>
      </c>
      <c r="CR35" s="100">
        <v>0</v>
      </c>
      <c r="CS35" s="100">
        <v>0</v>
      </c>
      <c r="CT35" s="100">
        <v>0</v>
      </c>
      <c r="CU35" s="100">
        <v>0</v>
      </c>
      <c r="CV35" s="100">
        <v>13697170</v>
      </c>
      <c r="CW35" s="100">
        <v>3434157</v>
      </c>
      <c r="CX35" s="100">
        <v>69503</v>
      </c>
      <c r="CY35" s="100">
        <v>91310</v>
      </c>
      <c r="CZ35" s="100">
        <v>8974724</v>
      </c>
      <c r="DA35" s="100">
        <v>26266864</v>
      </c>
      <c r="DB35" s="100">
        <v>1050000</v>
      </c>
      <c r="DC35" s="100">
        <v>375000</v>
      </c>
      <c r="DD35" s="100">
        <v>37500</v>
      </c>
      <c r="DE35" s="100">
        <v>37500</v>
      </c>
      <c r="DF35" s="100">
        <v>0</v>
      </c>
      <c r="DG35" s="100">
        <v>1500000</v>
      </c>
      <c r="DH35" s="100">
        <v>1138110</v>
      </c>
      <c r="DI35" s="100">
        <v>328806</v>
      </c>
      <c r="DJ35" s="100">
        <v>67679</v>
      </c>
      <c r="DK35" s="100">
        <v>114950</v>
      </c>
      <c r="DL35" s="100">
        <v>285345</v>
      </c>
      <c r="DM35" s="100">
        <v>1934890</v>
      </c>
      <c r="DN35" s="100">
        <v>2722780</v>
      </c>
      <c r="DO35" s="100">
        <v>1372421</v>
      </c>
      <c r="DP35" s="100">
        <v>97242</v>
      </c>
      <c r="DQ35" s="100">
        <v>97242</v>
      </c>
      <c r="DR35" s="100">
        <v>4159339</v>
      </c>
      <c r="DS35" s="100">
        <v>8449024</v>
      </c>
      <c r="DT35" s="100">
        <v>41844</v>
      </c>
      <c r="DU35" s="100">
        <v>156421</v>
      </c>
      <c r="DV35" s="100">
        <v>83490</v>
      </c>
      <c r="DW35" s="100">
        <v>783640</v>
      </c>
      <c r="DX35" s="100">
        <v>12290</v>
      </c>
      <c r="DY35" s="100">
        <v>1077685</v>
      </c>
      <c r="DZ35" s="100">
        <v>626776</v>
      </c>
      <c r="EA35" s="100">
        <v>127215</v>
      </c>
      <c r="EB35" s="100">
        <v>47227</v>
      </c>
      <c r="EC35" s="100">
        <v>268207</v>
      </c>
      <c r="ED35" s="100">
        <v>1275706</v>
      </c>
      <c r="EE35" s="100">
        <v>2345131</v>
      </c>
      <c r="EF35" s="100">
        <v>614917</v>
      </c>
      <c r="EG35" s="100">
        <v>7623</v>
      </c>
      <c r="EH35" s="100">
        <v>7640</v>
      </c>
      <c r="EI35" s="100">
        <v>97499</v>
      </c>
      <c r="EJ35" s="100">
        <v>2926877</v>
      </c>
      <c r="EK35" s="100">
        <v>3654556</v>
      </c>
      <c r="EL35" s="100">
        <v>51110343</v>
      </c>
      <c r="EM35" s="100">
        <v>9031784</v>
      </c>
      <c r="EN35" s="100">
        <v>761941</v>
      </c>
      <c r="EO35" s="100">
        <v>3566650</v>
      </c>
      <c r="EP35" s="100">
        <v>33432256</v>
      </c>
      <c r="EQ35" s="100">
        <v>97902974</v>
      </c>
      <c r="ER35" s="100">
        <v>2825377</v>
      </c>
      <c r="ES35" s="100">
        <v>515756</v>
      </c>
      <c r="ET35" s="100">
        <v>564994</v>
      </c>
      <c r="EU35" s="100">
        <v>5911011</v>
      </c>
      <c r="EV35" s="100">
        <v>468045</v>
      </c>
      <c r="EW35" s="100">
        <v>10285183</v>
      </c>
      <c r="EX35" s="100">
        <v>1700000</v>
      </c>
      <c r="EY35" s="100">
        <v>613000</v>
      </c>
      <c r="EZ35" s="100">
        <v>113699</v>
      </c>
      <c r="FA35" s="100">
        <v>20137</v>
      </c>
      <c r="FB35" s="100">
        <v>0</v>
      </c>
      <c r="FC35" s="100">
        <v>2446836</v>
      </c>
      <c r="FD35" s="100">
        <v>7824092</v>
      </c>
      <c r="FE35" s="100">
        <v>1835517</v>
      </c>
      <c r="FF35" s="100">
        <v>1288469</v>
      </c>
      <c r="FG35" s="100">
        <v>4425341</v>
      </c>
      <c r="FH35" s="100">
        <v>0</v>
      </c>
      <c r="FI35" s="100">
        <v>15373419</v>
      </c>
      <c r="FJ35" s="97">
        <v>150000</v>
      </c>
      <c r="FK35" s="97">
        <v>300000</v>
      </c>
      <c r="FL35" s="97">
        <v>0</v>
      </c>
      <c r="FM35" s="97">
        <v>0</v>
      </c>
      <c r="FN35" s="97">
        <v>0</v>
      </c>
      <c r="FO35" s="97">
        <v>450000</v>
      </c>
      <c r="FP35" s="97">
        <v>1629511</v>
      </c>
      <c r="FQ35" s="97">
        <v>295483</v>
      </c>
      <c r="FR35" s="97">
        <v>188221</v>
      </c>
      <c r="FS35" s="97">
        <v>230364</v>
      </c>
      <c r="FT35" s="97">
        <v>12452258</v>
      </c>
      <c r="FU35" s="97">
        <v>14795837</v>
      </c>
      <c r="FV35" s="100">
        <v>0</v>
      </c>
      <c r="FW35" s="100">
        <v>0</v>
      </c>
      <c r="FX35" s="100">
        <v>0</v>
      </c>
      <c r="FY35" s="100">
        <v>0</v>
      </c>
      <c r="FZ35" s="100">
        <v>0</v>
      </c>
      <c r="GA35" s="100">
        <v>0</v>
      </c>
      <c r="GB35" s="100">
        <v>0</v>
      </c>
      <c r="GC35" s="100">
        <v>894384</v>
      </c>
      <c r="GD35" s="100">
        <v>0</v>
      </c>
      <c r="GE35" s="100">
        <v>0</v>
      </c>
      <c r="GF35" s="100">
        <v>0</v>
      </c>
      <c r="GG35" s="100">
        <v>894384</v>
      </c>
      <c r="GH35" s="100">
        <v>403305</v>
      </c>
      <c r="GI35" s="100">
        <v>184733</v>
      </c>
      <c r="GJ35" s="100">
        <v>123170</v>
      </c>
      <c r="GK35" s="100">
        <v>485976</v>
      </c>
      <c r="GL35" s="100">
        <v>0</v>
      </c>
      <c r="GM35" s="100">
        <v>1197184</v>
      </c>
      <c r="GN35" s="100">
        <v>1825090</v>
      </c>
      <c r="GO35" s="100">
        <v>611302</v>
      </c>
      <c r="GP35" s="100">
        <v>848426</v>
      </c>
      <c r="GQ35" s="100">
        <v>2367327</v>
      </c>
      <c r="GR35" s="100">
        <v>0</v>
      </c>
      <c r="GS35" s="100">
        <v>5652145</v>
      </c>
      <c r="GT35" s="100">
        <v>452124</v>
      </c>
      <c r="GU35" s="100">
        <v>143466</v>
      </c>
      <c r="GV35" s="100">
        <v>61446</v>
      </c>
      <c r="GW35" s="100">
        <v>632259</v>
      </c>
      <c r="GX35" s="100">
        <v>0</v>
      </c>
      <c r="GY35" s="100">
        <v>1289295</v>
      </c>
      <c r="GZ35" s="100">
        <v>1940861</v>
      </c>
      <c r="HA35" s="100">
        <v>676678</v>
      </c>
      <c r="HB35" s="100">
        <v>346153</v>
      </c>
      <c r="HC35" s="100">
        <v>665021</v>
      </c>
      <c r="HD35" s="100">
        <v>0</v>
      </c>
      <c r="HE35" s="100">
        <v>3628713</v>
      </c>
      <c r="HF35" s="100">
        <v>319097</v>
      </c>
      <c r="HG35" s="100">
        <v>191724</v>
      </c>
      <c r="HH35" s="100">
        <v>119291</v>
      </c>
      <c r="HI35" s="100">
        <v>221192</v>
      </c>
      <c r="HJ35" s="100">
        <v>2452122</v>
      </c>
      <c r="HK35" s="100">
        <v>3303426</v>
      </c>
      <c r="HL35" s="100">
        <v>112877</v>
      </c>
      <c r="HM35" s="100">
        <v>72131</v>
      </c>
      <c r="HN35" s="100">
        <v>54607</v>
      </c>
      <c r="HO35" s="100">
        <v>462090</v>
      </c>
      <c r="HP35" s="100">
        <v>46062</v>
      </c>
      <c r="HQ35" s="100">
        <v>747767</v>
      </c>
      <c r="HR35" s="100">
        <v>644432</v>
      </c>
      <c r="HS35" s="100">
        <v>0</v>
      </c>
      <c r="HT35" s="100">
        <v>0</v>
      </c>
      <c r="HU35" s="100">
        <v>944760</v>
      </c>
      <c r="HV35" s="100">
        <v>31765020</v>
      </c>
      <c r="HW35" s="100">
        <v>33354212</v>
      </c>
      <c r="HX35" s="100">
        <v>0</v>
      </c>
      <c r="HY35" s="100">
        <v>0</v>
      </c>
      <c r="HZ35" s="100">
        <v>0</v>
      </c>
      <c r="IA35" s="100">
        <v>0</v>
      </c>
      <c r="IB35" s="100">
        <v>645775</v>
      </c>
      <c r="IC35" s="100">
        <v>645775</v>
      </c>
      <c r="ID35" s="100">
        <v>0</v>
      </c>
      <c r="IE35" s="100">
        <v>0</v>
      </c>
      <c r="IF35" s="100">
        <v>0</v>
      </c>
      <c r="IG35" s="100">
        <v>0</v>
      </c>
      <c r="IH35" s="100">
        <v>0</v>
      </c>
      <c r="II35" s="100">
        <v>0</v>
      </c>
      <c r="IJ35" s="100">
        <v>154973</v>
      </c>
      <c r="IK35" s="100">
        <v>17083</v>
      </c>
      <c r="IL35" s="100">
        <v>70713</v>
      </c>
      <c r="IM35" s="100">
        <v>360955</v>
      </c>
      <c r="IN35" s="100">
        <v>226701</v>
      </c>
      <c r="IO35" s="100">
        <v>830425</v>
      </c>
      <c r="IP35" s="100">
        <v>1885</v>
      </c>
      <c r="IQ35" s="100">
        <v>2475</v>
      </c>
      <c r="IR35" s="100">
        <v>1237</v>
      </c>
      <c r="IS35" s="100">
        <v>19373</v>
      </c>
      <c r="IT35" s="100">
        <v>154535</v>
      </c>
      <c r="IU35" s="100">
        <v>179505</v>
      </c>
      <c r="IV35" s="100">
        <v>1773566</v>
      </c>
      <c r="IW35" s="100">
        <v>189936</v>
      </c>
      <c r="IX35" s="100">
        <v>151860</v>
      </c>
      <c r="IY35" s="100">
        <v>727551</v>
      </c>
      <c r="IZ35" s="100">
        <v>6741727</v>
      </c>
      <c r="JA35" s="100">
        <v>9584640</v>
      </c>
      <c r="JB35" s="100">
        <v>21757190</v>
      </c>
      <c r="JC35" s="100">
        <v>6543668</v>
      </c>
      <c r="JD35" s="100">
        <v>3932286</v>
      </c>
      <c r="JE35" s="100">
        <v>17473357</v>
      </c>
      <c r="JF35" s="100">
        <v>54952245</v>
      </c>
      <c r="JG35" s="100">
        <v>104658746</v>
      </c>
      <c r="JH35" s="100">
        <v>0</v>
      </c>
      <c r="JI35" s="100">
        <v>0</v>
      </c>
      <c r="JJ35" s="100">
        <v>0</v>
      </c>
      <c r="JK35" s="100">
        <v>0</v>
      </c>
      <c r="JL35" s="100">
        <v>0</v>
      </c>
      <c r="JM35" s="100">
        <v>0</v>
      </c>
      <c r="JN35" s="100">
        <v>21757190</v>
      </c>
      <c r="JO35" s="100">
        <v>6543668</v>
      </c>
      <c r="JP35" s="100">
        <v>3932286</v>
      </c>
      <c r="JQ35" s="100">
        <v>17473357</v>
      </c>
      <c r="JR35" s="100">
        <v>54952245</v>
      </c>
      <c r="JS35" s="100">
        <v>104658746</v>
      </c>
      <c r="JU35" s="5">
        <f t="shared" si="78"/>
        <v>25244298</v>
      </c>
      <c r="JV35" s="29">
        <f t="shared" si="79"/>
        <v>0</v>
      </c>
      <c r="JW35" s="5">
        <f t="shared" si="80"/>
        <v>543574</v>
      </c>
      <c r="JX35" s="29">
        <f t="shared" si="81"/>
        <v>0</v>
      </c>
      <c r="JY35" s="5">
        <f t="shared" si="82"/>
        <v>431253</v>
      </c>
      <c r="JZ35" s="29">
        <f t="shared" si="83"/>
        <v>0</v>
      </c>
      <c r="KA35" s="5">
        <f t="shared" si="84"/>
        <v>26005699</v>
      </c>
      <c r="KB35" s="29">
        <f t="shared" si="85"/>
        <v>0</v>
      </c>
      <c r="KC35" s="5">
        <f t="shared" si="86"/>
        <v>450000</v>
      </c>
      <c r="KD35" s="29">
        <f t="shared" si="87"/>
        <v>0</v>
      </c>
      <c r="KE35" s="5">
        <f t="shared" si="88"/>
        <v>0</v>
      </c>
      <c r="KF35" s="29">
        <f t="shared" si="89"/>
        <v>0</v>
      </c>
      <c r="KG35" s="5">
        <f t="shared" si="90"/>
        <v>0</v>
      </c>
      <c r="KH35" s="29">
        <f t="shared" si="91"/>
        <v>0</v>
      </c>
      <c r="KI35" s="5">
        <f t="shared" si="92"/>
        <v>0</v>
      </c>
      <c r="KJ35" s="29">
        <f t="shared" si="93"/>
        <v>0</v>
      </c>
      <c r="KK35" s="5">
        <f t="shared" si="94"/>
        <v>26266864</v>
      </c>
      <c r="KL35" s="29">
        <f t="shared" si="95"/>
        <v>0</v>
      </c>
      <c r="KM35" s="5">
        <f t="shared" si="96"/>
        <v>1500000</v>
      </c>
      <c r="KN35" s="29">
        <f t="shared" si="97"/>
        <v>0</v>
      </c>
      <c r="KO35" s="5">
        <f t="shared" si="98"/>
        <v>1934890</v>
      </c>
      <c r="KP35" s="29">
        <f t="shared" si="99"/>
        <v>0</v>
      </c>
      <c r="KQ35" s="5">
        <f t="shared" si="100"/>
        <v>8449024</v>
      </c>
      <c r="KR35" s="29">
        <f t="shared" si="101"/>
        <v>0</v>
      </c>
      <c r="KS35" s="5">
        <f t="shared" si="102"/>
        <v>1077685</v>
      </c>
      <c r="KT35" s="29">
        <f t="shared" si="103"/>
        <v>0</v>
      </c>
      <c r="KU35" s="5">
        <f t="shared" si="104"/>
        <v>2345131</v>
      </c>
      <c r="KV35" s="29">
        <f t="shared" si="105"/>
        <v>0</v>
      </c>
      <c r="KW35" s="5">
        <f t="shared" si="106"/>
        <v>3654556</v>
      </c>
      <c r="KX35" s="29">
        <f t="shared" si="107"/>
        <v>0</v>
      </c>
      <c r="KY35" s="5">
        <f t="shared" si="108"/>
        <v>97902974</v>
      </c>
      <c r="KZ35" s="29">
        <f t="shared" si="109"/>
        <v>0</v>
      </c>
      <c r="LA35" s="5">
        <f t="shared" si="110"/>
        <v>10285183</v>
      </c>
      <c r="LB35" s="29">
        <f t="shared" si="111"/>
        <v>0</v>
      </c>
      <c r="LC35" s="5">
        <f t="shared" si="112"/>
        <v>2446836</v>
      </c>
      <c r="LD35" s="29">
        <f t="shared" si="113"/>
        <v>0</v>
      </c>
      <c r="LE35" s="5">
        <f t="shared" si="114"/>
        <v>15373419</v>
      </c>
      <c r="LF35" s="29">
        <f t="shared" si="115"/>
        <v>0</v>
      </c>
      <c r="LG35" s="5">
        <f t="shared" si="116"/>
        <v>450000</v>
      </c>
      <c r="LH35" s="29">
        <f t="shared" si="117"/>
        <v>0</v>
      </c>
      <c r="LI35" s="5">
        <f t="shared" si="118"/>
        <v>14795837</v>
      </c>
      <c r="LJ35" s="29">
        <f t="shared" si="119"/>
        <v>0</v>
      </c>
      <c r="LK35" s="5">
        <f t="shared" si="120"/>
        <v>0</v>
      </c>
      <c r="LL35" s="29">
        <f t="shared" si="121"/>
        <v>0</v>
      </c>
      <c r="LM35" s="5">
        <f t="shared" si="122"/>
        <v>894384</v>
      </c>
      <c r="LN35" s="29">
        <f t="shared" si="123"/>
        <v>0</v>
      </c>
      <c r="LO35" s="5">
        <f t="shared" si="124"/>
        <v>1197184</v>
      </c>
      <c r="LP35" s="29">
        <f t="shared" si="125"/>
        <v>0</v>
      </c>
      <c r="LQ35" s="5">
        <f t="shared" si="126"/>
        <v>5652145</v>
      </c>
      <c r="LR35" s="29">
        <f t="shared" si="127"/>
        <v>0</v>
      </c>
      <c r="LS35" s="5">
        <f t="shared" si="128"/>
        <v>1289295</v>
      </c>
      <c r="LT35" s="29">
        <f t="shared" si="129"/>
        <v>0</v>
      </c>
      <c r="LU35" s="5">
        <f t="shared" si="130"/>
        <v>3628713</v>
      </c>
      <c r="LV35" s="29">
        <f t="shared" si="131"/>
        <v>0</v>
      </c>
      <c r="LW35" s="5">
        <f t="shared" si="132"/>
        <v>3303426</v>
      </c>
      <c r="LX35" s="29">
        <f t="shared" si="133"/>
        <v>0</v>
      </c>
      <c r="LY35" s="5">
        <f t="shared" si="134"/>
        <v>747767</v>
      </c>
      <c r="LZ35" s="29">
        <f t="shared" si="135"/>
        <v>0</v>
      </c>
      <c r="MA35" s="5">
        <f t="shared" si="136"/>
        <v>33354212</v>
      </c>
      <c r="MB35" s="29">
        <f t="shared" si="137"/>
        <v>0</v>
      </c>
      <c r="MC35" s="5">
        <f t="shared" si="138"/>
        <v>645775</v>
      </c>
      <c r="MD35" s="29">
        <f t="shared" si="139"/>
        <v>0</v>
      </c>
      <c r="ME35" s="5">
        <f t="shared" si="140"/>
        <v>0</v>
      </c>
      <c r="MF35" s="29">
        <f t="shared" si="141"/>
        <v>0</v>
      </c>
      <c r="MG35" s="5">
        <f t="shared" si="142"/>
        <v>830425</v>
      </c>
      <c r="MH35" s="29">
        <f t="shared" si="143"/>
        <v>0</v>
      </c>
      <c r="MI35" s="5">
        <f t="shared" si="144"/>
        <v>179505</v>
      </c>
      <c r="MJ35" s="29">
        <f t="shared" si="145"/>
        <v>0</v>
      </c>
      <c r="MK35" s="5">
        <f t="shared" si="146"/>
        <v>9584640</v>
      </c>
      <c r="ML35" s="29">
        <f t="shared" si="147"/>
        <v>0</v>
      </c>
      <c r="MM35" s="5">
        <f t="shared" si="148"/>
        <v>104658746</v>
      </c>
      <c r="MN35" s="29">
        <f t="shared" si="149"/>
        <v>0</v>
      </c>
      <c r="MO35" s="5">
        <f t="shared" si="150"/>
        <v>0</v>
      </c>
      <c r="MP35" s="29">
        <f t="shared" si="151"/>
        <v>0</v>
      </c>
      <c r="MQ35" s="5">
        <f t="shared" si="152"/>
        <v>104658746</v>
      </c>
      <c r="MR35" s="29">
        <f t="shared" si="153"/>
        <v>0</v>
      </c>
      <c r="MT35" s="5">
        <f t="shared" si="76"/>
        <v>0</v>
      </c>
      <c r="MV35" s="4">
        <f t="shared" si="77"/>
        <v>0</v>
      </c>
    </row>
    <row r="36" spans="1:360" x14ac:dyDescent="0.15">
      <c r="A36" s="24" t="s">
        <v>317</v>
      </c>
      <c r="B36" s="28" t="s">
        <v>407</v>
      </c>
      <c r="C36" s="47">
        <v>153603</v>
      </c>
      <c r="D36" s="48">
        <v>2012</v>
      </c>
      <c r="E36" s="49">
        <v>1</v>
      </c>
      <c r="F36" s="49">
        <v>2</v>
      </c>
      <c r="G36" s="50">
        <v>12829</v>
      </c>
      <c r="H36" s="50">
        <v>10072</v>
      </c>
      <c r="I36" s="51">
        <v>983127803</v>
      </c>
      <c r="J36" s="51"/>
      <c r="K36" s="51">
        <v>7022294</v>
      </c>
      <c r="L36" s="51"/>
      <c r="M36" s="51">
        <v>33560112</v>
      </c>
      <c r="N36" s="51"/>
      <c r="O36" s="51">
        <v>74058940</v>
      </c>
      <c r="P36" s="51"/>
      <c r="Q36" s="51">
        <v>458029627</v>
      </c>
      <c r="R36" s="51"/>
      <c r="S36" s="51">
        <v>734642096</v>
      </c>
      <c r="T36" s="51"/>
      <c r="U36" s="51">
        <v>16052</v>
      </c>
      <c r="V36" s="51"/>
      <c r="W36" s="51">
        <v>27895</v>
      </c>
      <c r="X36" s="51"/>
      <c r="Y36" s="51">
        <v>18520</v>
      </c>
      <c r="Z36" s="51"/>
      <c r="AA36" s="51">
        <v>30390</v>
      </c>
      <c r="AB36" s="51"/>
      <c r="AC36" s="72">
        <v>7</v>
      </c>
      <c r="AD36" s="72">
        <v>11</v>
      </c>
      <c r="AE36" s="72">
        <v>0</v>
      </c>
      <c r="AF36" s="29">
        <v>3853169</v>
      </c>
      <c r="AG36" s="29">
        <v>3036200</v>
      </c>
      <c r="AH36" s="29">
        <v>872751</v>
      </c>
      <c r="AI36" s="29">
        <v>275433</v>
      </c>
      <c r="AJ36" s="29">
        <v>623836</v>
      </c>
      <c r="AK36" s="73">
        <v>5</v>
      </c>
      <c r="AL36" s="29">
        <v>561452</v>
      </c>
      <c r="AM36" s="73">
        <v>5</v>
      </c>
      <c r="AN36" s="29">
        <v>183533</v>
      </c>
      <c r="AO36" s="73">
        <v>9</v>
      </c>
      <c r="AP36" s="29">
        <v>173336</v>
      </c>
      <c r="AQ36" s="73">
        <v>9</v>
      </c>
      <c r="AR36" s="29">
        <v>184348</v>
      </c>
      <c r="AS36" s="73">
        <v>18</v>
      </c>
      <c r="AT36" s="29">
        <v>161304</v>
      </c>
      <c r="AU36" s="73">
        <v>20</v>
      </c>
      <c r="AV36" s="29">
        <v>77558</v>
      </c>
      <c r="AW36" s="73">
        <v>18</v>
      </c>
      <c r="AX36" s="29">
        <v>67863</v>
      </c>
      <c r="AY36" s="73">
        <v>20</v>
      </c>
      <c r="AZ36" s="97">
        <v>9556820</v>
      </c>
      <c r="BA36" s="97">
        <v>2656849</v>
      </c>
      <c r="BB36" s="97">
        <v>545987</v>
      </c>
      <c r="BC36" s="97">
        <v>202721</v>
      </c>
      <c r="BD36" s="97">
        <v>0</v>
      </c>
      <c r="BE36" s="97">
        <v>12962377</v>
      </c>
      <c r="BF36" s="97">
        <v>0</v>
      </c>
      <c r="BG36" s="97">
        <v>0</v>
      </c>
      <c r="BH36" s="97">
        <v>0</v>
      </c>
      <c r="BI36" s="97">
        <v>0</v>
      </c>
      <c r="BJ36" s="97">
        <v>1721450</v>
      </c>
      <c r="BK36" s="97">
        <v>1721450</v>
      </c>
      <c r="BL36" s="97">
        <v>275000</v>
      </c>
      <c r="BM36" s="97">
        <v>75000</v>
      </c>
      <c r="BN36" s="97">
        <v>2500</v>
      </c>
      <c r="BO36" s="97">
        <v>8500</v>
      </c>
      <c r="BP36" s="97">
        <v>0</v>
      </c>
      <c r="BQ36" s="97">
        <v>361000</v>
      </c>
      <c r="BR36" s="97">
        <v>2552223</v>
      </c>
      <c r="BS36" s="97">
        <v>176549</v>
      </c>
      <c r="BT36" s="97">
        <v>54701</v>
      </c>
      <c r="BU36" s="97">
        <v>85034</v>
      </c>
      <c r="BV36" s="97">
        <v>5004280</v>
      </c>
      <c r="BW36" s="97">
        <v>7872787</v>
      </c>
      <c r="BX36" s="97">
        <v>0</v>
      </c>
      <c r="BY36" s="97">
        <v>0</v>
      </c>
      <c r="BZ36" s="97">
        <v>0</v>
      </c>
      <c r="CA36" s="97">
        <v>0</v>
      </c>
      <c r="CB36" s="97">
        <v>0</v>
      </c>
      <c r="CC36" s="97">
        <v>0</v>
      </c>
      <c r="CD36" s="97">
        <v>0</v>
      </c>
      <c r="CE36" s="97">
        <v>0</v>
      </c>
      <c r="CF36" s="97">
        <v>0</v>
      </c>
      <c r="CG36" s="97">
        <v>0</v>
      </c>
      <c r="CH36" s="97">
        <v>0</v>
      </c>
      <c r="CI36" s="97">
        <v>0</v>
      </c>
      <c r="CJ36" s="97">
        <v>0</v>
      </c>
      <c r="CK36" s="97">
        <v>0</v>
      </c>
      <c r="CL36" s="97">
        <v>0</v>
      </c>
      <c r="CM36" s="97">
        <v>0</v>
      </c>
      <c r="CN36" s="97">
        <v>0</v>
      </c>
      <c r="CO36" s="97">
        <v>0</v>
      </c>
      <c r="CP36" s="97">
        <v>0</v>
      </c>
      <c r="CQ36" s="97">
        <v>0</v>
      </c>
      <c r="CR36" s="97">
        <v>0</v>
      </c>
      <c r="CS36" s="97">
        <v>0</v>
      </c>
      <c r="CT36" s="97">
        <v>0</v>
      </c>
      <c r="CU36" s="97">
        <v>0</v>
      </c>
      <c r="CV36" s="97">
        <v>16374116</v>
      </c>
      <c r="CW36" s="97">
        <v>4866686</v>
      </c>
      <c r="CX36" s="97">
        <v>14450</v>
      </c>
      <c r="CY36" s="97">
        <v>229948</v>
      </c>
      <c r="CZ36" s="97">
        <v>1608579</v>
      </c>
      <c r="DA36" s="97">
        <v>23093779</v>
      </c>
      <c r="DB36" s="97">
        <v>0</v>
      </c>
      <c r="DC36" s="97">
        <v>0</v>
      </c>
      <c r="DD36" s="97">
        <v>0</v>
      </c>
      <c r="DE36" s="97">
        <v>0</v>
      </c>
      <c r="DF36" s="97">
        <v>3349225</v>
      </c>
      <c r="DG36" s="97">
        <v>3349225</v>
      </c>
      <c r="DH36" s="97">
        <v>1007568</v>
      </c>
      <c r="DI36" s="97">
        <v>144268</v>
      </c>
      <c r="DJ36" s="97">
        <v>46412</v>
      </c>
      <c r="DK36" s="97">
        <v>29933</v>
      </c>
      <c r="DL36" s="97">
        <v>219462</v>
      </c>
      <c r="DM36" s="97">
        <v>1447643</v>
      </c>
      <c r="DN36" s="97">
        <v>0</v>
      </c>
      <c r="DO36" s="97">
        <v>0</v>
      </c>
      <c r="DP36" s="97">
        <v>0</v>
      </c>
      <c r="DQ36" s="97">
        <v>0</v>
      </c>
      <c r="DR36" s="97">
        <v>646319</v>
      </c>
      <c r="DS36" s="98">
        <v>646319</v>
      </c>
      <c r="DT36" s="98">
        <v>0</v>
      </c>
      <c r="DU36" s="97">
        <v>0</v>
      </c>
      <c r="DV36" s="97">
        <v>0</v>
      </c>
      <c r="DW36" s="97">
        <v>0</v>
      </c>
      <c r="DX36" s="97">
        <v>0</v>
      </c>
      <c r="DY36" s="97">
        <v>0</v>
      </c>
      <c r="DZ36" s="97">
        <v>0</v>
      </c>
      <c r="EA36" s="97">
        <v>0</v>
      </c>
      <c r="EB36" s="97">
        <v>0</v>
      </c>
      <c r="EC36" s="97">
        <v>0</v>
      </c>
      <c r="ED36" s="97">
        <v>134703</v>
      </c>
      <c r="EE36" s="97">
        <v>134703</v>
      </c>
      <c r="EF36" s="97">
        <v>9025</v>
      </c>
      <c r="EG36" s="97">
        <v>0</v>
      </c>
      <c r="EH36" s="97">
        <v>186486</v>
      </c>
      <c r="EI36" s="97">
        <v>1318338</v>
      </c>
      <c r="EJ36" s="97">
        <v>2047888</v>
      </c>
      <c r="EK36" s="97">
        <v>3561737</v>
      </c>
      <c r="EL36" s="97">
        <v>29774752</v>
      </c>
      <c r="EM36" s="97">
        <v>7919352</v>
      </c>
      <c r="EN36" s="97">
        <v>850536</v>
      </c>
      <c r="EO36" s="97">
        <v>1874474</v>
      </c>
      <c r="EP36" s="97">
        <v>14731906</v>
      </c>
      <c r="EQ36" s="97">
        <v>55151020</v>
      </c>
      <c r="ER36" s="97">
        <v>2590714</v>
      </c>
      <c r="ES36" s="97">
        <v>418924</v>
      </c>
      <c r="ET36" s="97">
        <v>336963</v>
      </c>
      <c r="EU36" s="97">
        <v>3542768</v>
      </c>
      <c r="EV36" s="97">
        <v>292654</v>
      </c>
      <c r="EW36" s="97">
        <v>7182023</v>
      </c>
      <c r="EX36" s="97">
        <v>828253</v>
      </c>
      <c r="EY36" s="97">
        <v>551002</v>
      </c>
      <c r="EZ36" s="97">
        <v>132932</v>
      </c>
      <c r="FA36" s="97">
        <v>10291</v>
      </c>
      <c r="FB36" s="97">
        <v>0</v>
      </c>
      <c r="FC36" s="97">
        <v>1522478</v>
      </c>
      <c r="FD36" s="97">
        <v>3803781</v>
      </c>
      <c r="FE36" s="97">
        <v>1515061</v>
      </c>
      <c r="FF36" s="97">
        <v>1044275</v>
      </c>
      <c r="FG36" s="97">
        <v>2587549</v>
      </c>
      <c r="FH36" s="97">
        <v>0</v>
      </c>
      <c r="FI36" s="97">
        <v>8950666</v>
      </c>
      <c r="FJ36" s="97">
        <v>0</v>
      </c>
      <c r="FK36" s="97">
        <v>0</v>
      </c>
      <c r="FL36" s="97">
        <v>0</v>
      </c>
      <c r="FM36" s="97">
        <v>0</v>
      </c>
      <c r="FN36" s="97">
        <v>0</v>
      </c>
      <c r="FO36" s="97">
        <v>0</v>
      </c>
      <c r="FP36" s="97">
        <v>1218678</v>
      </c>
      <c r="FQ36" s="97">
        <v>427386</v>
      </c>
      <c r="FR36" s="97">
        <v>308480</v>
      </c>
      <c r="FS36" s="97">
        <v>359435</v>
      </c>
      <c r="FT36" s="97">
        <v>6320696</v>
      </c>
      <c r="FU36" s="97">
        <v>8634675</v>
      </c>
      <c r="FV36" s="97">
        <v>0</v>
      </c>
      <c r="FW36" s="97">
        <v>0</v>
      </c>
      <c r="FX36" s="97">
        <v>0</v>
      </c>
      <c r="FY36" s="97">
        <v>0</v>
      </c>
      <c r="FZ36" s="97">
        <v>0</v>
      </c>
      <c r="GA36" s="97">
        <v>0</v>
      </c>
      <c r="GB36" s="97">
        <v>0</v>
      </c>
      <c r="GC36" s="97">
        <v>0</v>
      </c>
      <c r="GD36" s="97">
        <v>0</v>
      </c>
      <c r="GE36" s="97">
        <v>0</v>
      </c>
      <c r="GF36" s="97">
        <v>0</v>
      </c>
      <c r="GG36" s="97">
        <v>0</v>
      </c>
      <c r="GH36" s="97">
        <v>512192</v>
      </c>
      <c r="GI36" s="97">
        <v>274475</v>
      </c>
      <c r="GJ36" s="97">
        <v>66801</v>
      </c>
      <c r="GK36" s="97">
        <v>294716</v>
      </c>
      <c r="GL36" s="97">
        <v>0</v>
      </c>
      <c r="GM36" s="97">
        <v>1148184</v>
      </c>
      <c r="GN36" s="97">
        <v>2457375</v>
      </c>
      <c r="GO36" s="97">
        <v>578580</v>
      </c>
      <c r="GP36" s="97">
        <v>435507</v>
      </c>
      <c r="GQ36" s="97">
        <v>1684393</v>
      </c>
      <c r="GR36" s="97">
        <v>0</v>
      </c>
      <c r="GS36" s="97">
        <v>5155855</v>
      </c>
      <c r="GT36" s="97">
        <v>625596</v>
      </c>
      <c r="GU36" s="97">
        <v>117678</v>
      </c>
      <c r="GV36" s="97">
        <v>67407</v>
      </c>
      <c r="GW36" s="97">
        <v>354498</v>
      </c>
      <c r="GX36" s="97">
        <v>204759</v>
      </c>
      <c r="GY36" s="97">
        <v>1369938</v>
      </c>
      <c r="GZ36" s="97">
        <v>984370</v>
      </c>
      <c r="HA36" s="97">
        <v>312147</v>
      </c>
      <c r="HB36" s="97">
        <v>262004</v>
      </c>
      <c r="HC36" s="97">
        <v>232659</v>
      </c>
      <c r="HD36" s="97">
        <v>19700</v>
      </c>
      <c r="HE36" s="97">
        <v>1810880</v>
      </c>
      <c r="HF36" s="97">
        <v>102822</v>
      </c>
      <c r="HG36" s="97">
        <v>25413</v>
      </c>
      <c r="HH36" s="97">
        <v>20967</v>
      </c>
      <c r="HI36" s="97">
        <v>26911</v>
      </c>
      <c r="HJ36" s="97">
        <v>1945681</v>
      </c>
      <c r="HK36" s="97">
        <v>2121794</v>
      </c>
      <c r="HL36" s="97">
        <v>0</v>
      </c>
      <c r="HM36" s="97">
        <v>0</v>
      </c>
      <c r="HN36" s="97">
        <v>0</v>
      </c>
      <c r="HO36" s="97">
        <v>0</v>
      </c>
      <c r="HP36" s="97">
        <v>0</v>
      </c>
      <c r="HQ36" s="97">
        <v>0</v>
      </c>
      <c r="HR36" s="97">
        <v>181663</v>
      </c>
      <c r="HS36" s="97">
        <v>29541</v>
      </c>
      <c r="HT36" s="97">
        <v>28071</v>
      </c>
      <c r="HU36" s="97">
        <v>219798</v>
      </c>
      <c r="HV36" s="97">
        <v>11056186</v>
      </c>
      <c r="HW36" s="97">
        <v>11515259</v>
      </c>
      <c r="HX36" s="97">
        <v>0</v>
      </c>
      <c r="HY36" s="97">
        <v>0</v>
      </c>
      <c r="HZ36" s="97">
        <v>0</v>
      </c>
      <c r="IA36" s="97">
        <v>0</v>
      </c>
      <c r="IB36" s="97">
        <v>161594</v>
      </c>
      <c r="IC36" s="97">
        <v>161594</v>
      </c>
      <c r="ID36" s="97">
        <v>0</v>
      </c>
      <c r="IE36" s="97">
        <v>0</v>
      </c>
      <c r="IF36" s="97">
        <v>0</v>
      </c>
      <c r="IG36" s="97">
        <v>0</v>
      </c>
      <c r="IH36" s="97">
        <v>0</v>
      </c>
      <c r="II36" s="97">
        <v>0</v>
      </c>
      <c r="IJ36" s="97">
        <v>286743</v>
      </c>
      <c r="IK36" s="97">
        <v>19583</v>
      </c>
      <c r="IL36" s="97">
        <v>19473</v>
      </c>
      <c r="IM36" s="97">
        <v>305285</v>
      </c>
      <c r="IN36" s="97">
        <v>23124</v>
      </c>
      <c r="IO36" s="97">
        <v>654208</v>
      </c>
      <c r="IP36" s="97">
        <v>3094</v>
      </c>
      <c r="IQ36" s="97">
        <v>355</v>
      </c>
      <c r="IR36" s="97">
        <v>960</v>
      </c>
      <c r="IS36" s="97">
        <v>5571</v>
      </c>
      <c r="IT36" s="97">
        <v>1701144</v>
      </c>
      <c r="IU36" s="97">
        <v>1711124</v>
      </c>
      <c r="IV36" s="97">
        <v>489388</v>
      </c>
      <c r="IW36" s="97">
        <v>132217</v>
      </c>
      <c r="IX36" s="97">
        <v>99606</v>
      </c>
      <c r="IY36" s="97">
        <v>278171</v>
      </c>
      <c r="IZ36" s="97">
        <v>2175663</v>
      </c>
      <c r="JA36" s="97">
        <v>3175045</v>
      </c>
      <c r="JB36" s="97">
        <v>14084669</v>
      </c>
      <c r="JC36" s="97">
        <v>4402362</v>
      </c>
      <c r="JD36" s="97">
        <v>2823446</v>
      </c>
      <c r="JE36" s="97">
        <v>9902045</v>
      </c>
      <c r="JF36" s="97">
        <v>23901201</v>
      </c>
      <c r="JG36" s="97">
        <v>55113723</v>
      </c>
      <c r="JH36" s="97">
        <v>0</v>
      </c>
      <c r="JI36" s="97">
        <v>0</v>
      </c>
      <c r="JJ36" s="97">
        <v>0</v>
      </c>
      <c r="JK36" s="97">
        <v>0</v>
      </c>
      <c r="JL36" s="97">
        <v>0</v>
      </c>
      <c r="JM36" s="97">
        <v>0</v>
      </c>
      <c r="JN36" s="97">
        <v>14084669</v>
      </c>
      <c r="JO36" s="97">
        <v>4402362</v>
      </c>
      <c r="JP36" s="97">
        <v>2823446</v>
      </c>
      <c r="JQ36" s="97">
        <v>9902045</v>
      </c>
      <c r="JR36" s="97">
        <v>23901201</v>
      </c>
      <c r="JS36" s="97">
        <v>55113723</v>
      </c>
      <c r="JU36" s="5">
        <f t="shared" si="78"/>
        <v>12962377</v>
      </c>
      <c r="JV36" s="29">
        <f t="shared" si="79"/>
        <v>0</v>
      </c>
      <c r="JW36" s="5">
        <f t="shared" si="80"/>
        <v>1721450</v>
      </c>
      <c r="JX36" s="29">
        <f t="shared" si="81"/>
        <v>0</v>
      </c>
      <c r="JY36" s="5">
        <f t="shared" si="82"/>
        <v>361000</v>
      </c>
      <c r="JZ36" s="29">
        <f t="shared" si="83"/>
        <v>0</v>
      </c>
      <c r="KA36" s="5">
        <f t="shared" si="84"/>
        <v>7872787</v>
      </c>
      <c r="KB36" s="29">
        <f t="shared" si="85"/>
        <v>0</v>
      </c>
      <c r="KC36" s="5">
        <f t="shared" si="86"/>
        <v>0</v>
      </c>
      <c r="KD36" s="29">
        <f t="shared" si="87"/>
        <v>0</v>
      </c>
      <c r="KE36" s="5">
        <f t="shared" si="88"/>
        <v>0</v>
      </c>
      <c r="KF36" s="29">
        <f t="shared" si="89"/>
        <v>0</v>
      </c>
      <c r="KG36" s="5">
        <f t="shared" si="90"/>
        <v>0</v>
      </c>
      <c r="KH36" s="29">
        <f t="shared" si="91"/>
        <v>0</v>
      </c>
      <c r="KI36" s="5">
        <f t="shared" si="92"/>
        <v>0</v>
      </c>
      <c r="KJ36" s="29">
        <f t="shared" si="93"/>
        <v>0</v>
      </c>
      <c r="KK36" s="5">
        <f t="shared" si="94"/>
        <v>23093779</v>
      </c>
      <c r="KL36" s="29">
        <f t="shared" si="95"/>
        <v>0</v>
      </c>
      <c r="KM36" s="5">
        <f t="shared" si="96"/>
        <v>3349225</v>
      </c>
      <c r="KN36" s="29">
        <f t="shared" si="97"/>
        <v>0</v>
      </c>
      <c r="KO36" s="5">
        <f t="shared" si="98"/>
        <v>1447643</v>
      </c>
      <c r="KP36" s="29">
        <f t="shared" si="99"/>
        <v>0</v>
      </c>
      <c r="KQ36" s="5">
        <f t="shared" si="100"/>
        <v>646319</v>
      </c>
      <c r="KR36" s="29">
        <f t="shared" si="101"/>
        <v>0</v>
      </c>
      <c r="KS36" s="5">
        <f t="shared" si="102"/>
        <v>0</v>
      </c>
      <c r="KT36" s="29">
        <f t="shared" si="103"/>
        <v>0</v>
      </c>
      <c r="KU36" s="5">
        <f t="shared" si="104"/>
        <v>134703</v>
      </c>
      <c r="KV36" s="29">
        <f t="shared" si="105"/>
        <v>0</v>
      </c>
      <c r="KW36" s="5">
        <f t="shared" si="106"/>
        <v>3561737</v>
      </c>
      <c r="KX36" s="29">
        <f t="shared" si="107"/>
        <v>0</v>
      </c>
      <c r="KY36" s="5">
        <f t="shared" si="108"/>
        <v>55151020</v>
      </c>
      <c r="KZ36" s="29">
        <f t="shared" si="109"/>
        <v>0</v>
      </c>
      <c r="LA36" s="5">
        <f t="shared" si="110"/>
        <v>7182023</v>
      </c>
      <c r="LB36" s="29">
        <f t="shared" si="111"/>
        <v>0</v>
      </c>
      <c r="LC36" s="5">
        <f t="shared" si="112"/>
        <v>1522478</v>
      </c>
      <c r="LD36" s="29">
        <f t="shared" si="113"/>
        <v>0</v>
      </c>
      <c r="LE36" s="5">
        <f t="shared" si="114"/>
        <v>8950666</v>
      </c>
      <c r="LF36" s="29">
        <f t="shared" si="115"/>
        <v>0</v>
      </c>
      <c r="LG36" s="5">
        <f t="shared" si="116"/>
        <v>0</v>
      </c>
      <c r="LH36" s="29">
        <f t="shared" si="117"/>
        <v>0</v>
      </c>
      <c r="LI36" s="5">
        <f t="shared" si="118"/>
        <v>8634675</v>
      </c>
      <c r="LJ36" s="29">
        <f t="shared" si="119"/>
        <v>0</v>
      </c>
      <c r="LK36" s="5">
        <f t="shared" si="120"/>
        <v>0</v>
      </c>
      <c r="LL36" s="29">
        <f t="shared" si="121"/>
        <v>0</v>
      </c>
      <c r="LM36" s="5">
        <f t="shared" si="122"/>
        <v>0</v>
      </c>
      <c r="LN36" s="29">
        <f t="shared" si="123"/>
        <v>0</v>
      </c>
      <c r="LO36" s="5">
        <f t="shared" si="124"/>
        <v>1148184</v>
      </c>
      <c r="LP36" s="29">
        <f t="shared" si="125"/>
        <v>0</v>
      </c>
      <c r="LQ36" s="5">
        <f t="shared" si="126"/>
        <v>5155855</v>
      </c>
      <c r="LR36" s="29">
        <f t="shared" si="127"/>
        <v>0</v>
      </c>
      <c r="LS36" s="5">
        <f t="shared" si="128"/>
        <v>1369938</v>
      </c>
      <c r="LT36" s="29">
        <f t="shared" si="129"/>
        <v>0</v>
      </c>
      <c r="LU36" s="5">
        <f t="shared" si="130"/>
        <v>1810880</v>
      </c>
      <c r="LV36" s="29">
        <f t="shared" si="131"/>
        <v>0</v>
      </c>
      <c r="LW36" s="5">
        <f t="shared" si="132"/>
        <v>2121794</v>
      </c>
      <c r="LX36" s="29">
        <f t="shared" si="133"/>
        <v>0</v>
      </c>
      <c r="LY36" s="5">
        <f t="shared" si="134"/>
        <v>0</v>
      </c>
      <c r="LZ36" s="29">
        <f t="shared" si="135"/>
        <v>0</v>
      </c>
      <c r="MA36" s="5">
        <f t="shared" si="136"/>
        <v>11515259</v>
      </c>
      <c r="MB36" s="29">
        <f t="shared" si="137"/>
        <v>0</v>
      </c>
      <c r="MC36" s="5">
        <f t="shared" si="138"/>
        <v>161594</v>
      </c>
      <c r="MD36" s="29">
        <f t="shared" si="139"/>
        <v>0</v>
      </c>
      <c r="ME36" s="5">
        <f t="shared" si="140"/>
        <v>0</v>
      </c>
      <c r="MF36" s="29">
        <f t="shared" si="141"/>
        <v>0</v>
      </c>
      <c r="MG36" s="5">
        <f t="shared" si="142"/>
        <v>654208</v>
      </c>
      <c r="MH36" s="29">
        <f t="shared" si="143"/>
        <v>0</v>
      </c>
      <c r="MI36" s="5">
        <f t="shared" si="144"/>
        <v>1711124</v>
      </c>
      <c r="MJ36" s="29">
        <f t="shared" si="145"/>
        <v>0</v>
      </c>
      <c r="MK36" s="5">
        <f t="shared" si="146"/>
        <v>3175045</v>
      </c>
      <c r="ML36" s="29">
        <f t="shared" si="147"/>
        <v>0</v>
      </c>
      <c r="MM36" s="5">
        <f t="shared" si="148"/>
        <v>55113723</v>
      </c>
      <c r="MN36" s="29">
        <f t="shared" si="149"/>
        <v>0</v>
      </c>
      <c r="MO36" s="5">
        <f t="shared" si="150"/>
        <v>0</v>
      </c>
      <c r="MP36" s="29">
        <f t="shared" si="151"/>
        <v>0</v>
      </c>
      <c r="MQ36" s="5">
        <f t="shared" si="152"/>
        <v>55113723</v>
      </c>
      <c r="MR36" s="29">
        <f t="shared" si="153"/>
        <v>0</v>
      </c>
      <c r="MT36" s="5">
        <f t="shared" si="76"/>
        <v>0</v>
      </c>
      <c r="MV36" s="4">
        <f t="shared" si="77"/>
        <v>0</v>
      </c>
    </row>
    <row r="37" spans="1:360" x14ac:dyDescent="0.15">
      <c r="A37" s="9" t="s">
        <v>318</v>
      </c>
      <c r="B37" s="25" t="s">
        <v>463</v>
      </c>
      <c r="C37" s="48">
        <v>155317</v>
      </c>
      <c r="D37" s="48">
        <v>2012</v>
      </c>
      <c r="E37" s="49">
        <v>1</v>
      </c>
      <c r="F37" s="49">
        <v>2</v>
      </c>
      <c r="G37" s="50">
        <v>8907</v>
      </c>
      <c r="H37" s="50">
        <v>8793</v>
      </c>
      <c r="I37" s="51">
        <v>1056881880</v>
      </c>
      <c r="J37" s="51"/>
      <c r="K37" s="51">
        <v>4148321</v>
      </c>
      <c r="L37" s="51"/>
      <c r="M37" s="51">
        <v>21185779</v>
      </c>
      <c r="N37" s="51"/>
      <c r="O37" s="51">
        <v>57417890</v>
      </c>
      <c r="P37" s="51"/>
      <c r="Q37" s="51">
        <v>385898413</v>
      </c>
      <c r="R37" s="51"/>
      <c r="S37" s="51">
        <v>346900000</v>
      </c>
      <c r="T37" s="51"/>
      <c r="U37" s="51">
        <v>20124</v>
      </c>
      <c r="V37" s="51"/>
      <c r="W37" s="51">
        <v>33510</v>
      </c>
      <c r="X37" s="51"/>
      <c r="Y37" s="51">
        <v>21807</v>
      </c>
      <c r="Z37" s="51"/>
      <c r="AA37" s="51">
        <v>34948</v>
      </c>
      <c r="AB37" s="51"/>
      <c r="AC37" s="74">
        <v>7</v>
      </c>
      <c r="AD37" s="74">
        <v>11</v>
      </c>
      <c r="AE37" s="74">
        <v>0</v>
      </c>
      <c r="AF37" s="29">
        <v>5364236</v>
      </c>
      <c r="AG37" s="29">
        <v>4120127</v>
      </c>
      <c r="AH37" s="29">
        <v>1013448</v>
      </c>
      <c r="AI37" s="29">
        <v>451488</v>
      </c>
      <c r="AJ37" s="29">
        <v>1684143.11</v>
      </c>
      <c r="AK37" s="73">
        <v>4.5</v>
      </c>
      <c r="AL37" s="29">
        <v>1515728.8</v>
      </c>
      <c r="AM37" s="73">
        <v>5</v>
      </c>
      <c r="AN37" s="29">
        <v>184731.41</v>
      </c>
      <c r="AO37" s="73">
        <v>8.5</v>
      </c>
      <c r="AP37" s="29">
        <v>174468.56</v>
      </c>
      <c r="AQ37" s="73">
        <v>9</v>
      </c>
      <c r="AR37" s="29">
        <v>215923.37</v>
      </c>
      <c r="AS37" s="73">
        <v>17.5</v>
      </c>
      <c r="AT37" s="29">
        <v>188932.95</v>
      </c>
      <c r="AU37" s="73">
        <v>20</v>
      </c>
      <c r="AV37" s="29">
        <v>83188.63</v>
      </c>
      <c r="AW37" s="73">
        <v>17.5</v>
      </c>
      <c r="AX37" s="29">
        <v>72790.05</v>
      </c>
      <c r="AY37" s="73">
        <v>20</v>
      </c>
      <c r="AZ37" s="97">
        <v>6561036</v>
      </c>
      <c r="BA37" s="97">
        <v>11936942</v>
      </c>
      <c r="BB37" s="97">
        <v>113951</v>
      </c>
      <c r="BC37" s="97">
        <v>140558</v>
      </c>
      <c r="BD37" s="97">
        <v>17783</v>
      </c>
      <c r="BE37" s="97">
        <v>18770270</v>
      </c>
      <c r="BF37" s="97">
        <v>0</v>
      </c>
      <c r="BG37" s="97">
        <v>0</v>
      </c>
      <c r="BH37" s="97">
        <v>0</v>
      </c>
      <c r="BI37" s="97">
        <v>0</v>
      </c>
      <c r="BJ37" s="97">
        <v>1166143</v>
      </c>
      <c r="BK37" s="97">
        <v>1166143</v>
      </c>
      <c r="BL37" s="97">
        <v>150000</v>
      </c>
      <c r="BM37" s="97">
        <v>250000</v>
      </c>
      <c r="BN37" s="97">
        <v>0</v>
      </c>
      <c r="BO37" s="97">
        <v>17500</v>
      </c>
      <c r="BP37" s="97">
        <v>0</v>
      </c>
      <c r="BQ37" s="97">
        <v>417500</v>
      </c>
      <c r="BR37" s="97">
        <v>0</v>
      </c>
      <c r="BS37" s="97">
        <v>0</v>
      </c>
      <c r="BT37" s="97">
        <v>0</v>
      </c>
      <c r="BU37" s="97">
        <v>0</v>
      </c>
      <c r="BV37" s="97">
        <v>22446377</v>
      </c>
      <c r="BW37" s="97">
        <v>22446377</v>
      </c>
      <c r="BX37" s="97">
        <v>0</v>
      </c>
      <c r="BY37" s="97">
        <v>0</v>
      </c>
      <c r="BZ37" s="97">
        <v>0</v>
      </c>
      <c r="CA37" s="97">
        <v>0</v>
      </c>
      <c r="CB37" s="97">
        <v>0</v>
      </c>
      <c r="CC37" s="97">
        <v>0</v>
      </c>
      <c r="CD37" s="97">
        <v>0</v>
      </c>
      <c r="CE37" s="97">
        <v>0</v>
      </c>
      <c r="CF37" s="97">
        <v>0</v>
      </c>
      <c r="CG37" s="97">
        <v>0</v>
      </c>
      <c r="CH37" s="97">
        <v>0</v>
      </c>
      <c r="CI37" s="97">
        <v>0</v>
      </c>
      <c r="CJ37" s="97">
        <v>0</v>
      </c>
      <c r="CK37" s="97">
        <v>0</v>
      </c>
      <c r="CL37" s="97">
        <v>0</v>
      </c>
      <c r="CM37" s="97">
        <v>0</v>
      </c>
      <c r="CN37" s="97">
        <v>1684030</v>
      </c>
      <c r="CO37" s="97">
        <v>1684030</v>
      </c>
      <c r="CP37" s="97">
        <v>0</v>
      </c>
      <c r="CQ37" s="97">
        <v>0</v>
      </c>
      <c r="CR37" s="97">
        <v>0</v>
      </c>
      <c r="CS37" s="97">
        <v>0</v>
      </c>
      <c r="CT37" s="97">
        <v>0</v>
      </c>
      <c r="CU37" s="97">
        <v>0</v>
      </c>
      <c r="CV37" s="97">
        <v>8541893</v>
      </c>
      <c r="CW37" s="97">
        <v>4247879</v>
      </c>
      <c r="CX37" s="97">
        <v>0</v>
      </c>
      <c r="CY37" s="97">
        <v>0</v>
      </c>
      <c r="CZ37" s="97">
        <v>1275096</v>
      </c>
      <c r="DA37" s="97">
        <v>14064868</v>
      </c>
      <c r="DB37" s="97">
        <v>0</v>
      </c>
      <c r="DC37" s="97">
        <v>0</v>
      </c>
      <c r="DD37" s="97">
        <v>0</v>
      </c>
      <c r="DE37" s="97">
        <v>0</v>
      </c>
      <c r="DF37" s="97">
        <v>6505577</v>
      </c>
      <c r="DG37" s="97">
        <v>6505577</v>
      </c>
      <c r="DH37" s="97">
        <v>66514</v>
      </c>
      <c r="DI37" s="97">
        <v>6352</v>
      </c>
      <c r="DJ37" s="97">
        <v>0</v>
      </c>
      <c r="DK37" s="97">
        <v>2092</v>
      </c>
      <c r="DL37" s="97">
        <v>2220524</v>
      </c>
      <c r="DM37" s="97">
        <v>2295482</v>
      </c>
      <c r="DN37" s="97">
        <v>0</v>
      </c>
      <c r="DO37" s="97">
        <v>0</v>
      </c>
      <c r="DP37" s="97">
        <v>0</v>
      </c>
      <c r="DQ37" s="97">
        <v>0</v>
      </c>
      <c r="DR37" s="97">
        <v>1954036</v>
      </c>
      <c r="DS37" s="97">
        <v>1954036</v>
      </c>
      <c r="DT37" s="97">
        <v>0</v>
      </c>
      <c r="DU37" s="97">
        <v>0</v>
      </c>
      <c r="DV37" s="97">
        <v>0</v>
      </c>
      <c r="DW37" s="97">
        <v>0</v>
      </c>
      <c r="DX37" s="97">
        <v>10338</v>
      </c>
      <c r="DY37" s="97">
        <v>10338</v>
      </c>
      <c r="DZ37" s="97">
        <v>0</v>
      </c>
      <c r="EA37" s="97">
        <v>0</v>
      </c>
      <c r="EB37" s="97">
        <v>0</v>
      </c>
      <c r="EC37" s="97">
        <v>0</v>
      </c>
      <c r="ED37" s="97">
        <v>-926697</v>
      </c>
      <c r="EE37" s="97">
        <v>-926697</v>
      </c>
      <c r="EF37" s="97">
        <v>23742</v>
      </c>
      <c r="EG37" s="97">
        <v>0</v>
      </c>
      <c r="EH37" s="97">
        <v>0</v>
      </c>
      <c r="EI37" s="97">
        <v>55715</v>
      </c>
      <c r="EJ37" s="97">
        <v>1761532</v>
      </c>
      <c r="EK37" s="97">
        <v>1840989</v>
      </c>
      <c r="EL37" s="97">
        <v>15343185</v>
      </c>
      <c r="EM37" s="97">
        <v>16441173</v>
      </c>
      <c r="EN37" s="97">
        <v>113951</v>
      </c>
      <c r="EO37" s="97">
        <v>215865</v>
      </c>
      <c r="EP37" s="97">
        <v>38114739</v>
      </c>
      <c r="EQ37" s="97">
        <v>70228913</v>
      </c>
      <c r="ER37" s="97">
        <v>3623909</v>
      </c>
      <c r="ES37" s="97">
        <v>567609</v>
      </c>
      <c r="ET37" s="97">
        <v>507457</v>
      </c>
      <c r="EU37" s="97">
        <v>4785388</v>
      </c>
      <c r="EV37" s="97">
        <v>389223</v>
      </c>
      <c r="EW37" s="97">
        <v>9873586</v>
      </c>
      <c r="EX37" s="97">
        <v>550000</v>
      </c>
      <c r="EY37" s="97">
        <v>670000</v>
      </c>
      <c r="EZ37" s="97">
        <v>137000</v>
      </c>
      <c r="FA37" s="97">
        <v>68141</v>
      </c>
      <c r="FB37" s="97">
        <v>226862</v>
      </c>
      <c r="FC37" s="97">
        <v>1652003</v>
      </c>
      <c r="FD37" s="97">
        <v>4511572</v>
      </c>
      <c r="FE37" s="97">
        <v>5721681</v>
      </c>
      <c r="FF37" s="97">
        <v>1189099</v>
      </c>
      <c r="FG37" s="97">
        <v>2960969</v>
      </c>
      <c r="FH37" s="97">
        <v>0</v>
      </c>
      <c r="FI37" s="97">
        <v>14383321</v>
      </c>
      <c r="FJ37" s="97">
        <v>0</v>
      </c>
      <c r="FK37" s="97">
        <v>0</v>
      </c>
      <c r="FL37" s="97">
        <v>0</v>
      </c>
      <c r="FM37" s="97">
        <v>0</v>
      </c>
      <c r="FN37" s="97">
        <v>0</v>
      </c>
      <c r="FO37" s="97">
        <v>0</v>
      </c>
      <c r="FP37" s="97">
        <v>723069</v>
      </c>
      <c r="FQ37" s="97">
        <v>392867</v>
      </c>
      <c r="FR37" s="97">
        <v>360205</v>
      </c>
      <c r="FS37" s="97">
        <v>270838</v>
      </c>
      <c r="FT37" s="97">
        <v>12441285</v>
      </c>
      <c r="FU37" s="97">
        <v>14188264</v>
      </c>
      <c r="FV37" s="97">
        <v>0</v>
      </c>
      <c r="FW37" s="97">
        <v>0</v>
      </c>
      <c r="FX37" s="97">
        <v>0</v>
      </c>
      <c r="FY37" s="97">
        <v>0</v>
      </c>
      <c r="FZ37" s="97">
        <v>0</v>
      </c>
      <c r="GA37" s="97">
        <v>0</v>
      </c>
      <c r="GB37" s="97">
        <v>8325063</v>
      </c>
      <c r="GC37" s="97">
        <v>0</v>
      </c>
      <c r="GD37" s="97">
        <v>0</v>
      </c>
      <c r="GE37" s="97">
        <v>7511</v>
      </c>
      <c r="GF37" s="97">
        <v>230865</v>
      </c>
      <c r="GG37" s="97">
        <v>8563439</v>
      </c>
      <c r="GH37" s="97">
        <v>477606</v>
      </c>
      <c r="GI37" s="97">
        <v>396248</v>
      </c>
      <c r="GJ37" s="97">
        <v>184537</v>
      </c>
      <c r="GK37" s="97">
        <v>406545</v>
      </c>
      <c r="GL37" s="97">
        <v>0</v>
      </c>
      <c r="GM37" s="97">
        <v>1464936</v>
      </c>
      <c r="GN37" s="97">
        <v>1035938</v>
      </c>
      <c r="GO37" s="97">
        <v>1582178</v>
      </c>
      <c r="GP37" s="97">
        <v>806306</v>
      </c>
      <c r="GQ37" s="97">
        <v>2515749</v>
      </c>
      <c r="GR37" s="97">
        <v>782461</v>
      </c>
      <c r="GS37" s="97">
        <v>6722632</v>
      </c>
      <c r="GT37" s="97">
        <v>302905</v>
      </c>
      <c r="GU37" s="97">
        <v>49608</v>
      </c>
      <c r="GV37" s="97">
        <v>40558</v>
      </c>
      <c r="GW37" s="97">
        <v>256373</v>
      </c>
      <c r="GX37" s="97">
        <v>295700</v>
      </c>
      <c r="GY37" s="97">
        <v>945144</v>
      </c>
      <c r="GZ37" s="97">
        <v>693703</v>
      </c>
      <c r="HA37" s="97">
        <v>851286</v>
      </c>
      <c r="HB37" s="97">
        <v>367801</v>
      </c>
      <c r="HC37" s="97">
        <v>256326</v>
      </c>
      <c r="HD37" s="97">
        <v>599597</v>
      </c>
      <c r="HE37" s="97">
        <v>2768713</v>
      </c>
      <c r="HF37" s="97">
        <v>19102</v>
      </c>
      <c r="HG37" s="97">
        <v>8086</v>
      </c>
      <c r="HH37" s="97">
        <v>3015</v>
      </c>
      <c r="HI37" s="97">
        <v>36201</v>
      </c>
      <c r="HJ37" s="97">
        <v>1051010</v>
      </c>
      <c r="HK37" s="97">
        <v>1117414</v>
      </c>
      <c r="HL37" s="97">
        <v>0</v>
      </c>
      <c r="HM37" s="97">
        <v>0</v>
      </c>
      <c r="HN37" s="97">
        <v>0</v>
      </c>
      <c r="HO37" s="97">
        <v>0</v>
      </c>
      <c r="HP37" s="97">
        <v>0</v>
      </c>
      <c r="HQ37" s="97">
        <v>0</v>
      </c>
      <c r="HR37" s="97">
        <v>61908</v>
      </c>
      <c r="HS37" s="97">
        <v>0</v>
      </c>
      <c r="HT37" s="97">
        <v>0</v>
      </c>
      <c r="HU37" s="97">
        <v>192766</v>
      </c>
      <c r="HV37" s="97">
        <v>4857564</v>
      </c>
      <c r="HW37" s="97">
        <v>5112238</v>
      </c>
      <c r="HX37" s="97">
        <v>0</v>
      </c>
      <c r="HY37" s="97">
        <v>0</v>
      </c>
      <c r="HZ37" s="97">
        <v>0</v>
      </c>
      <c r="IA37" s="97">
        <v>0</v>
      </c>
      <c r="IB37" s="97">
        <v>125669</v>
      </c>
      <c r="IC37" s="97">
        <v>125669</v>
      </c>
      <c r="ID37" s="97">
        <v>0</v>
      </c>
      <c r="IE37" s="97">
        <v>0</v>
      </c>
      <c r="IF37" s="97">
        <v>0</v>
      </c>
      <c r="IG37" s="97">
        <v>0</v>
      </c>
      <c r="IH37" s="97">
        <v>0</v>
      </c>
      <c r="II37" s="97">
        <v>0</v>
      </c>
      <c r="IJ37" s="97">
        <v>0</v>
      </c>
      <c r="IK37" s="97">
        <v>0</v>
      </c>
      <c r="IL37" s="97">
        <v>0</v>
      </c>
      <c r="IM37" s="97">
        <v>0</v>
      </c>
      <c r="IN37" s="97">
        <v>653188</v>
      </c>
      <c r="IO37" s="97">
        <v>653188</v>
      </c>
      <c r="IP37" s="97">
        <v>26610</v>
      </c>
      <c r="IQ37" s="97">
        <v>26820</v>
      </c>
      <c r="IR37" s="97">
        <v>16077</v>
      </c>
      <c r="IS37" s="97">
        <v>47539</v>
      </c>
      <c r="IT37" s="97">
        <v>285930</v>
      </c>
      <c r="IU37" s="97">
        <v>402976</v>
      </c>
      <c r="IV37" s="97">
        <v>197338</v>
      </c>
      <c r="IW37" s="97">
        <v>2465231</v>
      </c>
      <c r="IX37" s="97">
        <v>50281</v>
      </c>
      <c r="IY37" s="97">
        <v>237809</v>
      </c>
      <c r="IZ37" s="97">
        <v>8049259</v>
      </c>
      <c r="JA37" s="97">
        <v>10999918</v>
      </c>
      <c r="JB37" s="97">
        <v>20548723</v>
      </c>
      <c r="JC37" s="97">
        <v>12731614</v>
      </c>
      <c r="JD37" s="97">
        <v>3662336</v>
      </c>
      <c r="JE37" s="97">
        <v>12042155</v>
      </c>
      <c r="JF37" s="97">
        <v>29988613</v>
      </c>
      <c r="JG37" s="97">
        <v>78973441</v>
      </c>
      <c r="JH37" s="97">
        <v>0</v>
      </c>
      <c r="JI37" s="97">
        <v>0</v>
      </c>
      <c r="JJ37" s="97">
        <v>0</v>
      </c>
      <c r="JK37" s="97">
        <v>0</v>
      </c>
      <c r="JL37" s="97">
        <v>0</v>
      </c>
      <c r="JM37" s="97">
        <v>0</v>
      </c>
      <c r="JN37" s="97">
        <v>20548723</v>
      </c>
      <c r="JO37" s="97">
        <v>12731614</v>
      </c>
      <c r="JP37" s="97">
        <v>3662336</v>
      </c>
      <c r="JQ37" s="97">
        <v>12042155</v>
      </c>
      <c r="JR37" s="97">
        <v>29988613</v>
      </c>
      <c r="JS37" s="97">
        <v>78973441</v>
      </c>
      <c r="JU37" s="5">
        <f t="shared" si="78"/>
        <v>18770270</v>
      </c>
      <c r="JV37" s="29">
        <f t="shared" si="79"/>
        <v>0</v>
      </c>
      <c r="JW37" s="5">
        <f t="shared" si="80"/>
        <v>1166143</v>
      </c>
      <c r="JX37" s="29">
        <f t="shared" si="81"/>
        <v>0</v>
      </c>
      <c r="JY37" s="5">
        <f t="shared" si="82"/>
        <v>417500</v>
      </c>
      <c r="JZ37" s="29">
        <f t="shared" si="83"/>
        <v>0</v>
      </c>
      <c r="KA37" s="5">
        <f t="shared" si="84"/>
        <v>22446377</v>
      </c>
      <c r="KB37" s="29">
        <f t="shared" si="85"/>
        <v>0</v>
      </c>
      <c r="KC37" s="5">
        <f t="shared" si="86"/>
        <v>0</v>
      </c>
      <c r="KD37" s="29">
        <f t="shared" si="87"/>
        <v>0</v>
      </c>
      <c r="KE37" s="5">
        <f t="shared" si="88"/>
        <v>0</v>
      </c>
      <c r="KF37" s="29">
        <f t="shared" si="89"/>
        <v>0</v>
      </c>
      <c r="KG37" s="5">
        <f t="shared" si="90"/>
        <v>1684030</v>
      </c>
      <c r="KH37" s="29">
        <f t="shared" si="91"/>
        <v>0</v>
      </c>
      <c r="KI37" s="5">
        <f t="shared" si="92"/>
        <v>0</v>
      </c>
      <c r="KJ37" s="29">
        <f t="shared" si="93"/>
        <v>0</v>
      </c>
      <c r="KK37" s="5">
        <f t="shared" si="94"/>
        <v>14064868</v>
      </c>
      <c r="KL37" s="29">
        <f t="shared" si="95"/>
        <v>0</v>
      </c>
      <c r="KM37" s="5">
        <f t="shared" si="96"/>
        <v>6505577</v>
      </c>
      <c r="KN37" s="29">
        <f t="shared" si="97"/>
        <v>0</v>
      </c>
      <c r="KO37" s="5">
        <f t="shared" si="98"/>
        <v>2295482</v>
      </c>
      <c r="KP37" s="29">
        <f t="shared" si="99"/>
        <v>0</v>
      </c>
      <c r="KQ37" s="5">
        <f t="shared" si="100"/>
        <v>1954036</v>
      </c>
      <c r="KR37" s="29">
        <f t="shared" si="101"/>
        <v>0</v>
      </c>
      <c r="KS37" s="5">
        <f t="shared" si="102"/>
        <v>10338</v>
      </c>
      <c r="KT37" s="29">
        <f t="shared" si="103"/>
        <v>0</v>
      </c>
      <c r="KU37" s="5">
        <f t="shared" si="104"/>
        <v>-926697</v>
      </c>
      <c r="KV37" s="29">
        <f t="shared" si="105"/>
        <v>0</v>
      </c>
      <c r="KW37" s="5">
        <f t="shared" si="106"/>
        <v>1840989</v>
      </c>
      <c r="KX37" s="29">
        <f t="shared" si="107"/>
        <v>0</v>
      </c>
      <c r="KY37" s="5">
        <f t="shared" si="108"/>
        <v>70228913</v>
      </c>
      <c r="KZ37" s="29">
        <f t="shared" si="109"/>
        <v>0</v>
      </c>
      <c r="LA37" s="5">
        <f t="shared" si="110"/>
        <v>9873586</v>
      </c>
      <c r="LB37" s="29">
        <f t="shared" si="111"/>
        <v>0</v>
      </c>
      <c r="LC37" s="5">
        <f t="shared" si="112"/>
        <v>1652003</v>
      </c>
      <c r="LD37" s="29">
        <f t="shared" si="113"/>
        <v>0</v>
      </c>
      <c r="LE37" s="5">
        <f t="shared" si="114"/>
        <v>14383321</v>
      </c>
      <c r="LF37" s="29">
        <f t="shared" si="115"/>
        <v>0</v>
      </c>
      <c r="LG37" s="5">
        <f t="shared" si="116"/>
        <v>0</v>
      </c>
      <c r="LH37" s="29">
        <f t="shared" si="117"/>
        <v>0</v>
      </c>
      <c r="LI37" s="5">
        <f t="shared" si="118"/>
        <v>14188264</v>
      </c>
      <c r="LJ37" s="29">
        <f t="shared" si="119"/>
        <v>0</v>
      </c>
      <c r="LK37" s="5">
        <f t="shared" si="120"/>
        <v>0</v>
      </c>
      <c r="LL37" s="29">
        <f t="shared" si="121"/>
        <v>0</v>
      </c>
      <c r="LM37" s="5">
        <f t="shared" si="122"/>
        <v>8563439</v>
      </c>
      <c r="LN37" s="29">
        <f t="shared" si="123"/>
        <v>0</v>
      </c>
      <c r="LO37" s="5">
        <f t="shared" si="124"/>
        <v>1464936</v>
      </c>
      <c r="LP37" s="29">
        <f t="shared" si="125"/>
        <v>0</v>
      </c>
      <c r="LQ37" s="5">
        <f t="shared" si="126"/>
        <v>6722632</v>
      </c>
      <c r="LR37" s="29">
        <f t="shared" si="127"/>
        <v>0</v>
      </c>
      <c r="LS37" s="5">
        <f t="shared" si="128"/>
        <v>945144</v>
      </c>
      <c r="LT37" s="29">
        <f t="shared" si="129"/>
        <v>0</v>
      </c>
      <c r="LU37" s="5">
        <f t="shared" si="130"/>
        <v>2768713</v>
      </c>
      <c r="LV37" s="29">
        <f t="shared" si="131"/>
        <v>0</v>
      </c>
      <c r="LW37" s="5">
        <f t="shared" si="132"/>
        <v>1117414</v>
      </c>
      <c r="LX37" s="29">
        <f t="shared" si="133"/>
        <v>0</v>
      </c>
      <c r="LY37" s="5">
        <f t="shared" si="134"/>
        <v>0</v>
      </c>
      <c r="LZ37" s="29">
        <f t="shared" si="135"/>
        <v>0</v>
      </c>
      <c r="MA37" s="5">
        <f t="shared" si="136"/>
        <v>5112238</v>
      </c>
      <c r="MB37" s="29">
        <f t="shared" si="137"/>
        <v>0</v>
      </c>
      <c r="MC37" s="5">
        <f t="shared" si="138"/>
        <v>125669</v>
      </c>
      <c r="MD37" s="29">
        <f t="shared" si="139"/>
        <v>0</v>
      </c>
      <c r="ME37" s="5">
        <f t="shared" si="140"/>
        <v>0</v>
      </c>
      <c r="MF37" s="29">
        <f t="shared" si="141"/>
        <v>0</v>
      </c>
      <c r="MG37" s="5">
        <f t="shared" si="142"/>
        <v>653188</v>
      </c>
      <c r="MH37" s="29">
        <f t="shared" si="143"/>
        <v>0</v>
      </c>
      <c r="MI37" s="5">
        <f t="shared" si="144"/>
        <v>402976</v>
      </c>
      <c r="MJ37" s="29">
        <f t="shared" si="145"/>
        <v>0</v>
      </c>
      <c r="MK37" s="5">
        <f t="shared" si="146"/>
        <v>10999918</v>
      </c>
      <c r="ML37" s="29">
        <f t="shared" si="147"/>
        <v>0</v>
      </c>
      <c r="MM37" s="5">
        <f t="shared" si="148"/>
        <v>78973441</v>
      </c>
      <c r="MN37" s="29">
        <f t="shared" si="149"/>
        <v>0</v>
      </c>
      <c r="MO37" s="5">
        <f t="shared" si="150"/>
        <v>0</v>
      </c>
      <c r="MP37" s="29">
        <f t="shared" si="151"/>
        <v>0</v>
      </c>
      <c r="MQ37" s="5">
        <f t="shared" si="152"/>
        <v>78973441</v>
      </c>
      <c r="MR37" s="29">
        <f t="shared" si="153"/>
        <v>0</v>
      </c>
      <c r="MT37" s="5">
        <f t="shared" si="76"/>
        <v>0</v>
      </c>
      <c r="MV37" s="4">
        <f t="shared" si="77"/>
        <v>0</v>
      </c>
    </row>
    <row r="38" spans="1:360" x14ac:dyDescent="0.15">
      <c r="A38" s="9" t="s">
        <v>319</v>
      </c>
      <c r="B38" s="28" t="s">
        <v>466</v>
      </c>
      <c r="C38" s="47">
        <v>203517</v>
      </c>
      <c r="D38" s="48">
        <v>2012</v>
      </c>
      <c r="E38" s="49">
        <v>1</v>
      </c>
      <c r="F38" s="49">
        <v>9</v>
      </c>
      <c r="G38" s="50">
        <v>8798</v>
      </c>
      <c r="H38" s="50">
        <v>12248</v>
      </c>
      <c r="I38" s="51">
        <v>611050000</v>
      </c>
      <c r="J38" s="51"/>
      <c r="K38" s="51">
        <v>0</v>
      </c>
      <c r="L38" s="51"/>
      <c r="M38" s="51">
        <v>11084000</v>
      </c>
      <c r="N38" s="51"/>
      <c r="O38" s="51">
        <v>0</v>
      </c>
      <c r="P38" s="51"/>
      <c r="Q38" s="51">
        <v>498744092</v>
      </c>
      <c r="R38" s="51"/>
      <c r="S38" s="52">
        <v>4257140</v>
      </c>
      <c r="T38" s="52"/>
      <c r="U38" s="52">
        <v>21148</v>
      </c>
      <c r="V38" s="52"/>
      <c r="W38" s="52">
        <v>29108</v>
      </c>
      <c r="X38" s="52"/>
      <c r="Y38" s="52">
        <v>26478</v>
      </c>
      <c r="Z38" s="52"/>
      <c r="AA38" s="52">
        <v>34438</v>
      </c>
      <c r="AB38" s="49"/>
      <c r="AC38" s="72">
        <v>8</v>
      </c>
      <c r="AD38" s="72">
        <v>10</v>
      </c>
      <c r="AE38" s="72">
        <v>0</v>
      </c>
      <c r="AF38" s="29">
        <v>3234627</v>
      </c>
      <c r="AG38" s="29">
        <v>2155727</v>
      </c>
      <c r="AH38" s="29">
        <v>184766</v>
      </c>
      <c r="AI38" s="29">
        <v>184766</v>
      </c>
      <c r="AJ38" s="29">
        <v>197298.46</v>
      </c>
      <c r="AK38" s="73">
        <v>5.2</v>
      </c>
      <c r="AL38" s="29">
        <v>170992</v>
      </c>
      <c r="AM38" s="73">
        <v>6</v>
      </c>
      <c r="AN38" s="29">
        <v>104873.57</v>
      </c>
      <c r="AO38" s="73">
        <v>7</v>
      </c>
      <c r="AP38" s="29">
        <v>73411.5</v>
      </c>
      <c r="AQ38" s="73">
        <v>10</v>
      </c>
      <c r="AR38" s="29">
        <v>65942.740000000005</v>
      </c>
      <c r="AS38" s="73">
        <v>19</v>
      </c>
      <c r="AT38" s="29">
        <v>54474.43</v>
      </c>
      <c r="AU38" s="73">
        <v>23</v>
      </c>
      <c r="AV38" s="29">
        <v>41932.65</v>
      </c>
      <c r="AW38" s="73">
        <v>17</v>
      </c>
      <c r="AX38" s="29">
        <v>274175</v>
      </c>
      <c r="AY38" s="73">
        <v>26</v>
      </c>
      <c r="AZ38" s="97">
        <v>191131</v>
      </c>
      <c r="BA38" s="97">
        <v>218534</v>
      </c>
      <c r="BB38" s="97">
        <v>10328</v>
      </c>
      <c r="BC38" s="97">
        <v>32792</v>
      </c>
      <c r="BD38" s="97">
        <v>33744</v>
      </c>
      <c r="BE38" s="97">
        <v>486529</v>
      </c>
      <c r="BF38" s="97">
        <v>3267776</v>
      </c>
      <c r="BG38" s="97">
        <v>505727</v>
      </c>
      <c r="BH38" s="97">
        <v>389021</v>
      </c>
      <c r="BI38" s="97">
        <v>8636266</v>
      </c>
      <c r="BJ38" s="97">
        <v>0</v>
      </c>
      <c r="BK38" s="97">
        <v>12798790</v>
      </c>
      <c r="BL38" s="97">
        <v>1333710</v>
      </c>
      <c r="BM38" s="97">
        <v>95000</v>
      </c>
      <c r="BN38" s="97">
        <v>11000</v>
      </c>
      <c r="BO38" s="97">
        <v>45632</v>
      </c>
      <c r="BP38" s="97">
        <v>0</v>
      </c>
      <c r="BQ38" s="97">
        <v>1485342</v>
      </c>
      <c r="BR38" s="97">
        <v>250021</v>
      </c>
      <c r="BS38" s="97">
        <v>78632</v>
      </c>
      <c r="BT38" s="97">
        <v>4733</v>
      </c>
      <c r="BU38" s="97">
        <v>297984</v>
      </c>
      <c r="BV38" s="97">
        <v>20839</v>
      </c>
      <c r="BW38" s="97">
        <v>652209</v>
      </c>
      <c r="BX38" s="97">
        <v>13000</v>
      </c>
      <c r="BY38" s="97">
        <v>6500</v>
      </c>
      <c r="BZ38" s="97">
        <v>0</v>
      </c>
      <c r="CA38" s="97">
        <v>95650</v>
      </c>
      <c r="CB38" s="97">
        <v>0</v>
      </c>
      <c r="CC38" s="97">
        <v>115150</v>
      </c>
      <c r="CD38" s="97">
        <v>0</v>
      </c>
      <c r="CE38" s="97">
        <v>0</v>
      </c>
      <c r="CF38" s="97">
        <v>0</v>
      </c>
      <c r="CG38" s="97">
        <v>0</v>
      </c>
      <c r="CH38" s="97">
        <v>0</v>
      </c>
      <c r="CI38" s="97">
        <v>0</v>
      </c>
      <c r="CJ38" s="97">
        <v>0</v>
      </c>
      <c r="CK38" s="97">
        <v>0</v>
      </c>
      <c r="CL38" s="97">
        <v>0</v>
      </c>
      <c r="CM38" s="97">
        <v>0</v>
      </c>
      <c r="CN38" s="97">
        <v>4257140</v>
      </c>
      <c r="CO38" s="97">
        <v>4257140</v>
      </c>
      <c r="CP38" s="97">
        <v>0</v>
      </c>
      <c r="CQ38" s="97">
        <v>0</v>
      </c>
      <c r="CR38" s="97">
        <v>0</v>
      </c>
      <c r="CS38" s="97">
        <v>0</v>
      </c>
      <c r="CT38" s="97">
        <v>309849</v>
      </c>
      <c r="CU38" s="97">
        <v>309849</v>
      </c>
      <c r="CV38" s="97">
        <v>0</v>
      </c>
      <c r="CW38" s="97">
        <v>0</v>
      </c>
      <c r="CX38" s="97">
        <v>0</v>
      </c>
      <c r="CY38" s="98">
        <v>0</v>
      </c>
      <c r="CZ38" s="97">
        <v>1317754</v>
      </c>
      <c r="DA38" s="97">
        <v>1317754</v>
      </c>
      <c r="DB38" s="97">
        <v>0</v>
      </c>
      <c r="DC38" s="97">
        <v>0</v>
      </c>
      <c r="DD38" s="97">
        <v>0</v>
      </c>
      <c r="DE38" s="97">
        <v>0</v>
      </c>
      <c r="DF38" s="97">
        <v>2604</v>
      </c>
      <c r="DG38" s="97">
        <v>2604</v>
      </c>
      <c r="DH38" s="97">
        <v>290</v>
      </c>
      <c r="DI38" s="97">
        <v>0</v>
      </c>
      <c r="DJ38" s="97">
        <v>0</v>
      </c>
      <c r="DK38" s="97">
        <v>18565</v>
      </c>
      <c r="DL38" s="97">
        <v>71219</v>
      </c>
      <c r="DM38" s="97">
        <v>90074</v>
      </c>
      <c r="DN38" s="97">
        <v>0</v>
      </c>
      <c r="DO38" s="97">
        <v>0</v>
      </c>
      <c r="DP38" s="97">
        <v>0</v>
      </c>
      <c r="DQ38" s="97">
        <v>0</v>
      </c>
      <c r="DR38" s="97">
        <v>439803</v>
      </c>
      <c r="DS38" s="97">
        <v>439803</v>
      </c>
      <c r="DT38" s="97">
        <v>12780</v>
      </c>
      <c r="DU38" s="97">
        <v>10105</v>
      </c>
      <c r="DV38" s="97">
        <v>58500</v>
      </c>
      <c r="DW38" s="97">
        <v>461768</v>
      </c>
      <c r="DX38" s="97">
        <v>130154</v>
      </c>
      <c r="DY38" s="97">
        <v>673307</v>
      </c>
      <c r="DZ38" s="97">
        <v>0</v>
      </c>
      <c r="EA38" s="97">
        <v>0</v>
      </c>
      <c r="EB38" s="97">
        <v>0</v>
      </c>
      <c r="EC38" s="97">
        <v>0</v>
      </c>
      <c r="ED38" s="97">
        <v>275117</v>
      </c>
      <c r="EE38" s="97">
        <v>275117</v>
      </c>
      <c r="EF38" s="97">
        <v>0</v>
      </c>
      <c r="EG38" s="97">
        <v>0</v>
      </c>
      <c r="EH38" s="97">
        <v>0</v>
      </c>
      <c r="EI38" s="97">
        <v>0</v>
      </c>
      <c r="EJ38" s="97">
        <v>0</v>
      </c>
      <c r="EK38" s="97">
        <v>0</v>
      </c>
      <c r="EL38" s="97">
        <v>5068708</v>
      </c>
      <c r="EM38" s="97">
        <v>914498</v>
      </c>
      <c r="EN38" s="97">
        <v>473582</v>
      </c>
      <c r="EO38" s="97">
        <v>9588657</v>
      </c>
      <c r="EP38" s="97">
        <v>6858223</v>
      </c>
      <c r="EQ38" s="97">
        <v>22903668</v>
      </c>
      <c r="ER38" s="97">
        <v>1980939</v>
      </c>
      <c r="ES38" s="97">
        <v>387752</v>
      </c>
      <c r="ET38" s="97">
        <v>289761</v>
      </c>
      <c r="EU38" s="97">
        <v>2731902</v>
      </c>
      <c r="EV38" s="97">
        <v>126326</v>
      </c>
      <c r="EW38" s="97">
        <v>5516680</v>
      </c>
      <c r="EX38" s="97">
        <v>400000</v>
      </c>
      <c r="EY38" s="97">
        <v>137947</v>
      </c>
      <c r="EZ38" s="97">
        <v>2000</v>
      </c>
      <c r="FA38" s="97">
        <v>3000</v>
      </c>
      <c r="FB38" s="97">
        <v>0</v>
      </c>
      <c r="FC38" s="97">
        <v>542947</v>
      </c>
      <c r="FD38" s="97">
        <v>1016838</v>
      </c>
      <c r="FE38" s="97">
        <v>491499</v>
      </c>
      <c r="FF38" s="97">
        <v>494668</v>
      </c>
      <c r="FG38" s="97">
        <v>1722829</v>
      </c>
      <c r="FH38" s="97">
        <v>0</v>
      </c>
      <c r="FI38" s="97">
        <v>3725834</v>
      </c>
      <c r="FJ38" s="97">
        <v>13000</v>
      </c>
      <c r="FK38" s="97">
        <v>6500</v>
      </c>
      <c r="FL38" s="97">
        <v>0</v>
      </c>
      <c r="FM38" s="97">
        <v>95650</v>
      </c>
      <c r="FN38" s="97">
        <v>0</v>
      </c>
      <c r="FO38" s="97">
        <v>115150</v>
      </c>
      <c r="FP38" s="97">
        <v>398247</v>
      </c>
      <c r="FQ38" s="97">
        <v>162606</v>
      </c>
      <c r="FR38" s="97">
        <v>223827</v>
      </c>
      <c r="FS38" s="97">
        <v>487032</v>
      </c>
      <c r="FT38" s="97">
        <v>3697128</v>
      </c>
      <c r="FU38" s="97">
        <v>4968840</v>
      </c>
      <c r="FV38" s="97">
        <v>0</v>
      </c>
      <c r="FW38" s="97">
        <v>0</v>
      </c>
      <c r="FX38" s="97">
        <v>0</v>
      </c>
      <c r="FY38" s="97">
        <v>0</v>
      </c>
      <c r="FZ38" s="97">
        <v>0</v>
      </c>
      <c r="GA38" s="97">
        <v>0</v>
      </c>
      <c r="GB38" s="97">
        <v>0</v>
      </c>
      <c r="GC38" s="97">
        <v>0</v>
      </c>
      <c r="GD38" s="97">
        <v>0</v>
      </c>
      <c r="GE38" s="97">
        <v>0</v>
      </c>
      <c r="GF38" s="97">
        <v>0</v>
      </c>
      <c r="GG38" s="97">
        <v>0</v>
      </c>
      <c r="GH38" s="97">
        <v>100166</v>
      </c>
      <c r="GI38" s="97">
        <v>57245</v>
      </c>
      <c r="GJ38" s="97">
        <v>60242</v>
      </c>
      <c r="GK38" s="97">
        <v>110783</v>
      </c>
      <c r="GL38" s="97">
        <v>13064</v>
      </c>
      <c r="GM38" s="97">
        <v>341500</v>
      </c>
      <c r="GN38" s="97">
        <v>807358</v>
      </c>
      <c r="GO38" s="97">
        <v>184589</v>
      </c>
      <c r="GP38" s="97">
        <v>101953</v>
      </c>
      <c r="GQ38" s="97">
        <v>817015</v>
      </c>
      <c r="GR38" s="97">
        <v>561579</v>
      </c>
      <c r="GS38" s="97">
        <v>2472494</v>
      </c>
      <c r="GT38" s="97">
        <v>373205</v>
      </c>
      <c r="GU38" s="97">
        <v>55274</v>
      </c>
      <c r="GV38" s="97">
        <v>44753</v>
      </c>
      <c r="GW38" s="97">
        <v>255446</v>
      </c>
      <c r="GX38" s="97">
        <v>378801</v>
      </c>
      <c r="GY38" s="97">
        <v>1107479</v>
      </c>
      <c r="GZ38" s="97">
        <v>189052</v>
      </c>
      <c r="HA38" s="97">
        <v>94808</v>
      </c>
      <c r="HB38" s="97">
        <v>45037</v>
      </c>
      <c r="HC38" s="97">
        <v>62841</v>
      </c>
      <c r="HD38" s="97">
        <v>27415</v>
      </c>
      <c r="HE38" s="97">
        <v>419153</v>
      </c>
      <c r="HF38" s="97">
        <v>0</v>
      </c>
      <c r="HG38" s="97">
        <v>0</v>
      </c>
      <c r="HH38" s="97">
        <v>0</v>
      </c>
      <c r="HI38" s="97">
        <v>0</v>
      </c>
      <c r="HJ38" s="97">
        <v>419630</v>
      </c>
      <c r="HK38" s="97">
        <v>419630</v>
      </c>
      <c r="HL38" s="97">
        <v>21331</v>
      </c>
      <c r="HM38" s="97">
        <v>7522</v>
      </c>
      <c r="HN38" s="97">
        <v>55579</v>
      </c>
      <c r="HO38" s="97">
        <v>500320</v>
      </c>
      <c r="HP38" s="97">
        <v>10373</v>
      </c>
      <c r="HQ38" s="97">
        <v>595125</v>
      </c>
      <c r="HR38" s="97">
        <v>35057</v>
      </c>
      <c r="HS38" s="97">
        <v>2330</v>
      </c>
      <c r="HT38" s="97">
        <v>3549</v>
      </c>
      <c r="HU38" s="97">
        <v>43565</v>
      </c>
      <c r="HV38" s="97">
        <v>653405</v>
      </c>
      <c r="HW38" s="97">
        <v>737906</v>
      </c>
      <c r="HX38" s="97">
        <v>0</v>
      </c>
      <c r="HY38" s="97">
        <v>0</v>
      </c>
      <c r="HZ38" s="97">
        <v>0</v>
      </c>
      <c r="IA38" s="97">
        <v>0</v>
      </c>
      <c r="IB38" s="97">
        <v>43034</v>
      </c>
      <c r="IC38" s="97">
        <v>43034</v>
      </c>
      <c r="ID38" s="97">
        <v>0</v>
      </c>
      <c r="IE38" s="97">
        <v>0</v>
      </c>
      <c r="IF38" s="97">
        <v>0</v>
      </c>
      <c r="IG38" s="97">
        <v>0</v>
      </c>
      <c r="IH38" s="97">
        <v>309849</v>
      </c>
      <c r="II38" s="97">
        <v>309849</v>
      </c>
      <c r="IJ38" s="97">
        <v>0</v>
      </c>
      <c r="IK38" s="97">
        <v>0</v>
      </c>
      <c r="IL38" s="97">
        <v>0</v>
      </c>
      <c r="IM38" s="97">
        <v>0</v>
      </c>
      <c r="IN38" s="97">
        <v>279637</v>
      </c>
      <c r="IO38" s="97">
        <v>279637</v>
      </c>
      <c r="IP38" s="97">
        <v>1235</v>
      </c>
      <c r="IQ38" s="97">
        <v>1155</v>
      </c>
      <c r="IR38" s="97">
        <v>160</v>
      </c>
      <c r="IS38" s="97">
        <v>6381</v>
      </c>
      <c r="IT38" s="97">
        <v>274335</v>
      </c>
      <c r="IU38" s="97">
        <v>283266</v>
      </c>
      <c r="IV38" s="97">
        <v>0</v>
      </c>
      <c r="IW38" s="97">
        <v>0</v>
      </c>
      <c r="IX38" s="97">
        <v>0</v>
      </c>
      <c r="IY38" s="97">
        <v>0</v>
      </c>
      <c r="IZ38" s="97">
        <v>857116</v>
      </c>
      <c r="JA38" s="97">
        <v>857116</v>
      </c>
      <c r="JB38" s="97">
        <v>5336428</v>
      </c>
      <c r="JC38" s="97">
        <v>1589227</v>
      </c>
      <c r="JD38" s="97">
        <v>1321529</v>
      </c>
      <c r="JE38" s="97">
        <v>6836764</v>
      </c>
      <c r="JF38" s="97">
        <v>7651692</v>
      </c>
      <c r="JG38" s="97">
        <v>22735640</v>
      </c>
      <c r="JH38" s="97">
        <v>0</v>
      </c>
      <c r="JI38" s="97">
        <v>0</v>
      </c>
      <c r="JJ38" s="97">
        <v>0</v>
      </c>
      <c r="JK38" s="97">
        <v>0</v>
      </c>
      <c r="JL38" s="97">
        <v>0</v>
      </c>
      <c r="JM38" s="97">
        <v>0</v>
      </c>
      <c r="JN38" s="97">
        <v>5336428</v>
      </c>
      <c r="JO38" s="97">
        <v>1589227</v>
      </c>
      <c r="JP38" s="97">
        <v>1321529</v>
      </c>
      <c r="JQ38" s="97">
        <v>6836764</v>
      </c>
      <c r="JR38" s="97">
        <v>7651692</v>
      </c>
      <c r="JS38" s="97">
        <v>22735640</v>
      </c>
      <c r="JU38" s="5">
        <f t="shared" si="78"/>
        <v>486529</v>
      </c>
      <c r="JV38" s="29">
        <f t="shared" si="79"/>
        <v>0</v>
      </c>
      <c r="JW38" s="5">
        <f t="shared" si="80"/>
        <v>12798790</v>
      </c>
      <c r="JX38" s="29">
        <f t="shared" si="81"/>
        <v>0</v>
      </c>
      <c r="JY38" s="5">
        <f t="shared" si="82"/>
        <v>1485342</v>
      </c>
      <c r="JZ38" s="29">
        <f t="shared" si="83"/>
        <v>0</v>
      </c>
      <c r="KA38" s="5">
        <f t="shared" si="84"/>
        <v>652209</v>
      </c>
      <c r="KB38" s="29">
        <f t="shared" si="85"/>
        <v>0</v>
      </c>
      <c r="KC38" s="5">
        <f t="shared" si="86"/>
        <v>115150</v>
      </c>
      <c r="KD38" s="29">
        <f t="shared" si="87"/>
        <v>0</v>
      </c>
      <c r="KE38" s="5">
        <f t="shared" si="88"/>
        <v>0</v>
      </c>
      <c r="KF38" s="29">
        <f t="shared" si="89"/>
        <v>0</v>
      </c>
      <c r="KG38" s="5">
        <f t="shared" si="90"/>
        <v>4257140</v>
      </c>
      <c r="KH38" s="29">
        <f t="shared" si="91"/>
        <v>0</v>
      </c>
      <c r="KI38" s="5">
        <f t="shared" si="92"/>
        <v>309849</v>
      </c>
      <c r="KJ38" s="29">
        <f t="shared" si="93"/>
        <v>0</v>
      </c>
      <c r="KK38" s="5">
        <f t="shared" si="94"/>
        <v>1317754</v>
      </c>
      <c r="KL38" s="29">
        <f t="shared" si="95"/>
        <v>0</v>
      </c>
      <c r="KM38" s="5">
        <f t="shared" si="96"/>
        <v>2604</v>
      </c>
      <c r="KN38" s="29">
        <f t="shared" si="97"/>
        <v>0</v>
      </c>
      <c r="KO38" s="5">
        <f t="shared" si="98"/>
        <v>90074</v>
      </c>
      <c r="KP38" s="29">
        <f t="shared" si="99"/>
        <v>0</v>
      </c>
      <c r="KQ38" s="5">
        <f t="shared" si="100"/>
        <v>439803</v>
      </c>
      <c r="KR38" s="29">
        <f t="shared" si="101"/>
        <v>0</v>
      </c>
      <c r="KS38" s="5">
        <f t="shared" si="102"/>
        <v>673307</v>
      </c>
      <c r="KT38" s="29">
        <f t="shared" si="103"/>
        <v>0</v>
      </c>
      <c r="KU38" s="5">
        <f t="shared" si="104"/>
        <v>275117</v>
      </c>
      <c r="KV38" s="29">
        <f t="shared" si="105"/>
        <v>0</v>
      </c>
      <c r="KW38" s="5">
        <f t="shared" si="106"/>
        <v>0</v>
      </c>
      <c r="KX38" s="29">
        <f t="shared" si="107"/>
        <v>0</v>
      </c>
      <c r="KY38" s="5">
        <f t="shared" si="108"/>
        <v>22903668</v>
      </c>
      <c r="KZ38" s="29">
        <f t="shared" si="109"/>
        <v>0</v>
      </c>
      <c r="LA38" s="5">
        <f t="shared" si="110"/>
        <v>5516680</v>
      </c>
      <c r="LB38" s="29">
        <f t="shared" si="111"/>
        <v>0</v>
      </c>
      <c r="LC38" s="5">
        <f t="shared" si="112"/>
        <v>542947</v>
      </c>
      <c r="LD38" s="29">
        <f t="shared" si="113"/>
        <v>0</v>
      </c>
      <c r="LE38" s="5">
        <f t="shared" si="114"/>
        <v>3725834</v>
      </c>
      <c r="LF38" s="29">
        <f t="shared" si="115"/>
        <v>0</v>
      </c>
      <c r="LG38" s="5">
        <f t="shared" si="116"/>
        <v>115150</v>
      </c>
      <c r="LH38" s="29">
        <f t="shared" si="117"/>
        <v>0</v>
      </c>
      <c r="LI38" s="5">
        <f t="shared" si="118"/>
        <v>4968840</v>
      </c>
      <c r="LJ38" s="29">
        <f t="shared" si="119"/>
        <v>0</v>
      </c>
      <c r="LK38" s="5">
        <f t="shared" si="120"/>
        <v>0</v>
      </c>
      <c r="LL38" s="29">
        <f t="shared" si="121"/>
        <v>0</v>
      </c>
      <c r="LM38" s="5">
        <f t="shared" si="122"/>
        <v>0</v>
      </c>
      <c r="LN38" s="29">
        <f t="shared" si="123"/>
        <v>0</v>
      </c>
      <c r="LO38" s="5">
        <f t="shared" si="124"/>
        <v>341500</v>
      </c>
      <c r="LP38" s="29">
        <f t="shared" si="125"/>
        <v>0</v>
      </c>
      <c r="LQ38" s="5">
        <f t="shared" si="126"/>
        <v>2472494</v>
      </c>
      <c r="LR38" s="29">
        <f t="shared" si="127"/>
        <v>0</v>
      </c>
      <c r="LS38" s="5">
        <f t="shared" si="128"/>
        <v>1107479</v>
      </c>
      <c r="LT38" s="29">
        <f t="shared" si="129"/>
        <v>0</v>
      </c>
      <c r="LU38" s="5">
        <f t="shared" si="130"/>
        <v>419153</v>
      </c>
      <c r="LV38" s="29">
        <f t="shared" si="131"/>
        <v>0</v>
      </c>
      <c r="LW38" s="5">
        <f t="shared" si="132"/>
        <v>419630</v>
      </c>
      <c r="LX38" s="29">
        <f t="shared" si="133"/>
        <v>0</v>
      </c>
      <c r="LY38" s="5">
        <f t="shared" si="134"/>
        <v>595125</v>
      </c>
      <c r="LZ38" s="29">
        <f t="shared" si="135"/>
        <v>0</v>
      </c>
      <c r="MA38" s="5">
        <f t="shared" si="136"/>
        <v>737906</v>
      </c>
      <c r="MB38" s="29">
        <f t="shared" si="137"/>
        <v>0</v>
      </c>
      <c r="MC38" s="5">
        <f t="shared" si="138"/>
        <v>43034</v>
      </c>
      <c r="MD38" s="29">
        <f t="shared" si="139"/>
        <v>0</v>
      </c>
      <c r="ME38" s="5">
        <f t="shared" si="140"/>
        <v>309849</v>
      </c>
      <c r="MF38" s="29">
        <f t="shared" si="141"/>
        <v>0</v>
      </c>
      <c r="MG38" s="5">
        <f t="shared" si="142"/>
        <v>279637</v>
      </c>
      <c r="MH38" s="29">
        <f t="shared" si="143"/>
        <v>0</v>
      </c>
      <c r="MI38" s="5">
        <f t="shared" si="144"/>
        <v>283266</v>
      </c>
      <c r="MJ38" s="29">
        <f t="shared" si="145"/>
        <v>0</v>
      </c>
      <c r="MK38" s="5">
        <f t="shared" si="146"/>
        <v>857116</v>
      </c>
      <c r="ML38" s="29">
        <f t="shared" si="147"/>
        <v>0</v>
      </c>
      <c r="MM38" s="5">
        <f t="shared" si="148"/>
        <v>22735640</v>
      </c>
      <c r="MN38" s="29">
        <f t="shared" si="149"/>
        <v>0</v>
      </c>
      <c r="MO38" s="5">
        <f t="shared" si="150"/>
        <v>0</v>
      </c>
      <c r="MP38" s="29">
        <f t="shared" si="151"/>
        <v>0</v>
      </c>
      <c r="MQ38" s="5">
        <f t="shared" si="152"/>
        <v>22735640</v>
      </c>
      <c r="MR38" s="29">
        <f t="shared" si="153"/>
        <v>0</v>
      </c>
      <c r="MT38" s="5">
        <f t="shared" si="76"/>
        <v>0</v>
      </c>
      <c r="MV38" s="4">
        <f t="shared" si="77"/>
        <v>0</v>
      </c>
    </row>
    <row r="39" spans="1:360" x14ac:dyDescent="0.15">
      <c r="A39" s="157" t="s">
        <v>330</v>
      </c>
      <c r="B39" s="28" t="s">
        <v>462</v>
      </c>
      <c r="C39" s="47">
        <v>157085</v>
      </c>
      <c r="D39" s="48">
        <v>2012</v>
      </c>
      <c r="E39" s="49">
        <v>1</v>
      </c>
      <c r="F39" s="49">
        <v>5</v>
      </c>
      <c r="G39" s="50">
        <v>9290</v>
      </c>
      <c r="H39" s="50">
        <v>9093</v>
      </c>
      <c r="I39" s="51">
        <v>2345026000</v>
      </c>
      <c r="J39" s="51"/>
      <c r="K39" s="51">
        <v>2738070</v>
      </c>
      <c r="L39" s="51"/>
      <c r="M39" s="51">
        <v>90746000</v>
      </c>
      <c r="N39" s="51"/>
      <c r="O39" s="51">
        <v>16815000</v>
      </c>
      <c r="P39" s="51"/>
      <c r="Q39" s="51">
        <v>679422000</v>
      </c>
      <c r="R39" s="51"/>
      <c r="S39" s="51">
        <v>1175191000</v>
      </c>
      <c r="T39" s="51"/>
      <c r="U39" s="51">
        <v>20808</v>
      </c>
      <c r="V39" s="51"/>
      <c r="W39" s="51">
        <v>30989</v>
      </c>
      <c r="X39" s="51"/>
      <c r="Y39" s="51">
        <v>23100</v>
      </c>
      <c r="Z39" s="51"/>
      <c r="AA39" s="51">
        <v>33300</v>
      </c>
      <c r="AB39" s="51"/>
      <c r="AC39" s="74">
        <v>10</v>
      </c>
      <c r="AD39" s="74">
        <v>11</v>
      </c>
      <c r="AE39" s="74">
        <v>1</v>
      </c>
      <c r="AF39" s="29">
        <v>5489824</v>
      </c>
      <c r="AG39" s="29">
        <v>3782011</v>
      </c>
      <c r="AH39" s="29">
        <v>1117947</v>
      </c>
      <c r="AI39" s="29">
        <v>414181</v>
      </c>
      <c r="AJ39" s="29">
        <v>1352755.0666666667</v>
      </c>
      <c r="AK39" s="73">
        <v>7.5</v>
      </c>
      <c r="AL39" s="29">
        <v>1127295.888888889</v>
      </c>
      <c r="AM39" s="73">
        <v>9</v>
      </c>
      <c r="AN39" s="29">
        <v>252039.17647058822</v>
      </c>
      <c r="AO39" s="73">
        <v>8.5</v>
      </c>
      <c r="AP39" s="29">
        <v>214233.3</v>
      </c>
      <c r="AQ39" s="73">
        <v>10</v>
      </c>
      <c r="AR39" s="29">
        <v>216646.08510638299</v>
      </c>
      <c r="AS39" s="73">
        <v>23.5</v>
      </c>
      <c r="AT39" s="29">
        <v>175558.03448275861</v>
      </c>
      <c r="AU39" s="73">
        <v>29</v>
      </c>
      <c r="AV39" s="29">
        <v>93310.5945945946</v>
      </c>
      <c r="AW39" s="73">
        <v>18.5</v>
      </c>
      <c r="AX39" s="29">
        <v>71926.916666666672</v>
      </c>
      <c r="AY39" s="73">
        <v>24</v>
      </c>
      <c r="AZ39" s="97">
        <v>14984116</v>
      </c>
      <c r="BA39" s="97">
        <v>14789049</v>
      </c>
      <c r="BB39" s="97">
        <v>264130</v>
      </c>
      <c r="BC39" s="97">
        <v>159370</v>
      </c>
      <c r="BD39" s="97">
        <v>359958</v>
      </c>
      <c r="BE39" s="97">
        <v>30556623</v>
      </c>
      <c r="BF39" s="97">
        <v>0</v>
      </c>
      <c r="BG39" s="97">
        <v>0</v>
      </c>
      <c r="BH39" s="97">
        <v>0</v>
      </c>
      <c r="BI39" s="97">
        <v>0</v>
      </c>
      <c r="BJ39" s="97">
        <v>827172</v>
      </c>
      <c r="BK39" s="97">
        <v>827172</v>
      </c>
      <c r="BL39" s="97">
        <v>175693</v>
      </c>
      <c r="BM39" s="97">
        <v>452448</v>
      </c>
      <c r="BN39" s="97">
        <v>0</v>
      </c>
      <c r="BO39" s="97">
        <v>5500</v>
      </c>
      <c r="BP39" s="97">
        <v>0</v>
      </c>
      <c r="BQ39" s="97">
        <v>633641</v>
      </c>
      <c r="BR39" s="97">
        <v>0</v>
      </c>
      <c r="BS39" s="97">
        <v>0</v>
      </c>
      <c r="BT39" s="97">
        <v>0</v>
      </c>
      <c r="BU39" s="97">
        <v>0</v>
      </c>
      <c r="BV39" s="97">
        <v>15164441</v>
      </c>
      <c r="BW39" s="97">
        <v>15164441</v>
      </c>
      <c r="BX39" s="97">
        <v>0</v>
      </c>
      <c r="BY39" s="97">
        <v>0</v>
      </c>
      <c r="BZ39" s="97">
        <v>0</v>
      </c>
      <c r="CA39" s="97">
        <v>0</v>
      </c>
      <c r="CB39" s="97">
        <v>0</v>
      </c>
      <c r="CC39" s="97">
        <v>0</v>
      </c>
      <c r="CD39" s="97">
        <v>0</v>
      </c>
      <c r="CE39" s="97">
        <v>0</v>
      </c>
      <c r="CF39" s="97">
        <v>0</v>
      </c>
      <c r="CG39" s="97">
        <v>0</v>
      </c>
      <c r="CH39" s="97">
        <v>0</v>
      </c>
      <c r="CI39" s="97">
        <v>0</v>
      </c>
      <c r="CJ39" s="97">
        <v>0</v>
      </c>
      <c r="CK39" s="97">
        <v>0</v>
      </c>
      <c r="CL39" s="97">
        <v>0</v>
      </c>
      <c r="CM39" s="97">
        <v>0</v>
      </c>
      <c r="CN39" s="97">
        <v>0</v>
      </c>
      <c r="CO39" s="97">
        <v>0</v>
      </c>
      <c r="CP39" s="97">
        <v>0</v>
      </c>
      <c r="CQ39" s="97">
        <v>0</v>
      </c>
      <c r="CR39" s="97">
        <v>0</v>
      </c>
      <c r="CS39" s="97">
        <v>0</v>
      </c>
      <c r="CT39" s="97">
        <v>0</v>
      </c>
      <c r="CU39" s="97">
        <v>0</v>
      </c>
      <c r="CV39" s="97">
        <v>15067252</v>
      </c>
      <c r="CW39" s="97">
        <v>5565338</v>
      </c>
      <c r="CX39" s="97">
        <v>141990</v>
      </c>
      <c r="CY39" s="97">
        <v>75499</v>
      </c>
      <c r="CZ39" s="97">
        <v>372053</v>
      </c>
      <c r="DA39" s="97">
        <v>21222132</v>
      </c>
      <c r="DB39" s="97">
        <v>20000</v>
      </c>
      <c r="DC39" s="97">
        <v>14564</v>
      </c>
      <c r="DD39" s="97">
        <v>0</v>
      </c>
      <c r="DE39" s="97">
        <v>0</v>
      </c>
      <c r="DF39" s="97">
        <v>8046345</v>
      </c>
      <c r="DG39" s="97">
        <v>8080909</v>
      </c>
      <c r="DH39" s="97">
        <v>2450615</v>
      </c>
      <c r="DI39" s="97">
        <v>12480</v>
      </c>
      <c r="DJ39" s="97">
        <v>32806</v>
      </c>
      <c r="DK39" s="97">
        <v>45291</v>
      </c>
      <c r="DL39" s="97">
        <v>448108</v>
      </c>
      <c r="DM39" s="97">
        <v>2989300</v>
      </c>
      <c r="DN39" s="97">
        <v>145000</v>
      </c>
      <c r="DO39" s="97">
        <v>65500</v>
      </c>
      <c r="DP39" s="97">
        <v>55000</v>
      </c>
      <c r="DQ39" s="97">
        <v>318000</v>
      </c>
      <c r="DR39" s="97">
        <v>4996014</v>
      </c>
      <c r="DS39" s="97">
        <v>5579514</v>
      </c>
      <c r="DT39" s="97">
        <v>153972</v>
      </c>
      <c r="DU39" s="97">
        <v>691462</v>
      </c>
      <c r="DV39" s="97">
        <v>121444</v>
      </c>
      <c r="DW39" s="97">
        <v>894009</v>
      </c>
      <c r="DX39" s="97">
        <v>281319</v>
      </c>
      <c r="DY39" s="97">
        <v>2142206</v>
      </c>
      <c r="DZ39" s="97">
        <v>0</v>
      </c>
      <c r="EA39" s="97">
        <v>0</v>
      </c>
      <c r="EB39" s="97">
        <v>0</v>
      </c>
      <c r="EC39" s="97">
        <v>0</v>
      </c>
      <c r="ED39" s="97">
        <v>701385</v>
      </c>
      <c r="EE39" s="97">
        <v>701385</v>
      </c>
      <c r="EF39" s="97">
        <v>1292</v>
      </c>
      <c r="EG39" s="97">
        <v>7840</v>
      </c>
      <c r="EH39" s="97">
        <v>765</v>
      </c>
      <c r="EI39" s="97">
        <v>19736</v>
      </c>
      <c r="EJ39" s="97">
        <v>446496</v>
      </c>
      <c r="EK39" s="97">
        <v>476129</v>
      </c>
      <c r="EL39" s="97">
        <v>32997940</v>
      </c>
      <c r="EM39" s="97">
        <v>21598681</v>
      </c>
      <c r="EN39" s="97">
        <v>616135</v>
      </c>
      <c r="EO39" s="97">
        <v>1517405</v>
      </c>
      <c r="EP39" s="97">
        <v>31643291</v>
      </c>
      <c r="EQ39" s="97">
        <v>88373452</v>
      </c>
      <c r="ER39" s="97">
        <v>2802509</v>
      </c>
      <c r="ES39" s="97">
        <v>432825</v>
      </c>
      <c r="ET39" s="97">
        <v>492123</v>
      </c>
      <c r="EU39" s="97">
        <v>5000291</v>
      </c>
      <c r="EV39" s="97">
        <v>1321873</v>
      </c>
      <c r="EW39" s="97">
        <v>10049621</v>
      </c>
      <c r="EX39" s="97">
        <v>1075000</v>
      </c>
      <c r="EY39" s="97">
        <v>635000</v>
      </c>
      <c r="EZ39" s="97">
        <v>142000</v>
      </c>
      <c r="FA39" s="97">
        <v>76532</v>
      </c>
      <c r="FB39" s="97">
        <v>17573</v>
      </c>
      <c r="FC39" s="97">
        <v>1946105</v>
      </c>
      <c r="FD39" s="97">
        <v>4666897</v>
      </c>
      <c r="FE39" s="97">
        <v>8430410</v>
      </c>
      <c r="FF39" s="97">
        <v>1470348</v>
      </c>
      <c r="FG39" s="97">
        <v>4537770</v>
      </c>
      <c r="FH39" s="97">
        <v>0</v>
      </c>
      <c r="FI39" s="97">
        <v>19105425</v>
      </c>
      <c r="FJ39" s="97">
        <v>0</v>
      </c>
      <c r="FK39" s="97">
        <v>0</v>
      </c>
      <c r="FL39" s="97">
        <v>0</v>
      </c>
      <c r="FM39" s="97">
        <v>0</v>
      </c>
      <c r="FN39" s="97">
        <v>0</v>
      </c>
      <c r="FO39" s="97">
        <v>0</v>
      </c>
      <c r="FP39" s="97">
        <v>587506</v>
      </c>
      <c r="FQ39" s="97">
        <v>1039862</v>
      </c>
      <c r="FR39" s="97">
        <v>298160</v>
      </c>
      <c r="FS39" s="97">
        <v>243394</v>
      </c>
      <c r="FT39" s="97">
        <v>9847272</v>
      </c>
      <c r="FU39" s="97">
        <v>12016194</v>
      </c>
      <c r="FV39" s="97">
        <v>0</v>
      </c>
      <c r="FW39" s="97">
        <v>0</v>
      </c>
      <c r="FX39" s="97">
        <v>0</v>
      </c>
      <c r="FY39" s="97">
        <v>0</v>
      </c>
      <c r="FZ39" s="97">
        <v>0</v>
      </c>
      <c r="GA39" s="97">
        <v>0</v>
      </c>
      <c r="GB39" s="97">
        <v>112667</v>
      </c>
      <c r="GC39" s="97">
        <v>0</v>
      </c>
      <c r="GD39" s="97">
        <v>0</v>
      </c>
      <c r="GE39" s="97">
        <v>132039</v>
      </c>
      <c r="GF39" s="97">
        <v>0</v>
      </c>
      <c r="GG39" s="97">
        <v>244706</v>
      </c>
      <c r="GH39" s="97">
        <v>450817</v>
      </c>
      <c r="GI39" s="97">
        <v>479507</v>
      </c>
      <c r="GJ39" s="97">
        <v>133280</v>
      </c>
      <c r="GK39" s="97">
        <v>472874</v>
      </c>
      <c r="GL39" s="97">
        <v>0</v>
      </c>
      <c r="GM39" s="97">
        <v>1536478</v>
      </c>
      <c r="GN39" s="97">
        <v>766049</v>
      </c>
      <c r="GO39" s="97">
        <v>1395866</v>
      </c>
      <c r="GP39" s="97">
        <v>613069</v>
      </c>
      <c r="GQ39" s="97">
        <v>2287867</v>
      </c>
      <c r="GR39" s="97">
        <v>33707</v>
      </c>
      <c r="GS39" s="97">
        <v>5096558</v>
      </c>
      <c r="GT39" s="97">
        <v>933372</v>
      </c>
      <c r="GU39" s="97">
        <v>278847</v>
      </c>
      <c r="GV39" s="97">
        <v>68308</v>
      </c>
      <c r="GW39" s="97">
        <v>809331</v>
      </c>
      <c r="GX39" s="97">
        <v>1386618</v>
      </c>
      <c r="GY39" s="97">
        <v>3476476</v>
      </c>
      <c r="GZ39" s="97">
        <v>169803</v>
      </c>
      <c r="HA39" s="97">
        <v>825479</v>
      </c>
      <c r="HB39" s="97">
        <v>149285</v>
      </c>
      <c r="HC39" s="97">
        <v>227388</v>
      </c>
      <c r="HD39" s="97">
        <v>2390319</v>
      </c>
      <c r="HE39" s="97">
        <v>3762274</v>
      </c>
      <c r="HF39" s="97">
        <v>0</v>
      </c>
      <c r="HG39" s="97">
        <v>14773</v>
      </c>
      <c r="HH39" s="97">
        <v>2385</v>
      </c>
      <c r="HI39" s="97">
        <v>626</v>
      </c>
      <c r="HJ39" s="97">
        <v>2634473</v>
      </c>
      <c r="HK39" s="97">
        <v>2652257</v>
      </c>
      <c r="HL39" s="97">
        <v>99760</v>
      </c>
      <c r="HM39" s="97">
        <v>329563</v>
      </c>
      <c r="HN39" s="97">
        <v>95501</v>
      </c>
      <c r="HO39" s="97">
        <v>542154</v>
      </c>
      <c r="HP39" s="97">
        <v>280994</v>
      </c>
      <c r="HQ39" s="97">
        <v>1347972</v>
      </c>
      <c r="HR39" s="97">
        <v>82046</v>
      </c>
      <c r="HS39" s="97">
        <v>813595</v>
      </c>
      <c r="HT39" s="97">
        <v>8882</v>
      </c>
      <c r="HU39" s="97">
        <v>58841</v>
      </c>
      <c r="HV39" s="97">
        <v>15236580</v>
      </c>
      <c r="HW39" s="97">
        <v>16199944</v>
      </c>
      <c r="HX39" s="97">
        <v>0</v>
      </c>
      <c r="HY39" s="97">
        <v>0</v>
      </c>
      <c r="HZ39" s="97">
        <v>0</v>
      </c>
      <c r="IA39" s="97">
        <v>0</v>
      </c>
      <c r="IB39" s="97">
        <v>804541</v>
      </c>
      <c r="IC39" s="97">
        <v>804541</v>
      </c>
      <c r="ID39" s="97">
        <v>0</v>
      </c>
      <c r="IE39" s="97">
        <v>0</v>
      </c>
      <c r="IF39" s="97">
        <v>0</v>
      </c>
      <c r="IG39" s="97">
        <v>0</v>
      </c>
      <c r="IH39" s="97">
        <v>0</v>
      </c>
      <c r="II39" s="97">
        <v>0</v>
      </c>
      <c r="IJ39" s="97">
        <v>207310</v>
      </c>
      <c r="IK39" s="97">
        <v>28950</v>
      </c>
      <c r="IL39" s="97">
        <v>37108</v>
      </c>
      <c r="IM39" s="97">
        <v>311412</v>
      </c>
      <c r="IN39" s="97">
        <v>212539</v>
      </c>
      <c r="IO39" s="97">
        <v>797319</v>
      </c>
      <c r="IP39" s="97">
        <v>0</v>
      </c>
      <c r="IQ39" s="97">
        <v>0</v>
      </c>
      <c r="IR39" s="97">
        <v>0</v>
      </c>
      <c r="IS39" s="97">
        <v>3756</v>
      </c>
      <c r="IT39" s="97">
        <v>17788</v>
      </c>
      <c r="IU39" s="97">
        <v>21544</v>
      </c>
      <c r="IV39" s="97">
        <v>714363</v>
      </c>
      <c r="IW39" s="97">
        <v>114403</v>
      </c>
      <c r="IX39" s="97">
        <v>105611</v>
      </c>
      <c r="IY39" s="97">
        <v>364110</v>
      </c>
      <c r="IZ39" s="97">
        <v>4573918</v>
      </c>
      <c r="JA39" s="97">
        <v>5872405</v>
      </c>
      <c r="JB39" s="97">
        <v>12668099</v>
      </c>
      <c r="JC39" s="97">
        <v>14819080</v>
      </c>
      <c r="JD39" s="97">
        <v>3617060</v>
      </c>
      <c r="JE39" s="97">
        <v>15067385</v>
      </c>
      <c r="JF39" s="97">
        <v>38758195</v>
      </c>
      <c r="JG39" s="97">
        <v>84929819</v>
      </c>
      <c r="JH39" s="97">
        <v>700000</v>
      </c>
      <c r="JI39" s="97">
        <v>300000</v>
      </c>
      <c r="JJ39" s="97">
        <v>0</v>
      </c>
      <c r="JK39" s="97">
        <v>0</v>
      </c>
      <c r="JL39" s="97">
        <v>1960000</v>
      </c>
      <c r="JM39" s="97">
        <v>2960000</v>
      </c>
      <c r="JN39" s="97">
        <v>13368099</v>
      </c>
      <c r="JO39" s="97">
        <v>15119080</v>
      </c>
      <c r="JP39" s="97">
        <v>3617060</v>
      </c>
      <c r="JQ39" s="97">
        <v>15067385</v>
      </c>
      <c r="JR39" s="97">
        <v>40718195</v>
      </c>
      <c r="JS39" s="97">
        <v>87889819</v>
      </c>
      <c r="JU39" s="5">
        <f t="shared" si="78"/>
        <v>30556623</v>
      </c>
      <c r="JV39" s="29">
        <f t="shared" si="79"/>
        <v>0</v>
      </c>
      <c r="JW39" s="5">
        <f t="shared" si="80"/>
        <v>827172</v>
      </c>
      <c r="JX39" s="29">
        <f t="shared" si="81"/>
        <v>0</v>
      </c>
      <c r="JY39" s="5">
        <f t="shared" si="82"/>
        <v>633641</v>
      </c>
      <c r="JZ39" s="29">
        <f t="shared" si="83"/>
        <v>0</v>
      </c>
      <c r="KA39" s="5">
        <f t="shared" si="84"/>
        <v>15164441</v>
      </c>
      <c r="KB39" s="29">
        <f t="shared" si="85"/>
        <v>0</v>
      </c>
      <c r="KC39" s="5">
        <f t="shared" si="86"/>
        <v>0</v>
      </c>
      <c r="KD39" s="29">
        <f t="shared" si="87"/>
        <v>0</v>
      </c>
      <c r="KE39" s="5">
        <f t="shared" si="88"/>
        <v>0</v>
      </c>
      <c r="KF39" s="29">
        <f t="shared" si="89"/>
        <v>0</v>
      </c>
      <c r="KG39" s="5">
        <f t="shared" si="90"/>
        <v>0</v>
      </c>
      <c r="KH39" s="29">
        <f t="shared" si="91"/>
        <v>0</v>
      </c>
      <c r="KI39" s="5">
        <f t="shared" si="92"/>
        <v>0</v>
      </c>
      <c r="KJ39" s="29">
        <f t="shared" si="93"/>
        <v>0</v>
      </c>
      <c r="KK39" s="5">
        <f t="shared" si="94"/>
        <v>21222132</v>
      </c>
      <c r="KL39" s="29">
        <f t="shared" si="95"/>
        <v>0</v>
      </c>
      <c r="KM39" s="5">
        <f t="shared" si="96"/>
        <v>8080909</v>
      </c>
      <c r="KN39" s="29">
        <f t="shared" si="97"/>
        <v>0</v>
      </c>
      <c r="KO39" s="5">
        <f t="shared" si="98"/>
        <v>2989300</v>
      </c>
      <c r="KP39" s="29">
        <f t="shared" si="99"/>
        <v>0</v>
      </c>
      <c r="KQ39" s="5">
        <f t="shared" si="100"/>
        <v>5579514</v>
      </c>
      <c r="KR39" s="29">
        <f t="shared" si="101"/>
        <v>0</v>
      </c>
      <c r="KS39" s="5">
        <f t="shared" si="102"/>
        <v>2142206</v>
      </c>
      <c r="KT39" s="29">
        <f t="shared" si="103"/>
        <v>0</v>
      </c>
      <c r="KU39" s="5">
        <f t="shared" si="104"/>
        <v>701385</v>
      </c>
      <c r="KV39" s="29">
        <f t="shared" si="105"/>
        <v>0</v>
      </c>
      <c r="KW39" s="5">
        <f t="shared" si="106"/>
        <v>476129</v>
      </c>
      <c r="KX39" s="29">
        <f t="shared" si="107"/>
        <v>0</v>
      </c>
      <c r="KY39" s="5">
        <f t="shared" si="108"/>
        <v>88373452</v>
      </c>
      <c r="KZ39" s="29">
        <f t="shared" si="109"/>
        <v>0</v>
      </c>
      <c r="LA39" s="5">
        <f t="shared" si="110"/>
        <v>10049621</v>
      </c>
      <c r="LB39" s="29">
        <f t="shared" si="111"/>
        <v>0</v>
      </c>
      <c r="LC39" s="5">
        <f t="shared" si="112"/>
        <v>1946105</v>
      </c>
      <c r="LD39" s="29">
        <f t="shared" si="113"/>
        <v>0</v>
      </c>
      <c r="LE39" s="5">
        <f t="shared" si="114"/>
        <v>19105425</v>
      </c>
      <c r="LF39" s="29">
        <f t="shared" si="115"/>
        <v>0</v>
      </c>
      <c r="LG39" s="5">
        <f t="shared" si="116"/>
        <v>0</v>
      </c>
      <c r="LH39" s="29">
        <f t="shared" si="117"/>
        <v>0</v>
      </c>
      <c r="LI39" s="5">
        <f t="shared" si="118"/>
        <v>12016194</v>
      </c>
      <c r="LJ39" s="29">
        <f t="shared" si="119"/>
        <v>0</v>
      </c>
      <c r="LK39" s="5">
        <f t="shared" si="120"/>
        <v>0</v>
      </c>
      <c r="LL39" s="29">
        <f t="shared" si="121"/>
        <v>0</v>
      </c>
      <c r="LM39" s="5">
        <f t="shared" si="122"/>
        <v>244706</v>
      </c>
      <c r="LN39" s="29">
        <f t="shared" si="123"/>
        <v>0</v>
      </c>
      <c r="LO39" s="5">
        <f t="shared" si="124"/>
        <v>1536478</v>
      </c>
      <c r="LP39" s="29">
        <f t="shared" si="125"/>
        <v>0</v>
      </c>
      <c r="LQ39" s="5">
        <f t="shared" si="126"/>
        <v>5096558</v>
      </c>
      <c r="LR39" s="29">
        <f t="shared" si="127"/>
        <v>0</v>
      </c>
      <c r="LS39" s="5">
        <f t="shared" si="128"/>
        <v>3476476</v>
      </c>
      <c r="LT39" s="29">
        <f t="shared" si="129"/>
        <v>0</v>
      </c>
      <c r="LU39" s="5">
        <f t="shared" si="130"/>
        <v>3762274</v>
      </c>
      <c r="LV39" s="29">
        <f t="shared" si="131"/>
        <v>0</v>
      </c>
      <c r="LW39" s="5">
        <f t="shared" si="132"/>
        <v>2652257</v>
      </c>
      <c r="LX39" s="29">
        <f t="shared" si="133"/>
        <v>0</v>
      </c>
      <c r="LY39" s="5">
        <f t="shared" si="134"/>
        <v>1347972</v>
      </c>
      <c r="LZ39" s="29">
        <f t="shared" si="135"/>
        <v>0</v>
      </c>
      <c r="MA39" s="5">
        <f t="shared" si="136"/>
        <v>16199944</v>
      </c>
      <c r="MB39" s="29">
        <f t="shared" si="137"/>
        <v>0</v>
      </c>
      <c r="MC39" s="5">
        <f t="shared" si="138"/>
        <v>804541</v>
      </c>
      <c r="MD39" s="29">
        <f t="shared" si="139"/>
        <v>0</v>
      </c>
      <c r="ME39" s="5">
        <f t="shared" si="140"/>
        <v>0</v>
      </c>
      <c r="MF39" s="29">
        <f t="shared" si="141"/>
        <v>0</v>
      </c>
      <c r="MG39" s="5">
        <f t="shared" si="142"/>
        <v>797319</v>
      </c>
      <c r="MH39" s="29">
        <f t="shared" si="143"/>
        <v>0</v>
      </c>
      <c r="MI39" s="5">
        <f t="shared" si="144"/>
        <v>21544</v>
      </c>
      <c r="MJ39" s="29">
        <f t="shared" si="145"/>
        <v>0</v>
      </c>
      <c r="MK39" s="5">
        <f t="shared" si="146"/>
        <v>5872405</v>
      </c>
      <c r="ML39" s="29">
        <f t="shared" si="147"/>
        <v>0</v>
      </c>
      <c r="MM39" s="5">
        <f t="shared" si="148"/>
        <v>84929819</v>
      </c>
      <c r="MN39" s="29">
        <f t="shared" si="149"/>
        <v>0</v>
      </c>
      <c r="MO39" s="5">
        <f t="shared" si="150"/>
        <v>2960000</v>
      </c>
      <c r="MP39" s="29">
        <f t="shared" si="151"/>
        <v>0</v>
      </c>
      <c r="MQ39" s="5">
        <f t="shared" si="152"/>
        <v>87889819</v>
      </c>
      <c r="MR39" s="29">
        <f t="shared" si="153"/>
        <v>0</v>
      </c>
      <c r="MT39" s="5">
        <f t="shared" si="76"/>
        <v>0</v>
      </c>
      <c r="MV39" s="4">
        <f t="shared" si="77"/>
        <v>0</v>
      </c>
    </row>
    <row r="40" spans="1:360" x14ac:dyDescent="0.15">
      <c r="A40" s="155" t="s">
        <v>434</v>
      </c>
      <c r="B40" s="28" t="s">
        <v>406</v>
      </c>
      <c r="C40" s="48">
        <v>160658</v>
      </c>
      <c r="D40" s="48">
        <v>2012</v>
      </c>
      <c r="E40" s="49">
        <v>1</v>
      </c>
      <c r="F40" s="49">
        <v>11</v>
      </c>
      <c r="G40" s="50">
        <v>5775</v>
      </c>
      <c r="H40" s="50">
        <v>7219</v>
      </c>
      <c r="I40" s="51">
        <v>249965092</v>
      </c>
      <c r="J40" s="51"/>
      <c r="K40" s="51">
        <v>0</v>
      </c>
      <c r="L40" s="51"/>
      <c r="M40" s="51">
        <v>8471616</v>
      </c>
      <c r="N40" s="51"/>
      <c r="O40" s="51">
        <v>0</v>
      </c>
      <c r="P40" s="51"/>
      <c r="Q40" s="51">
        <v>150715000</v>
      </c>
      <c r="R40" s="51"/>
      <c r="S40" s="51">
        <v>214864633</v>
      </c>
      <c r="T40" s="51"/>
      <c r="U40" s="51">
        <v>10810</v>
      </c>
      <c r="V40" s="51"/>
      <c r="W40" s="51">
        <v>19432</v>
      </c>
      <c r="X40" s="51"/>
      <c r="Y40" s="51">
        <v>17836</v>
      </c>
      <c r="Z40" s="51"/>
      <c r="AA40" s="51">
        <v>26458</v>
      </c>
      <c r="AB40" s="51"/>
      <c r="AC40" s="72">
        <v>8</v>
      </c>
      <c r="AD40" s="72">
        <v>8</v>
      </c>
      <c r="AE40" s="72">
        <v>0</v>
      </c>
      <c r="AF40" s="29">
        <v>1945016</v>
      </c>
      <c r="AG40" s="29">
        <v>1153349</v>
      </c>
      <c r="AH40" s="29">
        <v>312562</v>
      </c>
      <c r="AI40" s="29">
        <v>99680</v>
      </c>
      <c r="AJ40" s="29">
        <v>276396.90999999997</v>
      </c>
      <c r="AK40" s="73">
        <v>5.5</v>
      </c>
      <c r="AL40" s="29">
        <v>253363.83100000001</v>
      </c>
      <c r="AM40" s="73">
        <v>6</v>
      </c>
      <c r="AN40" s="29">
        <v>83413</v>
      </c>
      <c r="AO40" s="73">
        <v>5.5</v>
      </c>
      <c r="AP40" s="29">
        <v>76462</v>
      </c>
      <c r="AQ40" s="73">
        <v>6</v>
      </c>
      <c r="AR40" s="29">
        <v>114135</v>
      </c>
      <c r="AS40" s="73">
        <v>15.5</v>
      </c>
      <c r="AT40" s="29">
        <v>104065</v>
      </c>
      <c r="AU40" s="73">
        <v>17</v>
      </c>
      <c r="AV40" s="29">
        <v>53849</v>
      </c>
      <c r="AW40" s="73">
        <v>8.5</v>
      </c>
      <c r="AX40" s="29">
        <v>45772</v>
      </c>
      <c r="AY40" s="73">
        <v>10</v>
      </c>
      <c r="AZ40" s="97">
        <v>1581128</v>
      </c>
      <c r="BA40" s="97">
        <v>388190</v>
      </c>
      <c r="BB40" s="97">
        <v>1266</v>
      </c>
      <c r="BC40" s="97">
        <v>427496</v>
      </c>
      <c r="BD40" s="97">
        <v>0</v>
      </c>
      <c r="BE40" s="97">
        <f>SUM(AZ40:BD40)</f>
        <v>2398080</v>
      </c>
      <c r="BF40" s="97">
        <v>0</v>
      </c>
      <c r="BG40" s="97">
        <v>0</v>
      </c>
      <c r="BH40" s="97">
        <v>0</v>
      </c>
      <c r="BI40" s="97">
        <v>0</v>
      </c>
      <c r="BJ40" s="97">
        <v>0</v>
      </c>
      <c r="BK40" s="97">
        <v>0</v>
      </c>
      <c r="BL40" s="97">
        <v>1450000</v>
      </c>
      <c r="BM40" s="97">
        <v>180000</v>
      </c>
      <c r="BN40" s="97">
        <v>15000</v>
      </c>
      <c r="BO40" s="97">
        <v>6000</v>
      </c>
      <c r="BP40" s="97">
        <v>0</v>
      </c>
      <c r="BQ40" s="97">
        <f>SUM(BL40:BP40)</f>
        <v>1651000</v>
      </c>
      <c r="BR40" s="97">
        <v>1896053</v>
      </c>
      <c r="BS40" s="97">
        <v>762050</v>
      </c>
      <c r="BT40" s="97">
        <v>1320114</v>
      </c>
      <c r="BU40" s="97">
        <v>775727</v>
      </c>
      <c r="BV40" s="97">
        <v>358751</v>
      </c>
      <c r="BW40" s="97">
        <f>SUM(BR40:BV40)</f>
        <v>5112695</v>
      </c>
      <c r="BX40" s="97">
        <v>0</v>
      </c>
      <c r="BY40" s="97">
        <v>0</v>
      </c>
      <c r="BZ40" s="97">
        <v>0</v>
      </c>
      <c r="CA40" s="97">
        <v>0</v>
      </c>
      <c r="CB40" s="97">
        <v>0</v>
      </c>
      <c r="CC40" s="97">
        <v>0</v>
      </c>
      <c r="CD40" s="97">
        <v>0</v>
      </c>
      <c r="CE40" s="97">
        <v>0</v>
      </c>
      <c r="CF40" s="97">
        <v>0</v>
      </c>
      <c r="CG40" s="97">
        <v>0</v>
      </c>
      <c r="CH40" s="97">
        <v>0</v>
      </c>
      <c r="CI40" s="97">
        <v>0</v>
      </c>
      <c r="CJ40" s="97">
        <v>1494400</v>
      </c>
      <c r="CK40" s="97">
        <v>891447</v>
      </c>
      <c r="CL40" s="97">
        <v>773239</v>
      </c>
      <c r="CM40" s="97">
        <v>2854107</v>
      </c>
      <c r="CN40" s="97">
        <v>1515035</v>
      </c>
      <c r="CO40" s="97">
        <v>7528228</v>
      </c>
      <c r="CP40" s="97">
        <v>0</v>
      </c>
      <c r="CQ40" s="97">
        <v>0</v>
      </c>
      <c r="CR40" s="97">
        <v>0</v>
      </c>
      <c r="CS40" s="97">
        <v>0</v>
      </c>
      <c r="CT40" s="97">
        <v>0</v>
      </c>
      <c r="CU40" s="97">
        <v>0</v>
      </c>
      <c r="CV40" s="97">
        <v>1156</v>
      </c>
      <c r="CW40" s="97">
        <v>1156</v>
      </c>
      <c r="CX40" s="99">
        <v>1156</v>
      </c>
      <c r="CY40" s="97">
        <v>38881</v>
      </c>
      <c r="CZ40" s="97">
        <v>748392</v>
      </c>
      <c r="DA40" s="97">
        <v>790741</v>
      </c>
      <c r="DB40" s="97">
        <v>0</v>
      </c>
      <c r="DC40" s="97">
        <v>0</v>
      </c>
      <c r="DD40" s="97">
        <v>0</v>
      </c>
      <c r="DE40" s="97">
        <v>0</v>
      </c>
      <c r="DF40" s="97">
        <v>35500</v>
      </c>
      <c r="DG40" s="97">
        <v>35500</v>
      </c>
      <c r="DH40" s="97">
        <v>189461</v>
      </c>
      <c r="DI40" s="97">
        <v>0</v>
      </c>
      <c r="DJ40" s="97">
        <v>406</v>
      </c>
      <c r="DK40" s="97">
        <v>96440</v>
      </c>
      <c r="DL40" s="97">
        <v>40531</v>
      </c>
      <c r="DM40" s="97">
        <v>326838</v>
      </c>
      <c r="DN40" s="97">
        <v>140469</v>
      </c>
      <c r="DO40" s="97">
        <v>4764</v>
      </c>
      <c r="DP40" s="97">
        <v>4867</v>
      </c>
      <c r="DQ40" s="97">
        <v>93654</v>
      </c>
      <c r="DR40" s="97">
        <v>249191</v>
      </c>
      <c r="DS40" s="97">
        <f>SUM(DN40:DR40)</f>
        <v>492945</v>
      </c>
      <c r="DT40" s="97">
        <v>0</v>
      </c>
      <c r="DU40" s="97">
        <v>0</v>
      </c>
      <c r="DV40" s="97">
        <v>0</v>
      </c>
      <c r="DW40" s="97">
        <v>0</v>
      </c>
      <c r="DX40" s="97">
        <v>0</v>
      </c>
      <c r="DY40" s="97">
        <v>0</v>
      </c>
      <c r="DZ40" s="97">
        <v>0</v>
      </c>
      <c r="EA40" s="97">
        <v>0</v>
      </c>
      <c r="EB40" s="97">
        <v>0</v>
      </c>
      <c r="EC40" s="97">
        <v>0</v>
      </c>
      <c r="ED40" s="97">
        <v>0</v>
      </c>
      <c r="EE40" s="97">
        <v>0</v>
      </c>
      <c r="EF40" s="97">
        <v>115409</v>
      </c>
      <c r="EG40" s="97">
        <v>0</v>
      </c>
      <c r="EH40" s="97">
        <v>0</v>
      </c>
      <c r="EI40" s="97">
        <v>0</v>
      </c>
      <c r="EJ40" s="97">
        <v>177531</v>
      </c>
      <c r="EK40" s="97">
        <f>SUM(EF40:EJ40)</f>
        <v>292940</v>
      </c>
      <c r="EL40" s="97">
        <v>6868076</v>
      </c>
      <c r="EM40" s="97">
        <v>2227607</v>
      </c>
      <c r="EN40" s="97">
        <v>927978</v>
      </c>
      <c r="EO40" s="97">
        <v>4292305</v>
      </c>
      <c r="EP40" s="97">
        <v>3124931</v>
      </c>
      <c r="EQ40" s="97">
        <f>SUM(EL40:EP40)</f>
        <v>17440897</v>
      </c>
      <c r="ER40" s="97">
        <v>1270198</v>
      </c>
      <c r="ES40" s="97">
        <v>211011</v>
      </c>
      <c r="ET40" s="97">
        <v>235846</v>
      </c>
      <c r="EU40" s="97">
        <v>1381310</v>
      </c>
      <c r="EV40" s="97">
        <v>240112</v>
      </c>
      <c r="EW40" s="97">
        <f>SUM(ER40:EV40)</f>
        <v>3338477</v>
      </c>
      <c r="EX40" s="97">
        <v>325000</v>
      </c>
      <c r="EY40" s="97">
        <v>131500</v>
      </c>
      <c r="EZ40" s="97">
        <v>3000</v>
      </c>
      <c r="FA40" s="97">
        <v>17864</v>
      </c>
      <c r="FB40" s="97">
        <v>0</v>
      </c>
      <c r="FC40" s="97">
        <f>SUM(EX40:FB40)</f>
        <v>477364</v>
      </c>
      <c r="FD40" s="97">
        <v>2034825</v>
      </c>
      <c r="FE40" s="97">
        <v>707614</v>
      </c>
      <c r="FF40" s="97">
        <v>365158</v>
      </c>
      <c r="FG40" s="97">
        <v>1098185</v>
      </c>
      <c r="FH40" s="97">
        <v>0</v>
      </c>
      <c r="FI40" s="97">
        <f>SUM(FD40:FH40)</f>
        <v>4205782</v>
      </c>
      <c r="FJ40" s="97">
        <v>0</v>
      </c>
      <c r="FK40" s="97">
        <v>0</v>
      </c>
      <c r="FL40" s="97">
        <v>0</v>
      </c>
      <c r="FM40" s="97">
        <v>0</v>
      </c>
      <c r="FN40" s="97">
        <v>0</v>
      </c>
      <c r="FO40" s="97">
        <v>0</v>
      </c>
      <c r="FP40" s="97">
        <v>109333</v>
      </c>
      <c r="FQ40" s="97">
        <v>29334</v>
      </c>
      <c r="FR40" s="97">
        <v>0</v>
      </c>
      <c r="FS40" s="97">
        <v>0</v>
      </c>
      <c r="FT40" s="97">
        <v>1428659</v>
      </c>
      <c r="FU40" s="97">
        <f>SUM(FP40:FT40)</f>
        <v>1567326</v>
      </c>
      <c r="FV40" s="97">
        <v>0</v>
      </c>
      <c r="FW40" s="97">
        <v>0</v>
      </c>
      <c r="FX40" s="97">
        <v>0</v>
      </c>
      <c r="FY40" s="97">
        <v>0</v>
      </c>
      <c r="FZ40" s="97">
        <v>0</v>
      </c>
      <c r="GA40" s="97">
        <v>0</v>
      </c>
      <c r="GB40" s="97">
        <v>0</v>
      </c>
      <c r="GC40" s="97">
        <v>17559</v>
      </c>
      <c r="GD40" s="97">
        <v>32123</v>
      </c>
      <c r="GE40" s="97">
        <v>10223</v>
      </c>
      <c r="GF40" s="97">
        <v>12175</v>
      </c>
      <c r="GG40" s="97">
        <f>SUM(GB40:GF40)</f>
        <v>72080</v>
      </c>
      <c r="GH40" s="97">
        <v>151331</v>
      </c>
      <c r="GI40" s="97">
        <v>63706</v>
      </c>
      <c r="GJ40" s="97">
        <v>49853</v>
      </c>
      <c r="GK40" s="97">
        <v>147352</v>
      </c>
      <c r="GL40" s="97">
        <v>6438</v>
      </c>
      <c r="GM40" s="97">
        <f>SUM(GH40:GL40)</f>
        <v>418680</v>
      </c>
      <c r="GN40" s="97">
        <v>1059836</v>
      </c>
      <c r="GO40" s="97">
        <v>189898</v>
      </c>
      <c r="GP40" s="97">
        <v>143276</v>
      </c>
      <c r="GQ40" s="97">
        <v>680326</v>
      </c>
      <c r="GR40" s="97">
        <v>0</v>
      </c>
      <c r="GS40" s="97">
        <f>SUM(GN40:GR40)</f>
        <v>2073336</v>
      </c>
      <c r="GT40" s="97">
        <v>600767</v>
      </c>
      <c r="GU40" s="97">
        <v>39145</v>
      </c>
      <c r="GV40" s="97">
        <v>31966</v>
      </c>
      <c r="GW40" s="97">
        <v>432164</v>
      </c>
      <c r="GX40" s="97">
        <v>110760</v>
      </c>
      <c r="GY40" s="97">
        <f>SUM(GT40:GX40)</f>
        <v>1214802</v>
      </c>
      <c r="GZ40" s="97">
        <v>484144</v>
      </c>
      <c r="HA40" s="97">
        <v>211363</v>
      </c>
      <c r="HB40" s="97">
        <v>53990</v>
      </c>
      <c r="HC40" s="97">
        <v>271335</v>
      </c>
      <c r="HD40" s="97">
        <v>196652</v>
      </c>
      <c r="HE40" s="97">
        <f>SUM(GZ40:HD40)</f>
        <v>1217484</v>
      </c>
      <c r="HF40" s="97">
        <v>528349</v>
      </c>
      <c r="HG40" s="97">
        <v>87300</v>
      </c>
      <c r="HH40" s="97">
        <v>2137</v>
      </c>
      <c r="HI40" s="97">
        <v>137201</v>
      </c>
      <c r="HJ40" s="97">
        <v>102868</v>
      </c>
      <c r="HK40" s="97">
        <f>SUM(HF40:HJ40)</f>
        <v>857855</v>
      </c>
      <c r="HL40" s="97">
        <v>0</v>
      </c>
      <c r="HM40" s="97">
        <v>0</v>
      </c>
      <c r="HN40" s="97">
        <v>0</v>
      </c>
      <c r="HO40" s="97">
        <v>0</v>
      </c>
      <c r="HP40" s="97">
        <v>0</v>
      </c>
      <c r="HQ40" s="97">
        <v>0</v>
      </c>
      <c r="HR40" s="97">
        <v>162064</v>
      </c>
      <c r="HS40" s="97">
        <v>515213</v>
      </c>
      <c r="HT40" s="97">
        <v>372</v>
      </c>
      <c r="HU40" s="97">
        <v>82098</v>
      </c>
      <c r="HV40" s="97">
        <v>370131</v>
      </c>
      <c r="HW40" s="97">
        <f>SUM(HR40:HV40)</f>
        <v>1129878</v>
      </c>
      <c r="HX40" s="97">
        <v>80033</v>
      </c>
      <c r="HY40" s="97">
        <v>1320</v>
      </c>
      <c r="HZ40" s="97">
        <v>0</v>
      </c>
      <c r="IA40" s="97">
        <v>0</v>
      </c>
      <c r="IB40" s="97">
        <v>0</v>
      </c>
      <c r="IC40" s="97">
        <f>SUM(HX40:IB40)</f>
        <v>81353</v>
      </c>
      <c r="ID40" s="97">
        <v>0</v>
      </c>
      <c r="IE40" s="97">
        <v>0</v>
      </c>
      <c r="IF40" s="97">
        <v>0</v>
      </c>
      <c r="IG40" s="97">
        <v>0</v>
      </c>
      <c r="IH40" s="97">
        <v>0</v>
      </c>
      <c r="II40" s="97">
        <v>0</v>
      </c>
      <c r="IJ40" s="97">
        <v>0</v>
      </c>
      <c r="IK40" s="97">
        <v>0</v>
      </c>
      <c r="IL40" s="97">
        <v>0</v>
      </c>
      <c r="IM40" s="97">
        <v>570</v>
      </c>
      <c r="IN40" s="97">
        <v>436034</v>
      </c>
      <c r="IO40" s="97">
        <f>SUM(IM40:IN40)</f>
        <v>436604</v>
      </c>
      <c r="IP40" s="97">
        <v>860</v>
      </c>
      <c r="IQ40" s="97">
        <v>300</v>
      </c>
      <c r="IR40" s="97">
        <v>0</v>
      </c>
      <c r="IS40" s="97">
        <v>4969</v>
      </c>
      <c r="IT40" s="97">
        <v>84735</v>
      </c>
      <c r="IU40" s="97">
        <f>SUM(IP40:IT40)</f>
        <v>90864</v>
      </c>
      <c r="IV40" s="97">
        <v>61336</v>
      </c>
      <c r="IW40" s="97">
        <v>22344</v>
      </c>
      <c r="IX40" s="97">
        <v>10248</v>
      </c>
      <c r="IY40" s="97">
        <v>28708</v>
      </c>
      <c r="IZ40" s="97">
        <v>228047</v>
      </c>
      <c r="JA40" s="97">
        <f>SUM(IV40:IZ40)</f>
        <v>350683</v>
      </c>
      <c r="JB40" s="97">
        <v>6868076</v>
      </c>
      <c r="JC40" s="97">
        <v>2227607</v>
      </c>
      <c r="JD40" s="97">
        <v>927978</v>
      </c>
      <c r="JE40" s="97">
        <v>4292305</v>
      </c>
      <c r="JF40" s="97">
        <v>3216611</v>
      </c>
      <c r="JG40" s="97">
        <v>17532577</v>
      </c>
      <c r="JH40" s="97">
        <v>0</v>
      </c>
      <c r="JI40" s="97">
        <v>0</v>
      </c>
      <c r="JJ40" s="97">
        <v>0</v>
      </c>
      <c r="JK40" s="97">
        <v>0</v>
      </c>
      <c r="JL40" s="97">
        <v>0</v>
      </c>
      <c r="JM40" s="97">
        <v>0</v>
      </c>
      <c r="JN40" s="97">
        <v>6868076</v>
      </c>
      <c r="JO40" s="97">
        <v>2227607</v>
      </c>
      <c r="JP40" s="97">
        <v>927978</v>
      </c>
      <c r="JQ40" s="97">
        <v>4292305</v>
      </c>
      <c r="JR40" s="97">
        <v>3216611</v>
      </c>
      <c r="JS40" s="97">
        <f>SUM(JN40:JR40)</f>
        <v>17532577</v>
      </c>
      <c r="JU40" s="5">
        <f t="shared" si="78"/>
        <v>2398080</v>
      </c>
      <c r="JV40" s="29">
        <f t="shared" si="79"/>
        <v>0</v>
      </c>
      <c r="JW40" s="5">
        <f t="shared" si="80"/>
        <v>0</v>
      </c>
      <c r="JX40" s="29">
        <f t="shared" si="81"/>
        <v>0</v>
      </c>
      <c r="JY40" s="5">
        <f t="shared" si="82"/>
        <v>1651000</v>
      </c>
      <c r="JZ40" s="29">
        <f t="shared" si="83"/>
        <v>0</v>
      </c>
      <c r="KA40" s="5">
        <f t="shared" si="84"/>
        <v>5112695</v>
      </c>
      <c r="KB40" s="29">
        <f t="shared" si="85"/>
        <v>0</v>
      </c>
      <c r="KC40" s="5">
        <f t="shared" si="86"/>
        <v>0</v>
      </c>
      <c r="KD40" s="29">
        <f t="shared" si="87"/>
        <v>0</v>
      </c>
      <c r="KE40" s="5">
        <f t="shared" si="88"/>
        <v>0</v>
      </c>
      <c r="KF40" s="29">
        <f t="shared" si="89"/>
        <v>0</v>
      </c>
      <c r="KG40" s="5">
        <f t="shared" si="90"/>
        <v>7528228</v>
      </c>
      <c r="KH40" s="29">
        <f t="shared" si="91"/>
        <v>0</v>
      </c>
      <c r="KI40" s="5">
        <f t="shared" si="92"/>
        <v>0</v>
      </c>
      <c r="KJ40" s="29">
        <f t="shared" si="93"/>
        <v>0</v>
      </c>
      <c r="KK40" s="5">
        <f t="shared" si="94"/>
        <v>790741</v>
      </c>
      <c r="KL40" s="29">
        <f t="shared" si="95"/>
        <v>0</v>
      </c>
      <c r="KM40" s="5">
        <f t="shared" si="96"/>
        <v>35500</v>
      </c>
      <c r="KN40" s="29">
        <f t="shared" si="97"/>
        <v>0</v>
      </c>
      <c r="KO40" s="5">
        <f t="shared" si="98"/>
        <v>326838</v>
      </c>
      <c r="KP40" s="29">
        <f t="shared" si="99"/>
        <v>0</v>
      </c>
      <c r="KQ40" s="5">
        <f t="shared" si="100"/>
        <v>492945</v>
      </c>
      <c r="KR40" s="29">
        <f t="shared" si="101"/>
        <v>0</v>
      </c>
      <c r="KS40" s="5">
        <f t="shared" si="102"/>
        <v>0</v>
      </c>
      <c r="KT40" s="29">
        <f t="shared" si="103"/>
        <v>0</v>
      </c>
      <c r="KU40" s="5">
        <f t="shared" si="104"/>
        <v>0</v>
      </c>
      <c r="KV40" s="29">
        <f t="shared" si="105"/>
        <v>0</v>
      </c>
      <c r="KW40" s="5">
        <f t="shared" si="106"/>
        <v>292940</v>
      </c>
      <c r="KX40" s="29">
        <f t="shared" si="107"/>
        <v>0</v>
      </c>
      <c r="KY40" s="5">
        <f t="shared" si="108"/>
        <v>17440897</v>
      </c>
      <c r="KZ40" s="29">
        <f t="shared" si="109"/>
        <v>0</v>
      </c>
      <c r="LA40" s="5">
        <f t="shared" si="110"/>
        <v>3338477</v>
      </c>
      <c r="LB40" s="29">
        <f t="shared" si="111"/>
        <v>0</v>
      </c>
      <c r="LC40" s="5">
        <f t="shared" si="112"/>
        <v>477364</v>
      </c>
      <c r="LD40" s="29">
        <f t="shared" si="113"/>
        <v>0</v>
      </c>
      <c r="LE40" s="5">
        <f t="shared" si="114"/>
        <v>4205782</v>
      </c>
      <c r="LF40" s="29">
        <f t="shared" si="115"/>
        <v>0</v>
      </c>
      <c r="LG40" s="5">
        <f t="shared" si="116"/>
        <v>0</v>
      </c>
      <c r="LH40" s="29">
        <f t="shared" si="117"/>
        <v>0</v>
      </c>
      <c r="LI40" s="5">
        <f t="shared" si="118"/>
        <v>1567326</v>
      </c>
      <c r="LJ40" s="29">
        <f t="shared" si="119"/>
        <v>0</v>
      </c>
      <c r="LK40" s="5">
        <f t="shared" si="120"/>
        <v>0</v>
      </c>
      <c r="LL40" s="29">
        <f t="shared" si="121"/>
        <v>0</v>
      </c>
      <c r="LM40" s="5">
        <f t="shared" si="122"/>
        <v>72080</v>
      </c>
      <c r="LN40" s="29">
        <f t="shared" si="123"/>
        <v>0</v>
      </c>
      <c r="LO40" s="5">
        <f t="shared" si="124"/>
        <v>418680</v>
      </c>
      <c r="LP40" s="29">
        <f t="shared" si="125"/>
        <v>0</v>
      </c>
      <c r="LQ40" s="5">
        <f t="shared" si="126"/>
        <v>2073336</v>
      </c>
      <c r="LR40" s="29">
        <f t="shared" si="127"/>
        <v>0</v>
      </c>
      <c r="LS40" s="5">
        <f t="shared" si="128"/>
        <v>1214802</v>
      </c>
      <c r="LT40" s="29">
        <f t="shared" si="129"/>
        <v>0</v>
      </c>
      <c r="LU40" s="5">
        <f t="shared" si="130"/>
        <v>1217484</v>
      </c>
      <c r="LV40" s="29">
        <f t="shared" si="131"/>
        <v>0</v>
      </c>
      <c r="LW40" s="5">
        <f t="shared" si="132"/>
        <v>857855</v>
      </c>
      <c r="LX40" s="29">
        <f t="shared" si="133"/>
        <v>0</v>
      </c>
      <c r="LY40" s="5">
        <f t="shared" si="134"/>
        <v>0</v>
      </c>
      <c r="LZ40" s="29">
        <f t="shared" si="135"/>
        <v>0</v>
      </c>
      <c r="MA40" s="5">
        <f t="shared" si="136"/>
        <v>1129878</v>
      </c>
      <c r="MB40" s="29">
        <f t="shared" si="137"/>
        <v>0</v>
      </c>
      <c r="MC40" s="5">
        <f t="shared" si="138"/>
        <v>81353</v>
      </c>
      <c r="MD40" s="29">
        <f t="shared" si="139"/>
        <v>0</v>
      </c>
      <c r="ME40" s="5">
        <f t="shared" si="140"/>
        <v>0</v>
      </c>
      <c r="MF40" s="29">
        <f t="shared" si="141"/>
        <v>0</v>
      </c>
      <c r="MG40" s="5">
        <f t="shared" si="142"/>
        <v>436604</v>
      </c>
      <c r="MH40" s="29">
        <f t="shared" si="143"/>
        <v>0</v>
      </c>
      <c r="MI40" s="5">
        <f t="shared" si="144"/>
        <v>90864</v>
      </c>
      <c r="MJ40" s="29">
        <f t="shared" si="145"/>
        <v>0</v>
      </c>
      <c r="MK40" s="5">
        <f t="shared" si="146"/>
        <v>350683</v>
      </c>
      <c r="ML40" s="29">
        <f t="shared" si="147"/>
        <v>0</v>
      </c>
      <c r="MM40" s="5">
        <f t="shared" si="148"/>
        <v>17532577</v>
      </c>
      <c r="MN40" s="29">
        <f t="shared" si="149"/>
        <v>0</v>
      </c>
      <c r="MO40" s="5">
        <f t="shared" si="150"/>
        <v>0</v>
      </c>
      <c r="MP40" s="29">
        <f t="shared" si="151"/>
        <v>0</v>
      </c>
      <c r="MQ40" s="5">
        <f t="shared" si="152"/>
        <v>17532577</v>
      </c>
      <c r="MR40" s="29">
        <f t="shared" si="153"/>
        <v>0</v>
      </c>
      <c r="MT40" s="5">
        <f t="shared" si="76"/>
        <v>0</v>
      </c>
      <c r="MV40" s="4">
        <f t="shared" si="77"/>
        <v>0</v>
      </c>
    </row>
    <row r="41" spans="1:360" x14ac:dyDescent="0.15">
      <c r="A41" s="157" t="s">
        <v>331</v>
      </c>
      <c r="B41" s="28" t="s">
        <v>462</v>
      </c>
      <c r="C41" s="47">
        <v>159647</v>
      </c>
      <c r="D41" s="48">
        <v>2012</v>
      </c>
      <c r="E41" s="49">
        <v>1</v>
      </c>
      <c r="F41" s="49">
        <v>12</v>
      </c>
      <c r="G41" s="50">
        <v>3621</v>
      </c>
      <c r="H41" s="50">
        <v>2892</v>
      </c>
      <c r="I41" s="51">
        <v>153471261</v>
      </c>
      <c r="J41" s="51">
        <v>154999189</v>
      </c>
      <c r="K41" s="51">
        <v>0</v>
      </c>
      <c r="L41" s="51"/>
      <c r="M41" s="51">
        <v>1972759</v>
      </c>
      <c r="N41" s="51"/>
      <c r="O41" s="51">
        <v>0</v>
      </c>
      <c r="P41" s="51"/>
      <c r="Q41" s="51">
        <v>73031259</v>
      </c>
      <c r="R41" s="51"/>
      <c r="S41" s="51">
        <v>126585159</v>
      </c>
      <c r="T41" s="51">
        <v>127428500</v>
      </c>
      <c r="U41" s="51">
        <v>12711</v>
      </c>
      <c r="V41" s="51">
        <v>12198</v>
      </c>
      <c r="W41" s="51">
        <v>18222</v>
      </c>
      <c r="X41" s="51">
        <v>16791</v>
      </c>
      <c r="Y41" s="51">
        <v>16389</v>
      </c>
      <c r="Z41" s="51">
        <v>15903</v>
      </c>
      <c r="AA41" s="51">
        <v>23515</v>
      </c>
      <c r="AB41" s="51">
        <v>21840</v>
      </c>
      <c r="AC41" s="74">
        <v>7</v>
      </c>
      <c r="AD41" s="74">
        <v>9</v>
      </c>
      <c r="AE41" s="74">
        <v>0</v>
      </c>
      <c r="AF41" s="29">
        <v>2207891</v>
      </c>
      <c r="AG41" s="29">
        <v>1456633</v>
      </c>
      <c r="AH41" s="29">
        <v>233553</v>
      </c>
      <c r="AI41" s="29">
        <v>72545</v>
      </c>
      <c r="AJ41" s="29">
        <v>268264</v>
      </c>
      <c r="AK41" s="73">
        <v>4.5</v>
      </c>
      <c r="AL41" s="29">
        <v>241437.6</v>
      </c>
      <c r="AM41" s="73">
        <v>5</v>
      </c>
      <c r="AN41" s="29">
        <v>96041.525423728803</v>
      </c>
      <c r="AO41" s="73">
        <v>5.9</v>
      </c>
      <c r="AP41" s="29">
        <v>80949.28571428571</v>
      </c>
      <c r="AQ41" s="73">
        <v>7</v>
      </c>
      <c r="AR41" s="29">
        <v>113682.59136212624</v>
      </c>
      <c r="AS41" s="73">
        <v>15.05</v>
      </c>
      <c r="AT41" s="29">
        <v>100642.5294117647</v>
      </c>
      <c r="AU41" s="73">
        <v>17</v>
      </c>
      <c r="AV41" s="29">
        <v>42215.02762430939</v>
      </c>
      <c r="AW41" s="73">
        <v>9.0500000000000007</v>
      </c>
      <c r="AX41" s="29">
        <v>34731.454545454544</v>
      </c>
      <c r="AY41" s="73">
        <v>11</v>
      </c>
      <c r="AZ41" s="97">
        <v>724517</v>
      </c>
      <c r="BA41" s="97">
        <v>81416</v>
      </c>
      <c r="BB41" s="97">
        <v>104089</v>
      </c>
      <c r="BC41" s="97">
        <v>43900</v>
      </c>
      <c r="BD41" s="97">
        <v>0</v>
      </c>
      <c r="BE41" s="97">
        <v>953922</v>
      </c>
      <c r="BF41" s="97">
        <v>0</v>
      </c>
      <c r="BG41" s="97">
        <v>0</v>
      </c>
      <c r="BH41" s="97">
        <v>0</v>
      </c>
      <c r="BI41" s="97">
        <v>0</v>
      </c>
      <c r="BJ41" s="97">
        <v>0</v>
      </c>
      <c r="BK41" s="97">
        <v>0</v>
      </c>
      <c r="BL41" s="97">
        <v>1725000</v>
      </c>
      <c r="BM41" s="97">
        <v>155000</v>
      </c>
      <c r="BN41" s="97">
        <v>5000</v>
      </c>
      <c r="BO41" s="97">
        <v>16000</v>
      </c>
      <c r="BP41" s="97">
        <v>0</v>
      </c>
      <c r="BQ41" s="97">
        <v>1901000</v>
      </c>
      <c r="BR41" s="97">
        <v>820474</v>
      </c>
      <c r="BS41" s="97">
        <v>120093</v>
      </c>
      <c r="BT41" s="97">
        <v>67965</v>
      </c>
      <c r="BU41" s="97">
        <v>200359</v>
      </c>
      <c r="BV41" s="97">
        <v>2399480</v>
      </c>
      <c r="BW41" s="97">
        <v>3608371</v>
      </c>
      <c r="BX41" s="97">
        <v>0</v>
      </c>
      <c r="BY41" s="97">
        <v>0</v>
      </c>
      <c r="BZ41" s="97">
        <v>0</v>
      </c>
      <c r="CA41" s="97">
        <v>0</v>
      </c>
      <c r="CB41" s="97">
        <v>0</v>
      </c>
      <c r="CC41" s="97">
        <v>0</v>
      </c>
      <c r="CD41" s="97">
        <v>0</v>
      </c>
      <c r="CE41" s="97">
        <v>0</v>
      </c>
      <c r="CF41" s="97">
        <v>0</v>
      </c>
      <c r="CG41" s="97">
        <v>0</v>
      </c>
      <c r="CH41" s="97">
        <v>0</v>
      </c>
      <c r="CI41" s="97">
        <v>0</v>
      </c>
      <c r="CJ41" s="97">
        <v>2148489</v>
      </c>
      <c r="CK41" s="97">
        <v>1010898</v>
      </c>
      <c r="CL41" s="97">
        <v>990517</v>
      </c>
      <c r="CM41" s="97">
        <v>3362051</v>
      </c>
      <c r="CN41" s="97">
        <v>140753</v>
      </c>
      <c r="CO41" s="97">
        <v>7652708</v>
      </c>
      <c r="CP41" s="97">
        <v>0</v>
      </c>
      <c r="CQ41" s="97">
        <v>0</v>
      </c>
      <c r="CR41" s="97">
        <v>0</v>
      </c>
      <c r="CS41" s="97">
        <v>0</v>
      </c>
      <c r="CT41" s="97">
        <v>1962823</v>
      </c>
      <c r="CU41" s="97">
        <v>1962823</v>
      </c>
      <c r="CV41" s="97">
        <v>495916</v>
      </c>
      <c r="CW41" s="97">
        <v>116225</v>
      </c>
      <c r="CX41" s="97">
        <v>103387</v>
      </c>
      <c r="CY41" s="97">
        <v>322132</v>
      </c>
      <c r="CZ41" s="97">
        <v>805028</v>
      </c>
      <c r="DA41" s="97">
        <v>1842688</v>
      </c>
      <c r="DB41" s="97">
        <v>0</v>
      </c>
      <c r="DC41" s="97">
        <v>0</v>
      </c>
      <c r="DD41" s="97">
        <v>0</v>
      </c>
      <c r="DE41" s="97">
        <v>0</v>
      </c>
      <c r="DF41" s="97">
        <v>0</v>
      </c>
      <c r="DG41" s="97">
        <v>0</v>
      </c>
      <c r="DH41" s="97">
        <v>53387</v>
      </c>
      <c r="DI41" s="97">
        <v>3663</v>
      </c>
      <c r="DJ41" s="97">
        <v>3797</v>
      </c>
      <c r="DK41" s="97">
        <v>2562</v>
      </c>
      <c r="DL41" s="97">
        <v>115988</v>
      </c>
      <c r="DM41" s="97">
        <v>179397</v>
      </c>
      <c r="DN41" s="97">
        <v>0</v>
      </c>
      <c r="DO41" s="97">
        <v>0</v>
      </c>
      <c r="DP41" s="97">
        <v>0</v>
      </c>
      <c r="DQ41" s="97">
        <v>0</v>
      </c>
      <c r="DR41" s="97">
        <v>614492</v>
      </c>
      <c r="DS41" s="97">
        <v>614492</v>
      </c>
      <c r="DT41" s="97">
        <v>0</v>
      </c>
      <c r="DU41" s="97">
        <v>0</v>
      </c>
      <c r="DV41" s="97">
        <v>0</v>
      </c>
      <c r="DW41" s="97">
        <v>0</v>
      </c>
      <c r="DX41" s="97">
        <v>0</v>
      </c>
      <c r="DY41" s="97">
        <v>0</v>
      </c>
      <c r="DZ41" s="97">
        <v>0</v>
      </c>
      <c r="EA41" s="97">
        <v>0</v>
      </c>
      <c r="EB41" s="97">
        <v>0</v>
      </c>
      <c r="EC41" s="97">
        <v>0</v>
      </c>
      <c r="ED41" s="97">
        <v>0</v>
      </c>
      <c r="EE41" s="97">
        <v>0</v>
      </c>
      <c r="EF41" s="97">
        <v>0</v>
      </c>
      <c r="EG41" s="97">
        <v>0</v>
      </c>
      <c r="EH41" s="97">
        <v>0</v>
      </c>
      <c r="EI41" s="97">
        <v>400</v>
      </c>
      <c r="EJ41" s="97">
        <v>18396</v>
      </c>
      <c r="EK41" s="97">
        <v>18796</v>
      </c>
      <c r="EL41" s="97">
        <v>5967783</v>
      </c>
      <c r="EM41" s="97">
        <v>1487295</v>
      </c>
      <c r="EN41" s="97">
        <v>1274755</v>
      </c>
      <c r="EO41" s="97">
        <v>3947404</v>
      </c>
      <c r="EP41" s="97">
        <v>6056960</v>
      </c>
      <c r="EQ41" s="97">
        <v>18734197</v>
      </c>
      <c r="ER41" s="97">
        <v>1507706</v>
      </c>
      <c r="ES41" s="97">
        <v>273630</v>
      </c>
      <c r="ET41" s="97">
        <v>262020</v>
      </c>
      <c r="EU41" s="97">
        <v>1621168</v>
      </c>
      <c r="EV41" s="97">
        <v>290330</v>
      </c>
      <c r="EW41" s="97">
        <v>3954854</v>
      </c>
      <c r="EX41" s="97">
        <v>470000</v>
      </c>
      <c r="EY41" s="97">
        <v>12500</v>
      </c>
      <c r="EZ41" s="97">
        <v>12850</v>
      </c>
      <c r="FA41" s="97">
        <v>3080</v>
      </c>
      <c r="FB41" s="97">
        <v>0</v>
      </c>
      <c r="FC41" s="97">
        <v>498430</v>
      </c>
      <c r="FD41" s="97">
        <v>1923445</v>
      </c>
      <c r="FE41" s="97">
        <v>633476</v>
      </c>
      <c r="FF41" s="97">
        <v>471283</v>
      </c>
      <c r="FG41" s="97">
        <v>838598</v>
      </c>
      <c r="FH41" s="97">
        <v>0</v>
      </c>
      <c r="FI41" s="97">
        <v>3866802</v>
      </c>
      <c r="FJ41" s="97">
        <v>0</v>
      </c>
      <c r="FK41" s="97">
        <v>0</v>
      </c>
      <c r="FL41" s="97">
        <v>0</v>
      </c>
      <c r="FM41" s="97">
        <v>0</v>
      </c>
      <c r="FN41" s="97">
        <v>0</v>
      </c>
      <c r="FO41" s="97">
        <v>0</v>
      </c>
      <c r="FP41" s="97">
        <v>193513</v>
      </c>
      <c r="FQ41" s="97">
        <v>90068</v>
      </c>
      <c r="FR41" s="97">
        <v>88391</v>
      </c>
      <c r="FS41" s="97">
        <v>3770</v>
      </c>
      <c r="FT41" s="97">
        <v>1247780</v>
      </c>
      <c r="FU41" s="97">
        <v>1623522</v>
      </c>
      <c r="FV41" s="97">
        <v>0</v>
      </c>
      <c r="FW41" s="97">
        <v>0</v>
      </c>
      <c r="FX41" s="97">
        <v>0</v>
      </c>
      <c r="FY41" s="97">
        <v>0</v>
      </c>
      <c r="FZ41" s="97">
        <v>0</v>
      </c>
      <c r="GA41" s="97">
        <v>0</v>
      </c>
      <c r="GB41" s="97">
        <v>0</v>
      </c>
      <c r="GC41" s="97">
        <v>0</v>
      </c>
      <c r="GD41" s="97">
        <v>0</v>
      </c>
      <c r="GE41" s="97">
        <v>0</v>
      </c>
      <c r="GF41" s="97">
        <v>0</v>
      </c>
      <c r="GG41" s="97">
        <v>0</v>
      </c>
      <c r="GH41" s="97">
        <v>159030</v>
      </c>
      <c r="GI41" s="97">
        <v>51580</v>
      </c>
      <c r="GJ41" s="97">
        <v>31387</v>
      </c>
      <c r="GK41" s="97">
        <v>64101</v>
      </c>
      <c r="GL41" s="97">
        <v>5510</v>
      </c>
      <c r="GM41" s="97">
        <v>311608</v>
      </c>
      <c r="GN41" s="97">
        <v>898444</v>
      </c>
      <c r="GO41" s="97">
        <v>215676</v>
      </c>
      <c r="GP41" s="97">
        <v>243060</v>
      </c>
      <c r="GQ41" s="97">
        <v>875234</v>
      </c>
      <c r="GR41" s="97">
        <v>1339</v>
      </c>
      <c r="GS41" s="97">
        <v>2233753</v>
      </c>
      <c r="GT41" s="97">
        <v>502903</v>
      </c>
      <c r="GU41" s="97">
        <v>62455</v>
      </c>
      <c r="GV41" s="97">
        <v>30033</v>
      </c>
      <c r="GW41" s="97">
        <v>351369</v>
      </c>
      <c r="GX41" s="97">
        <v>1289998</v>
      </c>
      <c r="GY41" s="97">
        <v>2236758</v>
      </c>
      <c r="GZ41" s="97">
        <v>73040</v>
      </c>
      <c r="HA41" s="97">
        <v>85050</v>
      </c>
      <c r="HB41" s="97">
        <v>71177</v>
      </c>
      <c r="HC41" s="97">
        <v>75076</v>
      </c>
      <c r="HD41" s="97">
        <v>81375</v>
      </c>
      <c r="HE41" s="97">
        <v>385718</v>
      </c>
      <c r="HF41" s="97">
        <v>42046</v>
      </c>
      <c r="HG41" s="97">
        <v>3090</v>
      </c>
      <c r="HH41" s="97">
        <v>1361</v>
      </c>
      <c r="HI41" s="97">
        <v>7562</v>
      </c>
      <c r="HJ41" s="97">
        <v>319473</v>
      </c>
      <c r="HK41" s="97">
        <v>373532</v>
      </c>
      <c r="HL41" s="97">
        <v>0</v>
      </c>
      <c r="HM41" s="97">
        <v>0</v>
      </c>
      <c r="HN41" s="97">
        <v>0</v>
      </c>
      <c r="HO41" s="97">
        <v>0</v>
      </c>
      <c r="HP41" s="97">
        <v>0</v>
      </c>
      <c r="HQ41" s="97">
        <v>0</v>
      </c>
      <c r="HR41" s="97">
        <v>56020</v>
      </c>
      <c r="HS41" s="97">
        <v>14653</v>
      </c>
      <c r="HT41" s="97">
        <v>14922</v>
      </c>
      <c r="HU41" s="97">
        <v>8378</v>
      </c>
      <c r="HV41" s="97">
        <v>350492</v>
      </c>
      <c r="HW41" s="97">
        <v>444465</v>
      </c>
      <c r="HX41" s="97">
        <v>0</v>
      </c>
      <c r="HY41" s="97">
        <v>0</v>
      </c>
      <c r="HZ41" s="97">
        <v>0</v>
      </c>
      <c r="IA41" s="97">
        <v>0</v>
      </c>
      <c r="IB41" s="97">
        <v>0</v>
      </c>
      <c r="IC41" s="97">
        <v>0</v>
      </c>
      <c r="ID41" s="97">
        <v>0</v>
      </c>
      <c r="IE41" s="97">
        <v>0</v>
      </c>
      <c r="IF41" s="97">
        <v>0</v>
      </c>
      <c r="IG41" s="97">
        <v>0</v>
      </c>
      <c r="IH41" s="97">
        <v>1962823</v>
      </c>
      <c r="II41" s="97">
        <v>1962823</v>
      </c>
      <c r="IJ41" s="97">
        <v>0</v>
      </c>
      <c r="IK41" s="97">
        <v>0</v>
      </c>
      <c r="IL41" s="97">
        <v>0</v>
      </c>
      <c r="IM41" s="97">
        <v>0</v>
      </c>
      <c r="IN41" s="97">
        <v>219745</v>
      </c>
      <c r="IO41" s="97">
        <v>219745</v>
      </c>
      <c r="IP41" s="97">
        <v>1360</v>
      </c>
      <c r="IQ41" s="97">
        <v>1070</v>
      </c>
      <c r="IR41" s="97">
        <v>600</v>
      </c>
      <c r="IS41" s="97">
        <v>2006</v>
      </c>
      <c r="IT41" s="97">
        <v>411596</v>
      </c>
      <c r="IU41" s="97">
        <v>416632</v>
      </c>
      <c r="IV41" s="97">
        <v>63484</v>
      </c>
      <c r="IW41" s="97">
        <v>20286</v>
      </c>
      <c r="IX41" s="97">
        <v>16250</v>
      </c>
      <c r="IY41" s="97">
        <v>13773</v>
      </c>
      <c r="IZ41" s="97">
        <v>45141</v>
      </c>
      <c r="JA41" s="97">
        <v>158934</v>
      </c>
      <c r="JB41" s="97">
        <v>5890991</v>
      </c>
      <c r="JC41" s="97">
        <v>1463534</v>
      </c>
      <c r="JD41" s="97">
        <v>1243334</v>
      </c>
      <c r="JE41" s="97">
        <v>3864115</v>
      </c>
      <c r="JF41" s="97">
        <v>6225602</v>
      </c>
      <c r="JG41" s="97">
        <v>18687576</v>
      </c>
      <c r="JH41" s="97">
        <v>0</v>
      </c>
      <c r="JI41" s="97">
        <v>0</v>
      </c>
      <c r="JJ41" s="97">
        <v>0</v>
      </c>
      <c r="JK41" s="97">
        <v>0</v>
      </c>
      <c r="JL41" s="97">
        <v>0</v>
      </c>
      <c r="JM41" s="97">
        <v>0</v>
      </c>
      <c r="JN41" s="97">
        <v>5890991</v>
      </c>
      <c r="JO41" s="97">
        <v>1463534</v>
      </c>
      <c r="JP41" s="97">
        <v>1243334</v>
      </c>
      <c r="JQ41" s="97">
        <v>3864115</v>
      </c>
      <c r="JR41" s="97">
        <v>6225602</v>
      </c>
      <c r="JS41" s="97">
        <v>18687576</v>
      </c>
      <c r="JU41" s="5">
        <f t="shared" si="78"/>
        <v>953922</v>
      </c>
      <c r="JV41" s="29">
        <f t="shared" si="79"/>
        <v>0</v>
      </c>
      <c r="JW41" s="5">
        <f t="shared" si="80"/>
        <v>0</v>
      </c>
      <c r="JX41" s="29">
        <f t="shared" si="81"/>
        <v>0</v>
      </c>
      <c r="JY41" s="5">
        <f t="shared" si="82"/>
        <v>1901000</v>
      </c>
      <c r="JZ41" s="29">
        <f t="shared" si="83"/>
        <v>0</v>
      </c>
      <c r="KA41" s="5">
        <f t="shared" si="84"/>
        <v>3608371</v>
      </c>
      <c r="KB41" s="29">
        <f t="shared" si="85"/>
        <v>0</v>
      </c>
      <c r="KC41" s="5">
        <f t="shared" si="86"/>
        <v>0</v>
      </c>
      <c r="KD41" s="29">
        <f t="shared" si="87"/>
        <v>0</v>
      </c>
      <c r="KE41" s="5">
        <f t="shared" si="88"/>
        <v>0</v>
      </c>
      <c r="KF41" s="29">
        <f t="shared" si="89"/>
        <v>0</v>
      </c>
      <c r="KG41" s="5">
        <f t="shared" si="90"/>
        <v>7652708</v>
      </c>
      <c r="KH41" s="29">
        <f t="shared" si="91"/>
        <v>0</v>
      </c>
      <c r="KI41" s="5">
        <f t="shared" si="92"/>
        <v>1962823</v>
      </c>
      <c r="KJ41" s="29">
        <f t="shared" si="93"/>
        <v>0</v>
      </c>
      <c r="KK41" s="5">
        <f t="shared" si="94"/>
        <v>1842688</v>
      </c>
      <c r="KL41" s="29">
        <f t="shared" si="95"/>
        <v>0</v>
      </c>
      <c r="KM41" s="5">
        <f t="shared" si="96"/>
        <v>0</v>
      </c>
      <c r="KN41" s="29">
        <f t="shared" si="97"/>
        <v>0</v>
      </c>
      <c r="KO41" s="5">
        <f t="shared" si="98"/>
        <v>179397</v>
      </c>
      <c r="KP41" s="29">
        <f t="shared" si="99"/>
        <v>0</v>
      </c>
      <c r="KQ41" s="5">
        <f t="shared" si="100"/>
        <v>614492</v>
      </c>
      <c r="KR41" s="29">
        <f t="shared" si="101"/>
        <v>0</v>
      </c>
      <c r="KS41" s="5">
        <f t="shared" si="102"/>
        <v>0</v>
      </c>
      <c r="KT41" s="29">
        <f t="shared" si="103"/>
        <v>0</v>
      </c>
      <c r="KU41" s="5">
        <f t="shared" si="104"/>
        <v>0</v>
      </c>
      <c r="KV41" s="29">
        <f t="shared" si="105"/>
        <v>0</v>
      </c>
      <c r="KW41" s="5">
        <f t="shared" si="106"/>
        <v>18796</v>
      </c>
      <c r="KX41" s="29">
        <f t="shared" si="107"/>
        <v>0</v>
      </c>
      <c r="KY41" s="5">
        <f t="shared" si="108"/>
        <v>18734197</v>
      </c>
      <c r="KZ41" s="29">
        <f t="shared" si="109"/>
        <v>0</v>
      </c>
      <c r="LA41" s="5">
        <f t="shared" si="110"/>
        <v>3954854</v>
      </c>
      <c r="LB41" s="29">
        <f t="shared" si="111"/>
        <v>0</v>
      </c>
      <c r="LC41" s="5">
        <f t="shared" si="112"/>
        <v>498430</v>
      </c>
      <c r="LD41" s="29">
        <f t="shared" si="113"/>
        <v>0</v>
      </c>
      <c r="LE41" s="5">
        <f t="shared" si="114"/>
        <v>3866802</v>
      </c>
      <c r="LF41" s="29">
        <f t="shared" si="115"/>
        <v>0</v>
      </c>
      <c r="LG41" s="5">
        <f t="shared" si="116"/>
        <v>0</v>
      </c>
      <c r="LH41" s="29">
        <f t="shared" si="117"/>
        <v>0</v>
      </c>
      <c r="LI41" s="5">
        <f t="shared" si="118"/>
        <v>1623522</v>
      </c>
      <c r="LJ41" s="29">
        <f t="shared" si="119"/>
        <v>0</v>
      </c>
      <c r="LK41" s="5">
        <f t="shared" si="120"/>
        <v>0</v>
      </c>
      <c r="LL41" s="29">
        <f t="shared" si="121"/>
        <v>0</v>
      </c>
      <c r="LM41" s="5">
        <f t="shared" si="122"/>
        <v>0</v>
      </c>
      <c r="LN41" s="29">
        <f t="shared" si="123"/>
        <v>0</v>
      </c>
      <c r="LO41" s="5">
        <f t="shared" si="124"/>
        <v>311608</v>
      </c>
      <c r="LP41" s="29">
        <f t="shared" si="125"/>
        <v>0</v>
      </c>
      <c r="LQ41" s="5">
        <f t="shared" si="126"/>
        <v>2233753</v>
      </c>
      <c r="LR41" s="29">
        <f t="shared" si="127"/>
        <v>0</v>
      </c>
      <c r="LS41" s="5">
        <f t="shared" si="128"/>
        <v>2236758</v>
      </c>
      <c r="LT41" s="29">
        <f t="shared" si="129"/>
        <v>0</v>
      </c>
      <c r="LU41" s="5">
        <f t="shared" si="130"/>
        <v>385718</v>
      </c>
      <c r="LV41" s="29">
        <f t="shared" si="131"/>
        <v>0</v>
      </c>
      <c r="LW41" s="5">
        <f t="shared" si="132"/>
        <v>373532</v>
      </c>
      <c r="LX41" s="29">
        <f t="shared" si="133"/>
        <v>0</v>
      </c>
      <c r="LY41" s="5">
        <f t="shared" si="134"/>
        <v>0</v>
      </c>
      <c r="LZ41" s="29">
        <f t="shared" si="135"/>
        <v>0</v>
      </c>
      <c r="MA41" s="5">
        <f t="shared" si="136"/>
        <v>444465</v>
      </c>
      <c r="MB41" s="29">
        <f t="shared" si="137"/>
        <v>0</v>
      </c>
      <c r="MC41" s="5">
        <f t="shared" si="138"/>
        <v>0</v>
      </c>
      <c r="MD41" s="29">
        <f t="shared" si="139"/>
        <v>0</v>
      </c>
      <c r="ME41" s="5">
        <f t="shared" si="140"/>
        <v>1962823</v>
      </c>
      <c r="MF41" s="29">
        <f t="shared" si="141"/>
        <v>0</v>
      </c>
      <c r="MG41" s="5">
        <f t="shared" si="142"/>
        <v>219745</v>
      </c>
      <c r="MH41" s="29">
        <f t="shared" si="143"/>
        <v>0</v>
      </c>
      <c r="MI41" s="5">
        <f t="shared" si="144"/>
        <v>416632</v>
      </c>
      <c r="MJ41" s="29">
        <f t="shared" si="145"/>
        <v>0</v>
      </c>
      <c r="MK41" s="5">
        <f t="shared" si="146"/>
        <v>158934</v>
      </c>
      <c r="ML41" s="29">
        <f t="shared" si="147"/>
        <v>0</v>
      </c>
      <c r="MM41" s="5">
        <f t="shared" si="148"/>
        <v>18687576</v>
      </c>
      <c r="MN41" s="29">
        <f t="shared" si="149"/>
        <v>0</v>
      </c>
      <c r="MO41" s="5">
        <f t="shared" si="150"/>
        <v>0</v>
      </c>
      <c r="MP41" s="29">
        <f t="shared" si="151"/>
        <v>0</v>
      </c>
      <c r="MQ41" s="5">
        <f t="shared" si="152"/>
        <v>18687576</v>
      </c>
      <c r="MR41" s="29">
        <f t="shared" si="153"/>
        <v>0</v>
      </c>
      <c r="MT41" s="5">
        <f t="shared" si="76"/>
        <v>0</v>
      </c>
      <c r="MV41" s="4">
        <f t="shared" si="77"/>
        <v>0</v>
      </c>
    </row>
    <row r="42" spans="1:360" x14ac:dyDescent="0.15">
      <c r="A42" s="155" t="s">
        <v>332</v>
      </c>
      <c r="B42" s="28" t="s">
        <v>466</v>
      </c>
      <c r="C42" s="47">
        <v>157289</v>
      </c>
      <c r="D42" s="48">
        <v>2012</v>
      </c>
      <c r="E42" s="49">
        <v>1</v>
      </c>
      <c r="F42" s="49">
        <v>7</v>
      </c>
      <c r="G42" s="50">
        <v>7726</v>
      </c>
      <c r="H42" s="50">
        <v>8046</v>
      </c>
      <c r="I42" s="51">
        <v>817240000</v>
      </c>
      <c r="J42" s="51"/>
      <c r="K42" s="51">
        <v>9215000</v>
      </c>
      <c r="L42" s="51"/>
      <c r="M42" s="51">
        <v>36024000</v>
      </c>
      <c r="N42" s="51"/>
      <c r="O42" s="51">
        <v>67554000</v>
      </c>
      <c r="P42" s="51"/>
      <c r="Q42" s="51">
        <v>298542000</v>
      </c>
      <c r="R42" s="51"/>
      <c r="S42" s="52">
        <v>685430000</v>
      </c>
      <c r="T42" s="52"/>
      <c r="U42" s="52">
        <v>18830</v>
      </c>
      <c r="V42" s="52"/>
      <c r="W42" s="52">
        <v>31550</v>
      </c>
      <c r="X42" s="52"/>
      <c r="Y42" s="52">
        <v>21938</v>
      </c>
      <c r="Z42" s="52"/>
      <c r="AA42" s="52">
        <v>33254</v>
      </c>
      <c r="AB42" s="49"/>
      <c r="AC42" s="72">
        <v>10</v>
      </c>
      <c r="AD42" s="72">
        <v>13</v>
      </c>
      <c r="AE42" s="72">
        <v>0</v>
      </c>
      <c r="AF42" s="29">
        <v>4672373</v>
      </c>
      <c r="AG42" s="29">
        <v>4237817</v>
      </c>
      <c r="AH42" s="29">
        <v>876008</v>
      </c>
      <c r="AI42" s="29">
        <v>383837</v>
      </c>
      <c r="AJ42" s="29">
        <v>1175500.1399999999</v>
      </c>
      <c r="AK42" s="73">
        <v>7</v>
      </c>
      <c r="AL42" s="29">
        <v>1028562.63</v>
      </c>
      <c r="AM42" s="73">
        <v>8</v>
      </c>
      <c r="AN42" s="29">
        <v>206230.6</v>
      </c>
      <c r="AO42" s="73">
        <v>10</v>
      </c>
      <c r="AP42" s="29">
        <v>187482.36</v>
      </c>
      <c r="AQ42" s="73">
        <v>11</v>
      </c>
      <c r="AR42" s="29">
        <v>185367.82</v>
      </c>
      <c r="AS42" s="73">
        <v>22</v>
      </c>
      <c r="AT42" s="29">
        <v>156849.69</v>
      </c>
      <c r="AU42" s="73">
        <v>26</v>
      </c>
      <c r="AV42" s="29">
        <v>82297.100000000006</v>
      </c>
      <c r="AW42" s="73">
        <v>21</v>
      </c>
      <c r="AX42" s="29">
        <v>69129.56</v>
      </c>
      <c r="AY42" s="73">
        <v>25</v>
      </c>
      <c r="AZ42" s="97">
        <v>9591571</v>
      </c>
      <c r="BA42" s="113">
        <v>13275910</v>
      </c>
      <c r="BB42" s="113">
        <v>447541</v>
      </c>
      <c r="BC42" s="113">
        <v>117713</v>
      </c>
      <c r="BD42" s="113">
        <v>0</v>
      </c>
      <c r="BE42" s="113">
        <v>23432735</v>
      </c>
      <c r="BF42" s="113">
        <v>0</v>
      </c>
      <c r="BG42" s="97">
        <v>0</v>
      </c>
      <c r="BH42" s="97">
        <v>0</v>
      </c>
      <c r="BI42" s="97">
        <v>0</v>
      </c>
      <c r="BJ42" s="97">
        <v>1853010</v>
      </c>
      <c r="BK42" s="97">
        <v>1853010</v>
      </c>
      <c r="BL42" s="97">
        <v>1200000</v>
      </c>
      <c r="BM42" s="113">
        <v>80000</v>
      </c>
      <c r="BN42" s="113">
        <v>0</v>
      </c>
      <c r="BO42" s="113">
        <v>0</v>
      </c>
      <c r="BP42" s="113">
        <v>0</v>
      </c>
      <c r="BQ42" s="113">
        <v>1280000</v>
      </c>
      <c r="BR42" s="113">
        <v>6157114</v>
      </c>
      <c r="BS42" s="113">
        <v>20378031</v>
      </c>
      <c r="BT42" s="113">
        <v>193074</v>
      </c>
      <c r="BU42" s="113">
        <v>625980</v>
      </c>
      <c r="BV42" s="113">
        <v>958377</v>
      </c>
      <c r="BW42" s="113">
        <v>28312576</v>
      </c>
      <c r="BX42" s="113">
        <v>0</v>
      </c>
      <c r="BY42" s="113">
        <v>0</v>
      </c>
      <c r="BZ42" s="113">
        <v>0</v>
      </c>
      <c r="CA42" s="113">
        <v>0</v>
      </c>
      <c r="CB42" s="113">
        <v>0</v>
      </c>
      <c r="CC42" s="113">
        <v>0</v>
      </c>
      <c r="CD42" s="113">
        <v>0</v>
      </c>
      <c r="CE42" s="97">
        <v>0</v>
      </c>
      <c r="CF42" s="97">
        <v>0</v>
      </c>
      <c r="CG42" s="97">
        <v>0</v>
      </c>
      <c r="CH42" s="97">
        <v>0</v>
      </c>
      <c r="CI42" s="97">
        <v>0</v>
      </c>
      <c r="CJ42" s="97">
        <v>0</v>
      </c>
      <c r="CK42" s="113">
        <v>0</v>
      </c>
      <c r="CL42" s="113">
        <v>0</v>
      </c>
      <c r="CM42" s="113">
        <v>0</v>
      </c>
      <c r="CN42" s="113">
        <v>2152900</v>
      </c>
      <c r="CO42" s="113">
        <v>2152900</v>
      </c>
      <c r="CP42" s="113">
        <v>0</v>
      </c>
      <c r="CQ42" s="97">
        <v>0</v>
      </c>
      <c r="CR42" s="97">
        <v>0</v>
      </c>
      <c r="CS42" s="97">
        <v>0</v>
      </c>
      <c r="CT42" s="97">
        <v>6788275</v>
      </c>
      <c r="CU42" s="97">
        <v>6788275</v>
      </c>
      <c r="CV42" s="97">
        <v>5447200</v>
      </c>
      <c r="CW42" s="113">
        <v>5343578</v>
      </c>
      <c r="CX42" s="113">
        <v>280956</v>
      </c>
      <c r="CY42" s="113">
        <v>244406</v>
      </c>
      <c r="CZ42" s="113">
        <v>1671153</v>
      </c>
      <c r="DA42" s="113">
        <v>12987293</v>
      </c>
      <c r="DB42" s="113">
        <v>0</v>
      </c>
      <c r="DC42" s="113">
        <v>0</v>
      </c>
      <c r="DD42" s="113">
        <v>0</v>
      </c>
      <c r="DE42" s="113">
        <v>0</v>
      </c>
      <c r="DF42" s="113">
        <v>0</v>
      </c>
      <c r="DG42" s="113">
        <v>0</v>
      </c>
      <c r="DH42" s="113">
        <v>1260915</v>
      </c>
      <c r="DI42" s="113">
        <v>1034322</v>
      </c>
      <c r="DJ42" s="113">
        <v>37780</v>
      </c>
      <c r="DK42" s="113">
        <v>0</v>
      </c>
      <c r="DL42" s="113">
        <v>511943</v>
      </c>
      <c r="DM42" s="113">
        <v>2844960</v>
      </c>
      <c r="DN42" s="113">
        <v>0</v>
      </c>
      <c r="DO42" s="113">
        <v>0</v>
      </c>
      <c r="DP42" s="113">
        <v>0</v>
      </c>
      <c r="DQ42" s="113">
        <v>0</v>
      </c>
      <c r="DR42" s="113">
        <v>3680103</v>
      </c>
      <c r="DS42" s="113">
        <v>3680103</v>
      </c>
      <c r="DT42" s="113">
        <v>0</v>
      </c>
      <c r="DU42" s="113">
        <v>0</v>
      </c>
      <c r="DV42" s="113">
        <v>0</v>
      </c>
      <c r="DW42" s="113">
        <v>0</v>
      </c>
      <c r="DX42" s="113">
        <v>0</v>
      </c>
      <c r="DY42" s="113">
        <v>0</v>
      </c>
      <c r="DZ42" s="113">
        <v>0</v>
      </c>
      <c r="EA42" s="113">
        <v>0</v>
      </c>
      <c r="EB42" s="113">
        <v>0</v>
      </c>
      <c r="EC42" s="113">
        <v>0</v>
      </c>
      <c r="ED42" s="113">
        <v>314637</v>
      </c>
      <c r="EE42" s="113">
        <v>314637</v>
      </c>
      <c r="EF42" s="113">
        <v>100155</v>
      </c>
      <c r="EG42" s="113">
        <v>2322843</v>
      </c>
      <c r="EH42" s="113">
        <v>0</v>
      </c>
      <c r="EI42" s="113">
        <v>6823</v>
      </c>
      <c r="EJ42" s="113">
        <v>1764191</v>
      </c>
      <c r="EK42" s="113">
        <v>4194012</v>
      </c>
      <c r="EL42" s="113">
        <v>23756955</v>
      </c>
      <c r="EM42" s="113">
        <v>42434684</v>
      </c>
      <c r="EN42" s="113">
        <v>959351</v>
      </c>
      <c r="EO42" s="113">
        <v>994922</v>
      </c>
      <c r="EP42" s="113">
        <v>19694589</v>
      </c>
      <c r="EQ42" s="113">
        <v>87840501</v>
      </c>
      <c r="ER42" s="113">
        <v>2688595</v>
      </c>
      <c r="ES42" s="113">
        <v>479888</v>
      </c>
      <c r="ET42" s="113">
        <v>455458</v>
      </c>
      <c r="EU42" s="113">
        <v>5286249</v>
      </c>
      <c r="EV42" s="113">
        <v>451882</v>
      </c>
      <c r="EW42" s="113">
        <v>9362072</v>
      </c>
      <c r="EX42" s="113">
        <v>1400000</v>
      </c>
      <c r="EY42" s="113">
        <v>820895</v>
      </c>
      <c r="EZ42" s="113">
        <v>42000</v>
      </c>
      <c r="FA42" s="113">
        <v>30929</v>
      </c>
      <c r="FB42" s="113">
        <v>0</v>
      </c>
      <c r="FC42" s="113">
        <v>2293824</v>
      </c>
      <c r="FD42" s="113">
        <v>5338005</v>
      </c>
      <c r="FE42" s="113">
        <v>4486020</v>
      </c>
      <c r="FF42" s="113">
        <v>1188097</v>
      </c>
      <c r="FG42" s="113">
        <v>5085016</v>
      </c>
      <c r="FH42" s="113">
        <v>0</v>
      </c>
      <c r="FI42" s="113">
        <v>16097138</v>
      </c>
      <c r="FJ42" s="113">
        <v>0</v>
      </c>
      <c r="FK42" s="113">
        <v>0</v>
      </c>
      <c r="FL42" s="113">
        <v>0</v>
      </c>
      <c r="FM42" s="113">
        <v>0</v>
      </c>
      <c r="FN42" s="113">
        <v>0</v>
      </c>
      <c r="FO42" s="113">
        <v>0</v>
      </c>
      <c r="FP42" s="113">
        <v>1504059</v>
      </c>
      <c r="FQ42" s="113">
        <v>656848</v>
      </c>
      <c r="FR42" s="113">
        <v>199486</v>
      </c>
      <c r="FS42" s="113">
        <v>400792</v>
      </c>
      <c r="FT42" s="113">
        <v>11625294</v>
      </c>
      <c r="FU42" s="113">
        <v>14386479</v>
      </c>
      <c r="FV42" s="113">
        <v>0</v>
      </c>
      <c r="FW42" s="113">
        <v>0</v>
      </c>
      <c r="FX42" s="113">
        <v>0</v>
      </c>
      <c r="FY42" s="113">
        <v>0</v>
      </c>
      <c r="FZ42" s="113">
        <v>0</v>
      </c>
      <c r="GA42" s="113">
        <v>0</v>
      </c>
      <c r="GB42" s="113">
        <v>353303</v>
      </c>
      <c r="GC42" s="113">
        <v>0</v>
      </c>
      <c r="GD42" s="113">
        <v>0</v>
      </c>
      <c r="GE42" s="113">
        <v>50726</v>
      </c>
      <c r="GF42" s="113">
        <v>0</v>
      </c>
      <c r="GG42" s="113">
        <v>404029</v>
      </c>
      <c r="GH42" s="113">
        <v>222296</v>
      </c>
      <c r="GI42" s="113">
        <v>515742</v>
      </c>
      <c r="GJ42" s="113">
        <v>89977</v>
      </c>
      <c r="GK42" s="113">
        <v>431830</v>
      </c>
      <c r="GL42" s="113">
        <v>5229</v>
      </c>
      <c r="GM42" s="113">
        <v>1265074</v>
      </c>
      <c r="GN42" s="113">
        <v>1295041</v>
      </c>
      <c r="GO42" s="113">
        <v>1668285</v>
      </c>
      <c r="GP42" s="113">
        <v>625007</v>
      </c>
      <c r="GQ42" s="113">
        <v>2313601</v>
      </c>
      <c r="GR42" s="113">
        <v>0</v>
      </c>
      <c r="GS42" s="113">
        <v>5901934</v>
      </c>
      <c r="GT42" s="113">
        <v>630395</v>
      </c>
      <c r="GU42" s="113">
        <v>170376</v>
      </c>
      <c r="GV42" s="113">
        <v>23927</v>
      </c>
      <c r="GW42" s="113">
        <v>530960</v>
      </c>
      <c r="GX42" s="113">
        <v>866648</v>
      </c>
      <c r="GY42" s="113">
        <v>2222306</v>
      </c>
      <c r="GZ42" s="113">
        <v>1914523</v>
      </c>
      <c r="HA42" s="113">
        <v>553743</v>
      </c>
      <c r="HB42" s="113">
        <v>118887</v>
      </c>
      <c r="HC42" s="113">
        <v>425926</v>
      </c>
      <c r="HD42" s="113">
        <v>28944</v>
      </c>
      <c r="HE42" s="113">
        <v>3042023</v>
      </c>
      <c r="HF42" s="113">
        <v>83079</v>
      </c>
      <c r="HG42" s="113">
        <v>9349</v>
      </c>
      <c r="HH42" s="113">
        <v>8130</v>
      </c>
      <c r="HI42" s="113">
        <v>58859</v>
      </c>
      <c r="HJ42" s="113">
        <v>391969</v>
      </c>
      <c r="HK42" s="113">
        <v>551386</v>
      </c>
      <c r="HL42" s="113">
        <v>0</v>
      </c>
      <c r="HM42" s="113">
        <v>0</v>
      </c>
      <c r="HN42" s="113">
        <v>0</v>
      </c>
      <c r="HO42" s="113">
        <v>0</v>
      </c>
      <c r="HP42" s="113">
        <v>0</v>
      </c>
      <c r="HQ42" s="113">
        <v>0</v>
      </c>
      <c r="HR42" s="113">
        <v>112065</v>
      </c>
      <c r="HS42" s="113">
        <v>3780831</v>
      </c>
      <c r="HT42" s="113">
        <v>100668</v>
      </c>
      <c r="HU42" s="113">
        <v>333766</v>
      </c>
      <c r="HV42" s="113">
        <v>4414211</v>
      </c>
      <c r="HW42" s="113">
        <v>8741541</v>
      </c>
      <c r="HX42" s="113">
        <v>0</v>
      </c>
      <c r="HY42" s="113">
        <v>0</v>
      </c>
      <c r="HZ42" s="113">
        <v>0</v>
      </c>
      <c r="IA42" s="113">
        <v>0</v>
      </c>
      <c r="IB42" s="113">
        <v>191693</v>
      </c>
      <c r="IC42" s="113">
        <v>191693</v>
      </c>
      <c r="ID42" s="113">
        <v>0</v>
      </c>
      <c r="IE42" s="113">
        <v>0</v>
      </c>
      <c r="IF42" s="113">
        <v>0</v>
      </c>
      <c r="IG42" s="113">
        <v>0</v>
      </c>
      <c r="IH42" s="113">
        <v>6788275</v>
      </c>
      <c r="II42" s="113">
        <v>6788275</v>
      </c>
      <c r="IJ42" s="113">
        <v>267832</v>
      </c>
      <c r="IK42" s="113">
        <v>65296</v>
      </c>
      <c r="IL42" s="113">
        <v>36496</v>
      </c>
      <c r="IM42" s="113">
        <v>438385</v>
      </c>
      <c r="IN42" s="113">
        <v>0</v>
      </c>
      <c r="IO42" s="113">
        <v>808009</v>
      </c>
      <c r="IP42" s="113">
        <v>8220</v>
      </c>
      <c r="IQ42" s="113">
        <v>0</v>
      </c>
      <c r="IR42" s="113">
        <v>5793</v>
      </c>
      <c r="IS42" s="113">
        <v>42464</v>
      </c>
      <c r="IT42" s="113">
        <v>59112</v>
      </c>
      <c r="IU42" s="113">
        <v>115589</v>
      </c>
      <c r="IV42" s="113">
        <v>2952125</v>
      </c>
      <c r="IW42" s="113">
        <v>2282680</v>
      </c>
      <c r="IX42" s="113">
        <v>385523</v>
      </c>
      <c r="IY42" s="113">
        <v>1303703</v>
      </c>
      <c r="IZ42" s="113">
        <v>5038390</v>
      </c>
      <c r="JA42" s="113">
        <v>11962421</v>
      </c>
      <c r="JB42" s="113">
        <v>18769538</v>
      </c>
      <c r="JC42" s="113">
        <v>15489953</v>
      </c>
      <c r="JD42" s="113">
        <v>3279449</v>
      </c>
      <c r="JE42" s="113">
        <v>16733206</v>
      </c>
      <c r="JF42" s="113">
        <v>29861647</v>
      </c>
      <c r="JG42" s="113">
        <v>84133793</v>
      </c>
      <c r="JH42" s="113">
        <v>0</v>
      </c>
      <c r="JI42" s="113">
        <v>0</v>
      </c>
      <c r="JJ42" s="113">
        <v>0</v>
      </c>
      <c r="JK42" s="113">
        <v>0</v>
      </c>
      <c r="JL42" s="113">
        <v>350000</v>
      </c>
      <c r="JM42" s="113">
        <v>350000</v>
      </c>
      <c r="JN42" s="113">
        <v>18769538</v>
      </c>
      <c r="JO42" s="113">
        <v>15489953</v>
      </c>
      <c r="JP42" s="113">
        <v>3279449</v>
      </c>
      <c r="JQ42" s="113">
        <v>16733206</v>
      </c>
      <c r="JR42" s="113">
        <v>30211647</v>
      </c>
      <c r="JS42" s="113">
        <v>84483793</v>
      </c>
      <c r="JU42" s="5">
        <f t="shared" si="78"/>
        <v>23432735</v>
      </c>
      <c r="JV42" s="29">
        <f t="shared" si="79"/>
        <v>0</v>
      </c>
      <c r="JW42" s="5">
        <f t="shared" si="80"/>
        <v>1853010</v>
      </c>
      <c r="JX42" s="29">
        <f t="shared" si="81"/>
        <v>0</v>
      </c>
      <c r="JY42" s="5">
        <f t="shared" si="82"/>
        <v>1280000</v>
      </c>
      <c r="JZ42" s="29">
        <f t="shared" si="83"/>
        <v>0</v>
      </c>
      <c r="KA42" s="5">
        <f t="shared" si="84"/>
        <v>28312576</v>
      </c>
      <c r="KB42" s="29">
        <f t="shared" si="85"/>
        <v>0</v>
      </c>
      <c r="KC42" s="5">
        <f t="shared" si="86"/>
        <v>0</v>
      </c>
      <c r="KD42" s="29">
        <f t="shared" si="87"/>
        <v>0</v>
      </c>
      <c r="KE42" s="5">
        <f t="shared" si="88"/>
        <v>0</v>
      </c>
      <c r="KF42" s="29">
        <f t="shared" si="89"/>
        <v>0</v>
      </c>
      <c r="KG42" s="5">
        <f t="shared" si="90"/>
        <v>2152900</v>
      </c>
      <c r="KH42" s="29">
        <f t="shared" si="91"/>
        <v>0</v>
      </c>
      <c r="KI42" s="5">
        <f t="shared" si="92"/>
        <v>6788275</v>
      </c>
      <c r="KJ42" s="29">
        <f t="shared" si="93"/>
        <v>0</v>
      </c>
      <c r="KK42" s="5">
        <f t="shared" si="94"/>
        <v>12987293</v>
      </c>
      <c r="KL42" s="29">
        <f t="shared" si="95"/>
        <v>0</v>
      </c>
      <c r="KM42" s="5">
        <f t="shared" si="96"/>
        <v>0</v>
      </c>
      <c r="KN42" s="29">
        <f t="shared" si="97"/>
        <v>0</v>
      </c>
      <c r="KO42" s="5">
        <f t="shared" si="98"/>
        <v>2844960</v>
      </c>
      <c r="KP42" s="29">
        <f t="shared" si="99"/>
        <v>0</v>
      </c>
      <c r="KQ42" s="5">
        <f t="shared" si="100"/>
        <v>3680103</v>
      </c>
      <c r="KR42" s="29">
        <f t="shared" si="101"/>
        <v>0</v>
      </c>
      <c r="KS42" s="5">
        <f t="shared" si="102"/>
        <v>0</v>
      </c>
      <c r="KT42" s="29">
        <f t="shared" si="103"/>
        <v>0</v>
      </c>
      <c r="KU42" s="5">
        <f t="shared" si="104"/>
        <v>314637</v>
      </c>
      <c r="KV42" s="29">
        <f t="shared" si="105"/>
        <v>0</v>
      </c>
      <c r="KW42" s="5">
        <f t="shared" si="106"/>
        <v>4194012</v>
      </c>
      <c r="KX42" s="29">
        <f t="shared" si="107"/>
        <v>0</v>
      </c>
      <c r="KY42" s="5">
        <f t="shared" si="108"/>
        <v>87840501</v>
      </c>
      <c r="KZ42" s="29">
        <f t="shared" si="109"/>
        <v>0</v>
      </c>
      <c r="LA42" s="5">
        <f t="shared" si="110"/>
        <v>9362072</v>
      </c>
      <c r="LB42" s="29">
        <f t="shared" si="111"/>
        <v>0</v>
      </c>
      <c r="LC42" s="5">
        <f t="shared" si="112"/>
        <v>2293824</v>
      </c>
      <c r="LD42" s="29">
        <f t="shared" si="113"/>
        <v>0</v>
      </c>
      <c r="LE42" s="5">
        <f t="shared" si="114"/>
        <v>16097138</v>
      </c>
      <c r="LF42" s="29">
        <f t="shared" si="115"/>
        <v>0</v>
      </c>
      <c r="LG42" s="5">
        <f t="shared" si="116"/>
        <v>0</v>
      </c>
      <c r="LH42" s="29">
        <f t="shared" si="117"/>
        <v>0</v>
      </c>
      <c r="LI42" s="5">
        <f t="shared" si="118"/>
        <v>14386479</v>
      </c>
      <c r="LJ42" s="29">
        <f t="shared" si="119"/>
        <v>0</v>
      </c>
      <c r="LK42" s="5">
        <f t="shared" si="120"/>
        <v>0</v>
      </c>
      <c r="LL42" s="29">
        <f t="shared" si="121"/>
        <v>0</v>
      </c>
      <c r="LM42" s="5">
        <f t="shared" si="122"/>
        <v>404029</v>
      </c>
      <c r="LN42" s="29">
        <f t="shared" si="123"/>
        <v>0</v>
      </c>
      <c r="LO42" s="5">
        <f t="shared" si="124"/>
        <v>1265074</v>
      </c>
      <c r="LP42" s="29">
        <f t="shared" si="125"/>
        <v>0</v>
      </c>
      <c r="LQ42" s="5">
        <f t="shared" si="126"/>
        <v>5901934</v>
      </c>
      <c r="LR42" s="29">
        <f t="shared" si="127"/>
        <v>0</v>
      </c>
      <c r="LS42" s="5">
        <f t="shared" si="128"/>
        <v>2222306</v>
      </c>
      <c r="LT42" s="29">
        <f t="shared" si="129"/>
        <v>0</v>
      </c>
      <c r="LU42" s="5">
        <f t="shared" si="130"/>
        <v>3042023</v>
      </c>
      <c r="LV42" s="29">
        <f t="shared" si="131"/>
        <v>0</v>
      </c>
      <c r="LW42" s="5">
        <f t="shared" si="132"/>
        <v>551386</v>
      </c>
      <c r="LX42" s="29">
        <f t="shared" si="133"/>
        <v>0</v>
      </c>
      <c r="LY42" s="5">
        <f t="shared" si="134"/>
        <v>0</v>
      </c>
      <c r="LZ42" s="29">
        <f t="shared" si="135"/>
        <v>0</v>
      </c>
      <c r="MA42" s="5">
        <f t="shared" si="136"/>
        <v>8741541</v>
      </c>
      <c r="MB42" s="29">
        <f t="shared" si="137"/>
        <v>0</v>
      </c>
      <c r="MC42" s="5">
        <f t="shared" si="138"/>
        <v>191693</v>
      </c>
      <c r="MD42" s="29">
        <f t="shared" si="139"/>
        <v>0</v>
      </c>
      <c r="ME42" s="5">
        <f t="shared" si="140"/>
        <v>6788275</v>
      </c>
      <c r="MF42" s="29">
        <f t="shared" si="141"/>
        <v>0</v>
      </c>
      <c r="MG42" s="5">
        <f t="shared" si="142"/>
        <v>808009</v>
      </c>
      <c r="MH42" s="29">
        <f t="shared" si="143"/>
        <v>0</v>
      </c>
      <c r="MI42" s="5">
        <f t="shared" si="144"/>
        <v>115589</v>
      </c>
      <c r="MJ42" s="29">
        <f t="shared" si="145"/>
        <v>0</v>
      </c>
      <c r="MK42" s="5">
        <f t="shared" si="146"/>
        <v>11962421</v>
      </c>
      <c r="ML42" s="29">
        <f t="shared" si="147"/>
        <v>0</v>
      </c>
      <c r="MM42" s="5">
        <f t="shared" si="148"/>
        <v>84133793</v>
      </c>
      <c r="MN42" s="29">
        <f t="shared" si="149"/>
        <v>0</v>
      </c>
      <c r="MO42" s="5">
        <f t="shared" si="150"/>
        <v>350000</v>
      </c>
      <c r="MP42" s="29">
        <f t="shared" si="151"/>
        <v>0</v>
      </c>
      <c r="MQ42" s="5">
        <f t="shared" si="152"/>
        <v>84483793</v>
      </c>
      <c r="MR42" s="29">
        <f t="shared" si="153"/>
        <v>0</v>
      </c>
      <c r="MT42" s="5">
        <f t="shared" si="76"/>
        <v>0</v>
      </c>
      <c r="MV42" s="4">
        <f t="shared" si="77"/>
        <v>0</v>
      </c>
    </row>
    <row r="43" spans="1:360" x14ac:dyDescent="0.15">
      <c r="A43" s="156" t="s">
        <v>436</v>
      </c>
      <c r="B43" s="28" t="s">
        <v>405</v>
      </c>
      <c r="C43" s="48">
        <v>159391</v>
      </c>
      <c r="D43" s="48">
        <v>2012</v>
      </c>
      <c r="E43" s="49">
        <v>1</v>
      </c>
      <c r="F43" s="49">
        <v>5</v>
      </c>
      <c r="G43" s="50">
        <v>10819</v>
      </c>
      <c r="H43" s="50">
        <v>11303</v>
      </c>
      <c r="I43" s="51">
        <v>773703517</v>
      </c>
      <c r="J43" s="51"/>
      <c r="K43" s="51">
        <v>13550956</v>
      </c>
      <c r="L43" s="51"/>
      <c r="M43" s="51">
        <v>27729120</v>
      </c>
      <c r="N43" s="51"/>
      <c r="O43" s="51">
        <v>196772100</v>
      </c>
      <c r="P43" s="51"/>
      <c r="Q43" s="51">
        <v>375220000</v>
      </c>
      <c r="R43" s="51"/>
      <c r="S43" s="51">
        <v>640531274</v>
      </c>
      <c r="T43" s="51"/>
      <c r="U43" s="51">
        <v>20798</v>
      </c>
      <c r="V43" s="51"/>
      <c r="W43" s="51">
        <v>33802</v>
      </c>
      <c r="X43" s="51"/>
      <c r="Y43" s="51">
        <v>23110</v>
      </c>
      <c r="Z43" s="51"/>
      <c r="AA43" s="51">
        <v>36113</v>
      </c>
      <c r="AB43" s="51"/>
      <c r="AC43" s="74">
        <v>9</v>
      </c>
      <c r="AD43" s="74">
        <v>11</v>
      </c>
      <c r="AE43" s="74">
        <v>0</v>
      </c>
      <c r="AF43" s="29">
        <v>5503521</v>
      </c>
      <c r="AG43" s="29">
        <v>4235329</v>
      </c>
      <c r="AH43" s="29">
        <v>663585</v>
      </c>
      <c r="AI43" s="29">
        <v>385558</v>
      </c>
      <c r="AJ43" s="29">
        <v>1146709.69</v>
      </c>
      <c r="AK43" s="73">
        <v>6.5</v>
      </c>
      <c r="AL43" s="29">
        <v>931701.63</v>
      </c>
      <c r="AM43" s="73">
        <v>8</v>
      </c>
      <c r="AN43" s="29">
        <v>326921.65000000002</v>
      </c>
      <c r="AO43" s="73">
        <v>8.5</v>
      </c>
      <c r="AP43" s="29">
        <v>277883.40000000002</v>
      </c>
      <c r="AQ43" s="73">
        <v>10</v>
      </c>
      <c r="AR43" s="29">
        <v>359517.95</v>
      </c>
      <c r="AS43" s="73">
        <v>20</v>
      </c>
      <c r="AT43" s="29">
        <v>299598.28999999998</v>
      </c>
      <c r="AU43" s="73">
        <v>24</v>
      </c>
      <c r="AV43" s="29">
        <v>105512.35</v>
      </c>
      <c r="AW43" s="73">
        <v>17</v>
      </c>
      <c r="AX43" s="29">
        <v>85414.76</v>
      </c>
      <c r="AY43" s="73">
        <v>21</v>
      </c>
      <c r="AZ43" s="105">
        <v>25506556</v>
      </c>
      <c r="BA43" s="105">
        <v>1337848</v>
      </c>
      <c r="BB43" s="105">
        <v>326288</v>
      </c>
      <c r="BC43" s="105">
        <v>2811772</v>
      </c>
      <c r="BD43" s="105">
        <v>1520271</v>
      </c>
      <c r="BE43" s="105">
        <v>31502735</v>
      </c>
      <c r="BF43" s="97">
        <v>0</v>
      </c>
      <c r="BG43" s="97">
        <v>0</v>
      </c>
      <c r="BH43" s="97">
        <v>0</v>
      </c>
      <c r="BI43" s="97">
        <v>0</v>
      </c>
      <c r="BJ43" s="97">
        <v>0</v>
      </c>
      <c r="BK43" s="97">
        <v>0</v>
      </c>
      <c r="BL43" s="105">
        <v>2350000</v>
      </c>
      <c r="BM43" s="105">
        <v>60000</v>
      </c>
      <c r="BN43" s="105">
        <v>0</v>
      </c>
      <c r="BO43" s="105">
        <v>0</v>
      </c>
      <c r="BP43" s="105">
        <v>0</v>
      </c>
      <c r="BQ43" s="105">
        <v>2410000</v>
      </c>
      <c r="BR43" s="105">
        <v>22376287</v>
      </c>
      <c r="BS43" s="105">
        <v>2815161</v>
      </c>
      <c r="BT43" s="105">
        <v>168856</v>
      </c>
      <c r="BU43" s="105">
        <v>6817847</v>
      </c>
      <c r="BV43" s="105">
        <v>3786588</v>
      </c>
      <c r="BW43" s="105">
        <v>35964739</v>
      </c>
      <c r="BX43" s="105">
        <v>622700</v>
      </c>
      <c r="BY43" s="105">
        <v>3438</v>
      </c>
      <c r="BZ43" s="105">
        <v>0</v>
      </c>
      <c r="CA43" s="105">
        <v>50500</v>
      </c>
      <c r="CB43" s="105">
        <v>146608</v>
      </c>
      <c r="CC43" s="105">
        <v>823246</v>
      </c>
      <c r="CD43" s="97">
        <v>0</v>
      </c>
      <c r="CE43" s="97">
        <v>0</v>
      </c>
      <c r="CF43" s="97">
        <v>0</v>
      </c>
      <c r="CG43" s="97">
        <v>0</v>
      </c>
      <c r="CH43" s="97">
        <v>0</v>
      </c>
      <c r="CI43" s="97">
        <v>0</v>
      </c>
      <c r="CJ43" s="97">
        <v>0</v>
      </c>
      <c r="CK43" s="97">
        <v>0</v>
      </c>
      <c r="CL43" s="97">
        <v>0</v>
      </c>
      <c r="CM43" s="97">
        <v>0</v>
      </c>
      <c r="CN43" s="97">
        <v>0</v>
      </c>
      <c r="CO43" s="97">
        <v>0</v>
      </c>
      <c r="CP43" s="97">
        <v>0</v>
      </c>
      <c r="CQ43" s="97">
        <v>0</v>
      </c>
      <c r="CR43" s="97">
        <v>0</v>
      </c>
      <c r="CS43" s="97">
        <v>0</v>
      </c>
      <c r="CT43" s="97">
        <v>0</v>
      </c>
      <c r="CU43" s="97">
        <v>0</v>
      </c>
      <c r="CV43" s="105">
        <v>16045946</v>
      </c>
      <c r="CW43" s="105">
        <v>5122765</v>
      </c>
      <c r="CX43" s="105">
        <v>58160</v>
      </c>
      <c r="CY43" s="105">
        <v>196924</v>
      </c>
      <c r="CZ43" s="105">
        <v>1262306</v>
      </c>
      <c r="DA43" s="105">
        <v>22686101</v>
      </c>
      <c r="DB43" s="105">
        <v>0</v>
      </c>
      <c r="DC43" s="105">
        <v>0</v>
      </c>
      <c r="DD43" s="105">
        <v>0</v>
      </c>
      <c r="DE43" s="105">
        <v>0</v>
      </c>
      <c r="DF43" s="105">
        <v>6920981</v>
      </c>
      <c r="DG43" s="105">
        <v>6920981</v>
      </c>
      <c r="DH43" s="105">
        <v>2525520</v>
      </c>
      <c r="DI43" s="105">
        <v>85744</v>
      </c>
      <c r="DJ43" s="105">
        <v>17700</v>
      </c>
      <c r="DK43" s="105">
        <v>309668</v>
      </c>
      <c r="DL43" s="105">
        <v>5953508</v>
      </c>
      <c r="DM43" s="105">
        <v>8892140</v>
      </c>
      <c r="DN43" s="105">
        <v>0</v>
      </c>
      <c r="DO43" s="105">
        <v>0</v>
      </c>
      <c r="DP43" s="105">
        <v>0</v>
      </c>
      <c r="DQ43" s="105">
        <v>0</v>
      </c>
      <c r="DR43" s="105">
        <v>2835341</v>
      </c>
      <c r="DS43" s="105">
        <v>2835341</v>
      </c>
      <c r="DT43" s="97">
        <v>0</v>
      </c>
      <c r="DU43" s="97">
        <v>0</v>
      </c>
      <c r="DV43" s="97">
        <v>0</v>
      </c>
      <c r="DW43" s="97">
        <v>0</v>
      </c>
      <c r="DX43" s="97">
        <v>0</v>
      </c>
      <c r="DY43" s="97">
        <v>0</v>
      </c>
      <c r="DZ43" s="105">
        <v>0</v>
      </c>
      <c r="EA43" s="105">
        <v>0</v>
      </c>
      <c r="EB43" s="105">
        <v>0</v>
      </c>
      <c r="EC43" s="105">
        <v>0</v>
      </c>
      <c r="ED43" s="105">
        <v>1129417</v>
      </c>
      <c r="EE43" s="105">
        <v>1129417</v>
      </c>
      <c r="EF43" s="105">
        <v>0</v>
      </c>
      <c r="EG43" s="105">
        <v>0</v>
      </c>
      <c r="EH43" s="105">
        <v>0</v>
      </c>
      <c r="EI43" s="105">
        <v>0</v>
      </c>
      <c r="EJ43" s="105">
        <v>1623086</v>
      </c>
      <c r="EK43" s="105">
        <v>1623086</v>
      </c>
      <c r="EL43" s="105">
        <v>69427009</v>
      </c>
      <c r="EM43" s="105">
        <v>9424956</v>
      </c>
      <c r="EN43" s="105">
        <v>571004</v>
      </c>
      <c r="EO43" s="105">
        <v>10186711</v>
      </c>
      <c r="EP43" s="105">
        <v>25178106</v>
      </c>
      <c r="EQ43" s="105">
        <v>114787786</v>
      </c>
      <c r="ER43" s="105">
        <v>3205218</v>
      </c>
      <c r="ES43" s="105">
        <v>442176</v>
      </c>
      <c r="ET43" s="105">
        <v>586067</v>
      </c>
      <c r="EU43" s="105">
        <v>5505389</v>
      </c>
      <c r="EV43" s="105">
        <v>1172216</v>
      </c>
      <c r="EW43" s="105">
        <v>10911066</v>
      </c>
      <c r="EX43" s="105">
        <v>1305000</v>
      </c>
      <c r="EY43" s="105">
        <v>133828</v>
      </c>
      <c r="EZ43" s="105">
        <v>59856</v>
      </c>
      <c r="FA43" s="105">
        <v>121643</v>
      </c>
      <c r="FB43" s="105">
        <v>0</v>
      </c>
      <c r="FC43" s="105">
        <v>1620327</v>
      </c>
      <c r="FD43" s="105">
        <v>9775009</v>
      </c>
      <c r="FE43" s="105">
        <v>2150476</v>
      </c>
      <c r="FF43" s="105">
        <v>1848188</v>
      </c>
      <c r="FG43" s="105">
        <v>5442843</v>
      </c>
      <c r="FH43" s="105">
        <v>0</v>
      </c>
      <c r="FI43" s="105">
        <v>19216516</v>
      </c>
      <c r="FJ43" s="105">
        <v>605750</v>
      </c>
      <c r="FK43" s="105">
        <v>3438</v>
      </c>
      <c r="FL43" s="105">
        <v>0</v>
      </c>
      <c r="FM43" s="105">
        <v>50500</v>
      </c>
      <c r="FN43" s="105">
        <v>0</v>
      </c>
      <c r="FO43" s="105">
        <v>659688</v>
      </c>
      <c r="FP43" s="105">
        <v>1721334</v>
      </c>
      <c r="FQ43" s="105">
        <v>142668</v>
      </c>
      <c r="FR43" s="105">
        <v>242629</v>
      </c>
      <c r="FS43" s="105">
        <v>428366</v>
      </c>
      <c r="FT43" s="105">
        <v>12318427</v>
      </c>
      <c r="FU43" s="105">
        <v>14853424</v>
      </c>
      <c r="FV43" s="105">
        <v>16950</v>
      </c>
      <c r="FW43" s="105">
        <v>0</v>
      </c>
      <c r="FX43" s="105">
        <v>0</v>
      </c>
      <c r="FY43" s="105">
        <v>0</v>
      </c>
      <c r="FZ43" s="105">
        <v>146608</v>
      </c>
      <c r="GA43" s="105">
        <v>163558</v>
      </c>
      <c r="GB43" s="105">
        <v>53782</v>
      </c>
      <c r="GC43" s="105">
        <v>104399</v>
      </c>
      <c r="GD43" s="105">
        <v>4442</v>
      </c>
      <c r="GE43" s="105">
        <v>59429</v>
      </c>
      <c r="GF43" s="105">
        <v>144243</v>
      </c>
      <c r="GG43" s="105">
        <v>366295</v>
      </c>
      <c r="GH43" s="105">
        <v>382717</v>
      </c>
      <c r="GI43" s="105">
        <v>90782</v>
      </c>
      <c r="GJ43" s="105">
        <v>102629</v>
      </c>
      <c r="GK43" s="105">
        <v>473015</v>
      </c>
      <c r="GL43" s="105">
        <v>8439</v>
      </c>
      <c r="GM43" s="105">
        <v>1057582</v>
      </c>
      <c r="GN43" s="105">
        <v>1217195</v>
      </c>
      <c r="GO43" s="105">
        <v>596002</v>
      </c>
      <c r="GP43" s="105">
        <v>564369</v>
      </c>
      <c r="GQ43" s="105">
        <v>2520163</v>
      </c>
      <c r="GR43" s="105">
        <v>43381</v>
      </c>
      <c r="GS43" s="105">
        <v>4941110</v>
      </c>
      <c r="GT43" s="105">
        <v>866988</v>
      </c>
      <c r="GU43" s="105">
        <v>74589</v>
      </c>
      <c r="GV43" s="105">
        <v>76427</v>
      </c>
      <c r="GW43" s="105">
        <v>1111254</v>
      </c>
      <c r="GX43" s="105">
        <v>299334</v>
      </c>
      <c r="GY43" s="105">
        <v>2428592</v>
      </c>
      <c r="GZ43" s="105">
        <v>961123</v>
      </c>
      <c r="HA43" s="105">
        <v>182607</v>
      </c>
      <c r="HB43" s="105">
        <v>141756</v>
      </c>
      <c r="HC43" s="105">
        <v>538049</v>
      </c>
      <c r="HD43" s="105">
        <v>4945707</v>
      </c>
      <c r="HE43" s="105">
        <v>6769242</v>
      </c>
      <c r="HF43" s="105">
        <v>191181</v>
      </c>
      <c r="HG43" s="105">
        <v>22095</v>
      </c>
      <c r="HH43" s="105">
        <v>18250</v>
      </c>
      <c r="HI43" s="105">
        <v>136274</v>
      </c>
      <c r="HJ43" s="105">
        <v>607232</v>
      </c>
      <c r="HK43" s="105">
        <v>975032</v>
      </c>
      <c r="HL43" s="97">
        <v>0</v>
      </c>
      <c r="HM43" s="97">
        <v>0</v>
      </c>
      <c r="HN43" s="97">
        <v>0</v>
      </c>
      <c r="HO43" s="97">
        <v>0</v>
      </c>
      <c r="HP43" s="97">
        <v>0</v>
      </c>
      <c r="HQ43" s="97">
        <v>0</v>
      </c>
      <c r="HR43" s="105">
        <v>26465</v>
      </c>
      <c r="HS43" s="105">
        <v>3727</v>
      </c>
      <c r="HT43" s="105">
        <v>140</v>
      </c>
      <c r="HU43" s="105">
        <v>15058</v>
      </c>
      <c r="HV43" s="105">
        <v>17349635</v>
      </c>
      <c r="HW43" s="105">
        <v>17395025</v>
      </c>
      <c r="HX43" s="105">
        <v>0</v>
      </c>
      <c r="HY43" s="105">
        <v>0</v>
      </c>
      <c r="HZ43" s="105">
        <v>0</v>
      </c>
      <c r="IA43" s="105">
        <v>0</v>
      </c>
      <c r="IB43" s="105">
        <v>732090</v>
      </c>
      <c r="IC43" s="105">
        <v>732090</v>
      </c>
      <c r="ID43" s="97">
        <v>0</v>
      </c>
      <c r="IE43" s="97">
        <v>0</v>
      </c>
      <c r="IF43" s="97">
        <v>0</v>
      </c>
      <c r="IG43" s="97">
        <v>0</v>
      </c>
      <c r="IH43" s="97">
        <v>0</v>
      </c>
      <c r="II43" s="97">
        <v>0</v>
      </c>
      <c r="IJ43" s="105">
        <v>162506</v>
      </c>
      <c r="IK43" s="105">
        <v>19500</v>
      </c>
      <c r="IL43" s="105">
        <v>15419</v>
      </c>
      <c r="IM43" s="105">
        <v>187060</v>
      </c>
      <c r="IN43" s="105">
        <v>254771</v>
      </c>
      <c r="IO43" s="105">
        <v>639256</v>
      </c>
      <c r="IP43" s="105">
        <v>24110</v>
      </c>
      <c r="IQ43" s="105">
        <v>355</v>
      </c>
      <c r="IR43" s="105">
        <v>7147</v>
      </c>
      <c r="IS43" s="105">
        <v>43520</v>
      </c>
      <c r="IT43" s="105">
        <v>21773</v>
      </c>
      <c r="IU43" s="105">
        <v>96905</v>
      </c>
      <c r="IV43" s="105">
        <v>4156654</v>
      </c>
      <c r="IW43" s="105">
        <v>1087607</v>
      </c>
      <c r="IX43" s="105">
        <v>76428</v>
      </c>
      <c r="IY43" s="105">
        <v>5247063</v>
      </c>
      <c r="IZ43" s="105">
        <v>8595656</v>
      </c>
      <c r="JA43" s="105">
        <v>19163408</v>
      </c>
      <c r="JB43" s="105">
        <v>24671982</v>
      </c>
      <c r="JC43" s="105">
        <v>5054249</v>
      </c>
      <c r="JD43" s="105">
        <v>3743747</v>
      </c>
      <c r="JE43" s="105">
        <v>21879626</v>
      </c>
      <c r="JF43" s="105">
        <v>46639512</v>
      </c>
      <c r="JG43" s="105">
        <v>101989116</v>
      </c>
      <c r="JH43" s="105">
        <v>0</v>
      </c>
      <c r="JI43" s="105">
        <v>0</v>
      </c>
      <c r="JJ43" s="105">
        <v>0</v>
      </c>
      <c r="JK43" s="105">
        <v>0</v>
      </c>
      <c r="JL43" s="105">
        <v>4684602</v>
      </c>
      <c r="JM43" s="105">
        <v>4684602</v>
      </c>
      <c r="JN43" s="105">
        <v>24671982</v>
      </c>
      <c r="JO43" s="105">
        <v>5054249</v>
      </c>
      <c r="JP43" s="105">
        <v>3743747</v>
      </c>
      <c r="JQ43" s="105">
        <v>21879626</v>
      </c>
      <c r="JR43" s="105">
        <v>51324114</v>
      </c>
      <c r="JS43" s="105">
        <v>106673718</v>
      </c>
      <c r="JU43" s="5">
        <f t="shared" si="78"/>
        <v>31502735</v>
      </c>
      <c r="JV43" s="29">
        <f t="shared" si="79"/>
        <v>0</v>
      </c>
      <c r="JW43" s="5">
        <f t="shared" si="80"/>
        <v>0</v>
      </c>
      <c r="JX43" s="29">
        <f t="shared" si="81"/>
        <v>0</v>
      </c>
      <c r="JY43" s="5">
        <f t="shared" si="82"/>
        <v>2410000</v>
      </c>
      <c r="JZ43" s="29">
        <f t="shared" si="83"/>
        <v>0</v>
      </c>
      <c r="KA43" s="5">
        <f t="shared" si="84"/>
        <v>35964739</v>
      </c>
      <c r="KB43" s="29">
        <f t="shared" si="85"/>
        <v>0</v>
      </c>
      <c r="KC43" s="5">
        <f t="shared" si="86"/>
        <v>823246</v>
      </c>
      <c r="KD43" s="29">
        <f t="shared" si="87"/>
        <v>0</v>
      </c>
      <c r="KE43" s="5">
        <f t="shared" si="88"/>
        <v>0</v>
      </c>
      <c r="KF43" s="29">
        <f t="shared" si="89"/>
        <v>0</v>
      </c>
      <c r="KG43" s="5">
        <f t="shared" si="90"/>
        <v>0</v>
      </c>
      <c r="KH43" s="29">
        <f t="shared" si="91"/>
        <v>0</v>
      </c>
      <c r="KI43" s="5">
        <f t="shared" si="92"/>
        <v>0</v>
      </c>
      <c r="KJ43" s="29">
        <f t="shared" si="93"/>
        <v>0</v>
      </c>
      <c r="KK43" s="5">
        <f t="shared" si="94"/>
        <v>22686101</v>
      </c>
      <c r="KL43" s="29">
        <f t="shared" si="95"/>
        <v>0</v>
      </c>
      <c r="KM43" s="5">
        <f t="shared" si="96"/>
        <v>6920981</v>
      </c>
      <c r="KN43" s="29">
        <f t="shared" si="97"/>
        <v>0</v>
      </c>
      <c r="KO43" s="5">
        <f t="shared" si="98"/>
        <v>8892140</v>
      </c>
      <c r="KP43" s="29">
        <f t="shared" si="99"/>
        <v>0</v>
      </c>
      <c r="KQ43" s="5">
        <f t="shared" si="100"/>
        <v>2835341</v>
      </c>
      <c r="KR43" s="29">
        <f t="shared" si="101"/>
        <v>0</v>
      </c>
      <c r="KS43" s="5">
        <f t="shared" si="102"/>
        <v>0</v>
      </c>
      <c r="KT43" s="29">
        <f t="shared" si="103"/>
        <v>0</v>
      </c>
      <c r="KU43" s="5">
        <f t="shared" si="104"/>
        <v>1129417</v>
      </c>
      <c r="KV43" s="29">
        <f t="shared" si="105"/>
        <v>0</v>
      </c>
      <c r="KW43" s="5">
        <f t="shared" si="106"/>
        <v>1623086</v>
      </c>
      <c r="KX43" s="29">
        <f t="shared" si="107"/>
        <v>0</v>
      </c>
      <c r="KY43" s="5">
        <f t="shared" si="108"/>
        <v>114787786</v>
      </c>
      <c r="KZ43" s="29">
        <f t="shared" si="109"/>
        <v>0</v>
      </c>
      <c r="LA43" s="5">
        <f t="shared" si="110"/>
        <v>10911066</v>
      </c>
      <c r="LB43" s="29">
        <f t="shared" si="111"/>
        <v>0</v>
      </c>
      <c r="LC43" s="5">
        <f t="shared" si="112"/>
        <v>1620327</v>
      </c>
      <c r="LD43" s="29">
        <f t="shared" si="113"/>
        <v>0</v>
      </c>
      <c r="LE43" s="5">
        <f t="shared" si="114"/>
        <v>19216516</v>
      </c>
      <c r="LF43" s="29">
        <f t="shared" si="115"/>
        <v>0</v>
      </c>
      <c r="LG43" s="5">
        <f t="shared" si="116"/>
        <v>659688</v>
      </c>
      <c r="LH43" s="29">
        <f t="shared" si="117"/>
        <v>0</v>
      </c>
      <c r="LI43" s="5">
        <f t="shared" si="118"/>
        <v>14853424</v>
      </c>
      <c r="LJ43" s="29">
        <f t="shared" si="119"/>
        <v>0</v>
      </c>
      <c r="LK43" s="5">
        <f t="shared" si="120"/>
        <v>163558</v>
      </c>
      <c r="LL43" s="29">
        <f t="shared" si="121"/>
        <v>0</v>
      </c>
      <c r="LM43" s="5">
        <f t="shared" si="122"/>
        <v>366295</v>
      </c>
      <c r="LN43" s="29">
        <f t="shared" si="123"/>
        <v>0</v>
      </c>
      <c r="LO43" s="5">
        <f t="shared" si="124"/>
        <v>1057582</v>
      </c>
      <c r="LP43" s="29">
        <f t="shared" si="125"/>
        <v>0</v>
      </c>
      <c r="LQ43" s="5">
        <f t="shared" si="126"/>
        <v>4941110</v>
      </c>
      <c r="LR43" s="29">
        <f t="shared" si="127"/>
        <v>0</v>
      </c>
      <c r="LS43" s="5">
        <f t="shared" si="128"/>
        <v>2428592</v>
      </c>
      <c r="LT43" s="29">
        <f t="shared" si="129"/>
        <v>0</v>
      </c>
      <c r="LU43" s="5">
        <f t="shared" si="130"/>
        <v>6769242</v>
      </c>
      <c r="LV43" s="29">
        <f t="shared" si="131"/>
        <v>0</v>
      </c>
      <c r="LW43" s="5">
        <f t="shared" si="132"/>
        <v>975032</v>
      </c>
      <c r="LX43" s="29">
        <f t="shared" si="133"/>
        <v>0</v>
      </c>
      <c r="LY43" s="5">
        <f t="shared" si="134"/>
        <v>0</v>
      </c>
      <c r="LZ43" s="29">
        <f t="shared" si="135"/>
        <v>0</v>
      </c>
      <c r="MA43" s="5">
        <f t="shared" si="136"/>
        <v>17395025</v>
      </c>
      <c r="MB43" s="29">
        <f t="shared" si="137"/>
        <v>0</v>
      </c>
      <c r="MC43" s="5">
        <f t="shared" si="138"/>
        <v>732090</v>
      </c>
      <c r="MD43" s="29">
        <f t="shared" si="139"/>
        <v>0</v>
      </c>
      <c r="ME43" s="5">
        <f t="shared" si="140"/>
        <v>0</v>
      </c>
      <c r="MF43" s="29">
        <f t="shared" si="141"/>
        <v>0</v>
      </c>
      <c r="MG43" s="5">
        <f t="shared" si="142"/>
        <v>639256</v>
      </c>
      <c r="MH43" s="29">
        <f t="shared" si="143"/>
        <v>0</v>
      </c>
      <c r="MI43" s="5">
        <f t="shared" si="144"/>
        <v>96905</v>
      </c>
      <c r="MJ43" s="29">
        <f t="shared" si="145"/>
        <v>0</v>
      </c>
      <c r="MK43" s="5">
        <f t="shared" si="146"/>
        <v>19163408</v>
      </c>
      <c r="ML43" s="29">
        <f t="shared" si="147"/>
        <v>0</v>
      </c>
      <c r="MM43" s="5">
        <f t="shared" si="148"/>
        <v>101989116</v>
      </c>
      <c r="MN43" s="29">
        <f t="shared" si="149"/>
        <v>0</v>
      </c>
      <c r="MO43" s="5">
        <f t="shared" si="150"/>
        <v>4684602</v>
      </c>
      <c r="MP43" s="29">
        <f t="shared" si="151"/>
        <v>0</v>
      </c>
      <c r="MQ43" s="5">
        <f t="shared" si="152"/>
        <v>106673718</v>
      </c>
      <c r="MR43" s="29">
        <f t="shared" si="153"/>
        <v>0</v>
      </c>
      <c r="MT43" s="5">
        <f t="shared" si="76"/>
        <v>0</v>
      </c>
      <c r="MV43" s="4">
        <f t="shared" si="77"/>
        <v>0</v>
      </c>
    </row>
    <row r="44" spans="1:360" x14ac:dyDescent="0.15">
      <c r="A44" s="155" t="s">
        <v>333</v>
      </c>
      <c r="B44" s="25" t="s">
        <v>463</v>
      </c>
      <c r="C44" s="62">
        <v>237525</v>
      </c>
      <c r="D44" s="48">
        <v>2012</v>
      </c>
      <c r="E44" s="49">
        <v>1</v>
      </c>
      <c r="F44" s="49">
        <v>8</v>
      </c>
      <c r="G44" s="50">
        <v>3746</v>
      </c>
      <c r="H44" s="50">
        <v>4628</v>
      </c>
      <c r="I44" s="51">
        <v>268467228</v>
      </c>
      <c r="J44" s="51"/>
      <c r="K44" s="51">
        <v>158810</v>
      </c>
      <c r="L44" s="51"/>
      <c r="M44" s="51">
        <v>9748675</v>
      </c>
      <c r="N44" s="51"/>
      <c r="O44" s="51">
        <v>367268</v>
      </c>
      <c r="P44" s="51"/>
      <c r="Q44" s="51">
        <v>117707899</v>
      </c>
      <c r="R44" s="51"/>
      <c r="S44" s="51">
        <v>201516470</v>
      </c>
      <c r="T44" s="51"/>
      <c r="U44" s="51">
        <v>14622</v>
      </c>
      <c r="V44" s="51"/>
      <c r="W44" s="51">
        <v>22454</v>
      </c>
      <c r="X44" s="51"/>
      <c r="Y44" s="51">
        <v>17690</v>
      </c>
      <c r="Z44" s="51"/>
      <c r="AA44" s="51">
        <v>25222</v>
      </c>
      <c r="AB44" s="51"/>
      <c r="AC44" s="74">
        <v>6</v>
      </c>
      <c r="AD44" s="74">
        <v>10</v>
      </c>
      <c r="AE44" s="74">
        <v>0</v>
      </c>
      <c r="AF44" s="29">
        <v>3324166</v>
      </c>
      <c r="AG44" s="29">
        <v>2351136</v>
      </c>
      <c r="AH44" s="29">
        <v>376610</v>
      </c>
      <c r="AI44" s="29">
        <v>149244</v>
      </c>
      <c r="AJ44" s="73">
        <v>258100.19</v>
      </c>
      <c r="AK44" s="73">
        <v>5.39</v>
      </c>
      <c r="AL44" s="29">
        <v>231860</v>
      </c>
      <c r="AM44" s="73">
        <v>6</v>
      </c>
      <c r="AN44" s="29">
        <v>84865.63</v>
      </c>
      <c r="AO44" s="73">
        <v>7.36</v>
      </c>
      <c r="AP44" s="29">
        <v>78076.38</v>
      </c>
      <c r="AQ44" s="73">
        <v>8</v>
      </c>
      <c r="AR44" s="29">
        <v>110793.3</v>
      </c>
      <c r="AS44" s="73">
        <v>16.13</v>
      </c>
      <c r="AT44" s="29">
        <v>99283.11</v>
      </c>
      <c r="AU44" s="73">
        <v>18</v>
      </c>
      <c r="AV44" s="29">
        <v>42423</v>
      </c>
      <c r="AW44" s="73">
        <v>12.47</v>
      </c>
      <c r="AX44" s="29">
        <v>33063</v>
      </c>
      <c r="AY44" s="73">
        <v>16</v>
      </c>
      <c r="AZ44" s="97">
        <v>2610121</v>
      </c>
      <c r="BA44" s="97">
        <v>876873</v>
      </c>
      <c r="BB44" s="97">
        <v>7674</v>
      </c>
      <c r="BC44" s="97">
        <v>8916</v>
      </c>
      <c r="BD44" s="97">
        <v>97295</v>
      </c>
      <c r="BE44" s="97">
        <v>3600879</v>
      </c>
      <c r="BF44" s="97">
        <v>0</v>
      </c>
      <c r="BG44" s="97">
        <v>0</v>
      </c>
      <c r="BH44" s="97">
        <v>662356</v>
      </c>
      <c r="BI44" s="97">
        <v>1518410</v>
      </c>
      <c r="BJ44" s="97">
        <v>2059878</v>
      </c>
      <c r="BK44" s="97">
        <v>4240644</v>
      </c>
      <c r="BL44" s="97">
        <v>485989</v>
      </c>
      <c r="BM44" s="97">
        <v>284498</v>
      </c>
      <c r="BN44" s="97">
        <v>1000</v>
      </c>
      <c r="BO44" s="97">
        <v>9000</v>
      </c>
      <c r="BP44" s="97">
        <v>0</v>
      </c>
      <c r="BQ44" s="97">
        <v>780487</v>
      </c>
      <c r="BR44" s="97">
        <v>1319817</v>
      </c>
      <c r="BS44" s="97">
        <v>109082</v>
      </c>
      <c r="BT44" s="97">
        <v>18755</v>
      </c>
      <c r="BU44" s="97">
        <v>157557</v>
      </c>
      <c r="BV44" s="97">
        <v>2395308</v>
      </c>
      <c r="BW44" s="97">
        <v>4000519</v>
      </c>
      <c r="BX44" s="97">
        <v>0</v>
      </c>
      <c r="BY44" s="97">
        <v>0</v>
      </c>
      <c r="BZ44" s="97">
        <v>0</v>
      </c>
      <c r="CA44" s="97">
        <v>0</v>
      </c>
      <c r="CB44" s="97">
        <v>0</v>
      </c>
      <c r="CC44" s="97">
        <v>0</v>
      </c>
      <c r="CD44" s="97">
        <v>0</v>
      </c>
      <c r="CE44" s="97">
        <v>0</v>
      </c>
      <c r="CF44" s="97">
        <v>0</v>
      </c>
      <c r="CG44" s="97">
        <v>0</v>
      </c>
      <c r="CH44" s="97">
        <v>0</v>
      </c>
      <c r="CI44" s="97">
        <v>0</v>
      </c>
      <c r="CJ44" s="97">
        <v>1760918</v>
      </c>
      <c r="CK44" s="97">
        <v>264611</v>
      </c>
      <c r="CL44" s="97">
        <v>243532</v>
      </c>
      <c r="CM44" s="97">
        <v>1744802</v>
      </c>
      <c r="CN44" s="97">
        <v>3427328</v>
      </c>
      <c r="CO44" s="97">
        <v>7441191</v>
      </c>
      <c r="CP44" s="97">
        <v>107847</v>
      </c>
      <c r="CQ44" s="97">
        <v>0</v>
      </c>
      <c r="CR44" s="97">
        <v>0</v>
      </c>
      <c r="CS44" s="97">
        <v>0</v>
      </c>
      <c r="CT44" s="97">
        <v>2688294</v>
      </c>
      <c r="CU44" s="97">
        <v>2796141</v>
      </c>
      <c r="CV44" s="97">
        <v>1440900</v>
      </c>
      <c r="CW44" s="97">
        <v>435326</v>
      </c>
      <c r="CX44" s="97">
        <v>21058</v>
      </c>
      <c r="CY44" s="97">
        <v>147966</v>
      </c>
      <c r="CZ44" s="97">
        <v>1222352</v>
      </c>
      <c r="DA44" s="97">
        <v>3267602</v>
      </c>
      <c r="DB44" s="97">
        <v>732942</v>
      </c>
      <c r="DC44" s="97">
        <v>429649</v>
      </c>
      <c r="DD44" s="97">
        <v>0</v>
      </c>
      <c r="DE44" s="97">
        <v>0</v>
      </c>
      <c r="DF44" s="97">
        <v>22614</v>
      </c>
      <c r="DG44" s="97">
        <v>1185205</v>
      </c>
      <c r="DH44" s="97">
        <v>257890</v>
      </c>
      <c r="DI44" s="97">
        <v>59129</v>
      </c>
      <c r="DJ44" s="97">
        <v>3658</v>
      </c>
      <c r="DK44" s="97">
        <v>3842</v>
      </c>
      <c r="DL44" s="97">
        <v>29917</v>
      </c>
      <c r="DM44" s="97">
        <v>354436</v>
      </c>
      <c r="DN44" s="97">
        <v>91519</v>
      </c>
      <c r="DO44" s="97">
        <v>0</v>
      </c>
      <c r="DP44" s="97">
        <v>0</v>
      </c>
      <c r="DQ44" s="97">
        <v>0</v>
      </c>
      <c r="DR44" s="97">
        <v>75000</v>
      </c>
      <c r="DS44" s="97">
        <v>166519</v>
      </c>
      <c r="DT44" s="97">
        <v>32620</v>
      </c>
      <c r="DU44" s="97">
        <v>26768</v>
      </c>
      <c r="DV44" s="97">
        <v>55</v>
      </c>
      <c r="DW44" s="97">
        <v>57170</v>
      </c>
      <c r="DX44" s="97">
        <v>0</v>
      </c>
      <c r="DY44" s="97">
        <v>116613</v>
      </c>
      <c r="DZ44" s="97">
        <v>451</v>
      </c>
      <c r="EA44" s="97">
        <v>6</v>
      </c>
      <c r="EB44" s="97">
        <v>69</v>
      </c>
      <c r="EC44" s="97">
        <v>119</v>
      </c>
      <c r="ED44" s="97">
        <v>209803</v>
      </c>
      <c r="EE44" s="97">
        <v>210448</v>
      </c>
      <c r="EF44" s="97">
        <v>228502</v>
      </c>
      <c r="EG44" s="97">
        <v>39027</v>
      </c>
      <c r="EH44" s="97">
        <v>18544</v>
      </c>
      <c r="EI44" s="97">
        <v>135342</v>
      </c>
      <c r="EJ44" s="97">
        <v>621436</v>
      </c>
      <c r="EK44" s="97">
        <v>1042851</v>
      </c>
      <c r="EL44" s="97">
        <v>9069516</v>
      </c>
      <c r="EM44" s="97">
        <v>2524969</v>
      </c>
      <c r="EN44" s="97">
        <v>976701</v>
      </c>
      <c r="EO44" s="97">
        <v>3783124</v>
      </c>
      <c r="EP44" s="97">
        <v>12849225</v>
      </c>
      <c r="EQ44" s="97">
        <v>29203535</v>
      </c>
      <c r="ER44" s="97">
        <v>2228305</v>
      </c>
      <c r="ES44" s="97">
        <v>376413</v>
      </c>
      <c r="ET44" s="97">
        <v>433107</v>
      </c>
      <c r="EU44" s="97">
        <v>2637477</v>
      </c>
      <c r="EV44" s="97">
        <v>134830</v>
      </c>
      <c r="EW44" s="97">
        <v>5810132</v>
      </c>
      <c r="EX44" s="97">
        <v>200000</v>
      </c>
      <c r="EY44" s="97">
        <v>346500</v>
      </c>
      <c r="EZ44" s="97">
        <v>25738</v>
      </c>
      <c r="FA44" s="97">
        <v>12500</v>
      </c>
      <c r="FB44" s="97">
        <v>0</v>
      </c>
      <c r="FC44" s="97">
        <v>584738</v>
      </c>
      <c r="FD44" s="97">
        <v>1972433</v>
      </c>
      <c r="FE44" s="97">
        <v>813521</v>
      </c>
      <c r="FF44" s="97">
        <v>358854</v>
      </c>
      <c r="FG44" s="97">
        <v>1187082</v>
      </c>
      <c r="FH44" s="97">
        <v>0</v>
      </c>
      <c r="FI44" s="97">
        <v>4331890</v>
      </c>
      <c r="FJ44" s="97">
        <v>0</v>
      </c>
      <c r="FK44" s="97">
        <v>0</v>
      </c>
      <c r="FL44" s="97">
        <v>0</v>
      </c>
      <c r="FM44" s="97">
        <v>0</v>
      </c>
      <c r="FN44" s="97">
        <v>0</v>
      </c>
      <c r="FO44" s="97">
        <v>0</v>
      </c>
      <c r="FP44" s="97">
        <v>280231</v>
      </c>
      <c r="FQ44" s="97">
        <v>69377</v>
      </c>
      <c r="FR44" s="97">
        <v>53293</v>
      </c>
      <c r="FS44" s="97">
        <v>0</v>
      </c>
      <c r="FT44" s="97">
        <v>2482596</v>
      </c>
      <c r="FU44" s="97">
        <v>2885497</v>
      </c>
      <c r="FV44" s="97">
        <v>0</v>
      </c>
      <c r="FW44" s="97">
        <v>0</v>
      </c>
      <c r="FX44" s="97">
        <v>0</v>
      </c>
      <c r="FY44" s="97">
        <v>0</v>
      </c>
      <c r="FZ44" s="97">
        <v>0</v>
      </c>
      <c r="GA44" s="97">
        <v>0</v>
      </c>
      <c r="GB44" s="97">
        <v>0</v>
      </c>
      <c r="GC44" s="97">
        <v>0</v>
      </c>
      <c r="GD44" s="97">
        <v>0</v>
      </c>
      <c r="GE44" s="97">
        <v>0</v>
      </c>
      <c r="GF44" s="97">
        <v>0</v>
      </c>
      <c r="GG44" s="97">
        <v>0</v>
      </c>
      <c r="GH44" s="97">
        <v>245204</v>
      </c>
      <c r="GI44" s="97">
        <v>86018</v>
      </c>
      <c r="GJ44" s="97">
        <v>55683</v>
      </c>
      <c r="GK44" s="97">
        <v>138949</v>
      </c>
      <c r="GL44" s="97">
        <v>0</v>
      </c>
      <c r="GM44" s="97">
        <v>525854</v>
      </c>
      <c r="GN44" s="97">
        <v>1147777</v>
      </c>
      <c r="GO44" s="97">
        <v>343207</v>
      </c>
      <c r="GP44" s="97">
        <v>254636</v>
      </c>
      <c r="GQ44" s="97">
        <v>1111089</v>
      </c>
      <c r="GR44" s="97">
        <v>0</v>
      </c>
      <c r="GS44" s="97">
        <v>2856709</v>
      </c>
      <c r="GT44" s="97">
        <v>218038</v>
      </c>
      <c r="GU44" s="97">
        <v>36407</v>
      </c>
      <c r="GV44" s="97">
        <v>32513</v>
      </c>
      <c r="GW44" s="97">
        <v>224675</v>
      </c>
      <c r="GX44" s="97">
        <v>47127</v>
      </c>
      <c r="GY44" s="97">
        <v>558760</v>
      </c>
      <c r="GZ44" s="97">
        <v>306423</v>
      </c>
      <c r="HA44" s="97">
        <v>176456</v>
      </c>
      <c r="HB44" s="97">
        <v>51344</v>
      </c>
      <c r="HC44" s="97">
        <v>103373</v>
      </c>
      <c r="HD44" s="97">
        <v>53908</v>
      </c>
      <c r="HE44" s="97">
        <v>691504</v>
      </c>
      <c r="HF44" s="97">
        <v>85711</v>
      </c>
      <c r="HG44" s="97">
        <v>30505</v>
      </c>
      <c r="HH44" s="97">
        <v>10202</v>
      </c>
      <c r="HI44" s="97">
        <v>51685</v>
      </c>
      <c r="HJ44" s="97">
        <v>897086</v>
      </c>
      <c r="HK44" s="97">
        <v>1075189</v>
      </c>
      <c r="HL44" s="97">
        <v>10988</v>
      </c>
      <c r="HM44" s="97">
        <v>16256</v>
      </c>
      <c r="HN44" s="97">
        <v>3346</v>
      </c>
      <c r="HO44" s="97">
        <v>33630</v>
      </c>
      <c r="HP44" s="97">
        <v>0</v>
      </c>
      <c r="HQ44" s="97">
        <v>64220</v>
      </c>
      <c r="HR44" s="97">
        <v>5258</v>
      </c>
      <c r="HS44" s="97">
        <v>2697</v>
      </c>
      <c r="HT44" s="97">
        <v>13436</v>
      </c>
      <c r="HU44" s="97">
        <v>3686</v>
      </c>
      <c r="HV44" s="97">
        <v>783728</v>
      </c>
      <c r="HW44" s="97">
        <v>808805</v>
      </c>
      <c r="HX44" s="97">
        <v>0</v>
      </c>
      <c r="HY44" s="97">
        <v>0</v>
      </c>
      <c r="HZ44" s="97">
        <v>0</v>
      </c>
      <c r="IA44" s="97">
        <v>0</v>
      </c>
      <c r="IB44" s="97">
        <v>78586</v>
      </c>
      <c r="IC44" s="97">
        <v>78586</v>
      </c>
      <c r="ID44" s="97">
        <v>107847</v>
      </c>
      <c r="IE44" s="97">
        <v>0</v>
      </c>
      <c r="IF44" s="97">
        <v>0</v>
      </c>
      <c r="IG44" s="97">
        <v>0</v>
      </c>
      <c r="IH44" s="97">
        <v>2688294</v>
      </c>
      <c r="II44" s="97">
        <v>2796141</v>
      </c>
      <c r="IJ44" s="97">
        <v>0</v>
      </c>
      <c r="IK44" s="97">
        <v>0</v>
      </c>
      <c r="IL44" s="97">
        <v>0</v>
      </c>
      <c r="IM44" s="97">
        <v>0</v>
      </c>
      <c r="IN44" s="97">
        <v>793775</v>
      </c>
      <c r="IO44" s="97">
        <v>793775</v>
      </c>
      <c r="IP44" s="97">
        <v>2140</v>
      </c>
      <c r="IQ44" s="97">
        <v>125</v>
      </c>
      <c r="IR44" s="97">
        <v>533</v>
      </c>
      <c r="IS44" s="97">
        <v>9978</v>
      </c>
      <c r="IT44" s="97">
        <v>326972</v>
      </c>
      <c r="IU44" s="97">
        <v>339748</v>
      </c>
      <c r="IV44" s="97">
        <v>430749</v>
      </c>
      <c r="IW44" s="97">
        <v>150306</v>
      </c>
      <c r="IX44" s="97">
        <v>72365</v>
      </c>
      <c r="IY44" s="97">
        <v>279503</v>
      </c>
      <c r="IZ44" s="97">
        <v>1682259</v>
      </c>
      <c r="JA44" s="97">
        <v>2615182</v>
      </c>
      <c r="JB44" s="97">
        <v>7241104</v>
      </c>
      <c r="JC44" s="97">
        <v>2447788</v>
      </c>
      <c r="JD44" s="97">
        <v>1365050</v>
      </c>
      <c r="JE44" s="97">
        <v>5793627</v>
      </c>
      <c r="JF44" s="97">
        <v>9969161</v>
      </c>
      <c r="JG44" s="97">
        <v>26816730</v>
      </c>
      <c r="JH44" s="97">
        <v>0</v>
      </c>
      <c r="JI44" s="97">
        <v>0</v>
      </c>
      <c r="JJ44" s="97">
        <v>0</v>
      </c>
      <c r="JK44" s="97">
        <v>0</v>
      </c>
      <c r="JL44" s="97">
        <v>0</v>
      </c>
      <c r="JM44" s="97">
        <v>0</v>
      </c>
      <c r="JN44" s="97">
        <v>7241104</v>
      </c>
      <c r="JO44" s="97">
        <v>2447788</v>
      </c>
      <c r="JP44" s="97">
        <v>1365050</v>
      </c>
      <c r="JQ44" s="97">
        <v>5793627</v>
      </c>
      <c r="JR44" s="97">
        <v>9969161</v>
      </c>
      <c r="JS44" s="97">
        <v>26816730</v>
      </c>
      <c r="JU44" s="5">
        <f t="shared" si="78"/>
        <v>3600879</v>
      </c>
      <c r="JV44" s="29">
        <f t="shared" si="79"/>
        <v>0</v>
      </c>
      <c r="JW44" s="5">
        <f t="shared" si="80"/>
        <v>4240644</v>
      </c>
      <c r="JX44" s="29">
        <f t="shared" si="81"/>
        <v>0</v>
      </c>
      <c r="JY44" s="5">
        <f t="shared" si="82"/>
        <v>780487</v>
      </c>
      <c r="JZ44" s="29">
        <f t="shared" si="83"/>
        <v>0</v>
      </c>
      <c r="KA44" s="5">
        <f t="shared" si="84"/>
        <v>4000519</v>
      </c>
      <c r="KB44" s="29">
        <f t="shared" si="85"/>
        <v>0</v>
      </c>
      <c r="KC44" s="5">
        <f t="shared" si="86"/>
        <v>0</v>
      </c>
      <c r="KD44" s="29">
        <f t="shared" si="87"/>
        <v>0</v>
      </c>
      <c r="KE44" s="5">
        <f t="shared" si="88"/>
        <v>0</v>
      </c>
      <c r="KF44" s="29">
        <f t="shared" si="89"/>
        <v>0</v>
      </c>
      <c r="KG44" s="5">
        <f t="shared" si="90"/>
        <v>7441191</v>
      </c>
      <c r="KH44" s="29">
        <f t="shared" si="91"/>
        <v>0</v>
      </c>
      <c r="KI44" s="5">
        <f t="shared" si="92"/>
        <v>2796141</v>
      </c>
      <c r="KJ44" s="29">
        <f t="shared" si="93"/>
        <v>0</v>
      </c>
      <c r="KK44" s="5">
        <f t="shared" si="94"/>
        <v>3267602</v>
      </c>
      <c r="KL44" s="29">
        <f t="shared" si="95"/>
        <v>0</v>
      </c>
      <c r="KM44" s="5">
        <f t="shared" si="96"/>
        <v>1185205</v>
      </c>
      <c r="KN44" s="29">
        <f t="shared" si="97"/>
        <v>0</v>
      </c>
      <c r="KO44" s="5">
        <f t="shared" si="98"/>
        <v>354436</v>
      </c>
      <c r="KP44" s="29">
        <f t="shared" si="99"/>
        <v>0</v>
      </c>
      <c r="KQ44" s="5">
        <f t="shared" si="100"/>
        <v>166519</v>
      </c>
      <c r="KR44" s="29">
        <f t="shared" si="101"/>
        <v>0</v>
      </c>
      <c r="KS44" s="5">
        <f t="shared" si="102"/>
        <v>116613</v>
      </c>
      <c r="KT44" s="29">
        <f t="shared" si="103"/>
        <v>0</v>
      </c>
      <c r="KU44" s="5">
        <f t="shared" si="104"/>
        <v>210448</v>
      </c>
      <c r="KV44" s="29">
        <f t="shared" si="105"/>
        <v>0</v>
      </c>
      <c r="KW44" s="5">
        <f t="shared" si="106"/>
        <v>1042851</v>
      </c>
      <c r="KX44" s="29">
        <f t="shared" si="107"/>
        <v>0</v>
      </c>
      <c r="KY44" s="5">
        <f t="shared" si="108"/>
        <v>29203535</v>
      </c>
      <c r="KZ44" s="29">
        <f t="shared" si="109"/>
        <v>0</v>
      </c>
      <c r="LA44" s="5">
        <f t="shared" si="110"/>
        <v>5810132</v>
      </c>
      <c r="LB44" s="29">
        <f t="shared" si="111"/>
        <v>0</v>
      </c>
      <c r="LC44" s="5">
        <f t="shared" si="112"/>
        <v>584738</v>
      </c>
      <c r="LD44" s="29">
        <f t="shared" si="113"/>
        <v>0</v>
      </c>
      <c r="LE44" s="5">
        <f t="shared" si="114"/>
        <v>4331890</v>
      </c>
      <c r="LF44" s="29">
        <f t="shared" si="115"/>
        <v>0</v>
      </c>
      <c r="LG44" s="5">
        <f t="shared" si="116"/>
        <v>0</v>
      </c>
      <c r="LH44" s="29">
        <f t="shared" si="117"/>
        <v>0</v>
      </c>
      <c r="LI44" s="5">
        <f t="shared" si="118"/>
        <v>2885497</v>
      </c>
      <c r="LJ44" s="29">
        <f t="shared" si="119"/>
        <v>0</v>
      </c>
      <c r="LK44" s="5">
        <f t="shared" si="120"/>
        <v>0</v>
      </c>
      <c r="LL44" s="29">
        <f t="shared" si="121"/>
        <v>0</v>
      </c>
      <c r="LM44" s="5">
        <f t="shared" si="122"/>
        <v>0</v>
      </c>
      <c r="LN44" s="29">
        <f t="shared" si="123"/>
        <v>0</v>
      </c>
      <c r="LO44" s="5">
        <f t="shared" si="124"/>
        <v>525854</v>
      </c>
      <c r="LP44" s="29">
        <f t="shared" si="125"/>
        <v>0</v>
      </c>
      <c r="LQ44" s="5">
        <f t="shared" si="126"/>
        <v>2856709</v>
      </c>
      <c r="LR44" s="29">
        <f t="shared" si="127"/>
        <v>0</v>
      </c>
      <c r="LS44" s="5">
        <f t="shared" si="128"/>
        <v>558760</v>
      </c>
      <c r="LT44" s="29">
        <f t="shared" si="129"/>
        <v>0</v>
      </c>
      <c r="LU44" s="5">
        <f t="shared" si="130"/>
        <v>691504</v>
      </c>
      <c r="LV44" s="29">
        <f t="shared" si="131"/>
        <v>0</v>
      </c>
      <c r="LW44" s="5">
        <f t="shared" si="132"/>
        <v>1075189</v>
      </c>
      <c r="LX44" s="29">
        <f t="shared" si="133"/>
        <v>0</v>
      </c>
      <c r="LY44" s="5">
        <f t="shared" si="134"/>
        <v>64220</v>
      </c>
      <c r="LZ44" s="29">
        <f t="shared" si="135"/>
        <v>0</v>
      </c>
      <c r="MA44" s="5">
        <f t="shared" si="136"/>
        <v>808805</v>
      </c>
      <c r="MB44" s="29">
        <f t="shared" si="137"/>
        <v>0</v>
      </c>
      <c r="MC44" s="5">
        <f t="shared" si="138"/>
        <v>78586</v>
      </c>
      <c r="MD44" s="29">
        <f t="shared" si="139"/>
        <v>0</v>
      </c>
      <c r="ME44" s="5">
        <f t="shared" si="140"/>
        <v>2796141</v>
      </c>
      <c r="MF44" s="29">
        <f t="shared" si="141"/>
        <v>0</v>
      </c>
      <c r="MG44" s="5">
        <f t="shared" si="142"/>
        <v>793775</v>
      </c>
      <c r="MH44" s="29">
        <f t="shared" si="143"/>
        <v>0</v>
      </c>
      <c r="MI44" s="5">
        <f t="shared" si="144"/>
        <v>339748</v>
      </c>
      <c r="MJ44" s="29">
        <f t="shared" si="145"/>
        <v>0</v>
      </c>
      <c r="MK44" s="5">
        <f t="shared" si="146"/>
        <v>2615182</v>
      </c>
      <c r="ML44" s="29">
        <f t="shared" si="147"/>
        <v>0</v>
      </c>
      <c r="MM44" s="5">
        <f t="shared" si="148"/>
        <v>26816730</v>
      </c>
      <c r="MN44" s="29">
        <f t="shared" si="149"/>
        <v>0</v>
      </c>
      <c r="MO44" s="5">
        <f t="shared" si="150"/>
        <v>0</v>
      </c>
      <c r="MP44" s="29">
        <f t="shared" si="151"/>
        <v>0</v>
      </c>
      <c r="MQ44" s="5">
        <f t="shared" si="152"/>
        <v>26816730</v>
      </c>
      <c r="MR44" s="29">
        <f t="shared" si="153"/>
        <v>0</v>
      </c>
      <c r="MT44" s="5">
        <f t="shared" si="76"/>
        <v>0</v>
      </c>
      <c r="MV44" s="4">
        <f t="shared" si="77"/>
        <v>0</v>
      </c>
    </row>
    <row r="45" spans="1:360" x14ac:dyDescent="0.15">
      <c r="A45" s="157" t="s">
        <v>334</v>
      </c>
      <c r="B45" s="28" t="s">
        <v>458</v>
      </c>
      <c r="C45" s="62">
        <v>240727</v>
      </c>
      <c r="D45" s="48">
        <v>2012</v>
      </c>
      <c r="E45" s="49">
        <v>1</v>
      </c>
      <c r="F45" s="49">
        <v>1</v>
      </c>
      <c r="G45" s="50">
        <v>12973</v>
      </c>
      <c r="H45" s="50">
        <v>11617</v>
      </c>
      <c r="I45" s="51">
        <v>1533361625</v>
      </c>
      <c r="J45" s="51"/>
      <c r="K45" s="51">
        <v>6722035</v>
      </c>
      <c r="L45" s="51"/>
      <c r="M45" s="51">
        <v>58823785</v>
      </c>
      <c r="N45" s="51"/>
      <c r="O45" s="51">
        <v>55960599</v>
      </c>
      <c r="P45" s="51"/>
      <c r="Q45" s="51">
        <v>355051921</v>
      </c>
      <c r="R45" s="51"/>
      <c r="S45" s="51">
        <v>1320865664</v>
      </c>
      <c r="T45" s="51"/>
      <c r="U45" s="51">
        <v>18744</v>
      </c>
      <c r="V45" s="51"/>
      <c r="W45" s="51">
        <v>36115</v>
      </c>
      <c r="X45" s="51"/>
      <c r="Y45" s="51">
        <v>22433</v>
      </c>
      <c r="Z45" s="51"/>
      <c r="AA45" s="51">
        <v>39804</v>
      </c>
      <c r="AB45" s="51"/>
      <c r="AC45" s="72">
        <v>12</v>
      </c>
      <c r="AD45" s="72">
        <v>15</v>
      </c>
      <c r="AE45" s="72">
        <v>0</v>
      </c>
      <c r="AF45" s="29">
        <v>5174970</v>
      </c>
      <c r="AG45" s="29">
        <v>4264354</v>
      </c>
      <c r="AH45" s="29">
        <v>666282</v>
      </c>
      <c r="AI45" s="29">
        <v>319825</v>
      </c>
      <c r="AJ45" s="29">
        <v>640023.76</v>
      </c>
      <c r="AK45" s="73">
        <v>8.5</v>
      </c>
      <c r="AL45" s="29">
        <v>544020.19999999995</v>
      </c>
      <c r="AM45" s="73">
        <v>10</v>
      </c>
      <c r="AN45" s="29">
        <v>199617.92000000001</v>
      </c>
      <c r="AO45" s="73">
        <v>12</v>
      </c>
      <c r="AP45" s="29">
        <v>184262.69</v>
      </c>
      <c r="AQ45" s="73">
        <v>13</v>
      </c>
      <c r="AR45" s="29">
        <v>175350</v>
      </c>
      <c r="AS45" s="73">
        <v>26</v>
      </c>
      <c r="AT45" s="29">
        <v>151970.73000000001</v>
      </c>
      <c r="AU45" s="73">
        <v>30</v>
      </c>
      <c r="AV45" s="29">
        <v>78226</v>
      </c>
      <c r="AW45" s="73">
        <v>22.5</v>
      </c>
      <c r="AX45" s="29">
        <v>60692.62</v>
      </c>
      <c r="AY45" s="73">
        <v>29</v>
      </c>
      <c r="AZ45" s="97">
        <v>6615416</v>
      </c>
      <c r="BA45" s="97">
        <v>6281580</v>
      </c>
      <c r="BB45" s="97">
        <v>419943</v>
      </c>
      <c r="BC45" s="97">
        <f>13056390+457675-AZ45-BA45-BB45</f>
        <v>197126</v>
      </c>
      <c r="BD45" s="97">
        <v>2312</v>
      </c>
      <c r="BE45" s="97">
        <v>13516377</v>
      </c>
      <c r="BF45" s="97">
        <v>0</v>
      </c>
      <c r="BG45" s="97">
        <v>0</v>
      </c>
      <c r="BH45" s="97">
        <v>0</v>
      </c>
      <c r="BI45" s="97">
        <v>0</v>
      </c>
      <c r="BJ45" s="97">
        <v>11064475</v>
      </c>
      <c r="BK45" s="97">
        <v>11064475</v>
      </c>
      <c r="BL45" s="97">
        <v>1000000</v>
      </c>
      <c r="BM45" s="97">
        <v>142000</v>
      </c>
      <c r="BN45" s="97">
        <v>3000</v>
      </c>
      <c r="BO45" s="97">
        <f>1160000+6600-BL45-BM45-BN45</f>
        <v>21600</v>
      </c>
      <c r="BP45" s="97">
        <v>0</v>
      </c>
      <c r="BQ45" s="97">
        <v>1166600</v>
      </c>
      <c r="BR45" s="97">
        <v>284304</v>
      </c>
      <c r="BS45" s="97">
        <v>183251</v>
      </c>
      <c r="BT45" s="97">
        <v>10219</v>
      </c>
      <c r="BU45" s="97">
        <f>819058+174882-BR45-BS45-BT45</f>
        <v>516166</v>
      </c>
      <c r="BV45" s="97">
        <v>10536403</v>
      </c>
      <c r="BW45" s="97">
        <v>11530343</v>
      </c>
      <c r="BX45" s="97">
        <v>0</v>
      </c>
      <c r="BY45" s="97">
        <v>0</v>
      </c>
      <c r="BZ45" s="97">
        <v>0</v>
      </c>
      <c r="CA45" s="97">
        <v>0</v>
      </c>
      <c r="CB45" s="97">
        <v>0</v>
      </c>
      <c r="CC45" s="97">
        <v>0</v>
      </c>
      <c r="CD45" s="97">
        <v>0</v>
      </c>
      <c r="CE45" s="97">
        <v>0</v>
      </c>
      <c r="CF45" s="97">
        <v>0</v>
      </c>
      <c r="CG45" s="97">
        <v>0</v>
      </c>
      <c r="CH45" s="97">
        <v>0</v>
      </c>
      <c r="CI45" s="97">
        <v>0</v>
      </c>
      <c r="CJ45" s="97">
        <v>0</v>
      </c>
      <c r="CK45" s="97">
        <v>0</v>
      </c>
      <c r="CL45" s="97">
        <v>0</v>
      </c>
      <c r="CM45" s="97">
        <v>0</v>
      </c>
      <c r="CN45" s="97">
        <v>6179609</v>
      </c>
      <c r="CO45" s="97">
        <v>6179609</v>
      </c>
      <c r="CP45" s="97">
        <v>0</v>
      </c>
      <c r="CQ45" s="97">
        <v>0</v>
      </c>
      <c r="CR45" s="97">
        <v>0</v>
      </c>
      <c r="CS45" s="97">
        <v>0</v>
      </c>
      <c r="CT45" s="97">
        <v>0</v>
      </c>
      <c r="CU45" s="97">
        <v>0</v>
      </c>
      <c r="CV45" s="97">
        <v>8364466</v>
      </c>
      <c r="CW45" s="97">
        <v>5163658</v>
      </c>
      <c r="CX45" s="97">
        <v>147256</v>
      </c>
      <c r="CY45" s="97">
        <f>13555133+162077-CV45-CW45-CX45</f>
        <v>41830</v>
      </c>
      <c r="CZ45" s="97">
        <v>1742919</v>
      </c>
      <c r="DA45" s="97">
        <v>15460129</v>
      </c>
      <c r="DB45" s="97">
        <v>0</v>
      </c>
      <c r="DC45" s="97">
        <v>0</v>
      </c>
      <c r="DD45" s="97">
        <v>0</v>
      </c>
      <c r="DE45" s="97">
        <v>0</v>
      </c>
      <c r="DF45" s="97">
        <v>0</v>
      </c>
      <c r="DG45" s="97">
        <v>0</v>
      </c>
      <c r="DH45" s="97">
        <v>511505</v>
      </c>
      <c r="DI45" s="97">
        <v>389230</v>
      </c>
      <c r="DJ45" s="97">
        <v>88110</v>
      </c>
      <c r="DK45" s="97">
        <f>936646+97770-DH45-DI45-DJ45</f>
        <v>45571</v>
      </c>
      <c r="DL45" s="97">
        <v>434222</v>
      </c>
      <c r="DM45" s="97">
        <v>1468638</v>
      </c>
      <c r="DN45" s="97">
        <v>0</v>
      </c>
      <c r="DO45" s="97">
        <v>0</v>
      </c>
      <c r="DP45" s="97">
        <v>0</v>
      </c>
      <c r="DQ45" s="97">
        <v>0</v>
      </c>
      <c r="DR45" s="97">
        <v>6849800</v>
      </c>
      <c r="DS45" s="97">
        <v>6849800</v>
      </c>
      <c r="DT45" s="97">
        <v>0</v>
      </c>
      <c r="DU45" s="97">
        <v>0</v>
      </c>
      <c r="DV45" s="97">
        <v>0</v>
      </c>
      <c r="DW45" s="97">
        <v>0</v>
      </c>
      <c r="DX45" s="97">
        <v>0</v>
      </c>
      <c r="DY45" s="97">
        <v>0</v>
      </c>
      <c r="DZ45" s="97">
        <v>0</v>
      </c>
      <c r="EA45" s="97">
        <v>0</v>
      </c>
      <c r="EB45" s="97">
        <v>0</v>
      </c>
      <c r="EC45" s="97">
        <v>0</v>
      </c>
      <c r="ED45" s="97">
        <v>605184</v>
      </c>
      <c r="EE45" s="97">
        <v>605184</v>
      </c>
      <c r="EF45" s="97">
        <v>0</v>
      </c>
      <c r="EG45" s="97">
        <v>0</v>
      </c>
      <c r="EH45" s="97">
        <v>0</v>
      </c>
      <c r="EI45" s="97">
        <f>6573+7452-EF45-EG45-WG45</f>
        <v>14025</v>
      </c>
      <c r="EJ45" s="97">
        <v>287480</v>
      </c>
      <c r="EK45" s="97">
        <v>301505</v>
      </c>
      <c r="EL45" s="97">
        <v>16775691</v>
      </c>
      <c r="EM45" s="97">
        <v>12159719</v>
      </c>
      <c r="EN45" s="97">
        <v>668528</v>
      </c>
      <c r="EO45" s="97">
        <f>29533800+906456-EL45-EM45-EN45</f>
        <v>836318</v>
      </c>
      <c r="EP45" s="98">
        <v>37702404</v>
      </c>
      <c r="EQ45" s="97">
        <v>68142660</v>
      </c>
      <c r="ER45" s="97">
        <v>2681993</v>
      </c>
      <c r="ES45" s="97">
        <v>330065</v>
      </c>
      <c r="ET45" s="97">
        <v>431336</v>
      </c>
      <c r="EU45" s="97">
        <f>5174970+4264354-ER45-ES45-ET45</f>
        <v>5995930</v>
      </c>
      <c r="EV45" s="97">
        <v>2489420</v>
      </c>
      <c r="EW45" s="97">
        <v>11928744</v>
      </c>
      <c r="EX45" s="97">
        <v>500000</v>
      </c>
      <c r="EY45" s="97">
        <v>991032</v>
      </c>
      <c r="EZ45" s="97">
        <v>19500</v>
      </c>
      <c r="FA45" s="97">
        <f>1505669+22111-EX45-EY45-EZ45</f>
        <v>17248</v>
      </c>
      <c r="FB45" s="97">
        <v>0</v>
      </c>
      <c r="FC45" s="97">
        <v>1527780</v>
      </c>
      <c r="FD45" s="97">
        <f>2093927+2872100</f>
        <v>4966027</v>
      </c>
      <c r="FE45" s="97">
        <f>2003248+796517</f>
        <v>2799765</v>
      </c>
      <c r="FF45" s="97">
        <f>1025803+545826</f>
        <v>1571629</v>
      </c>
      <c r="FG45" s="97">
        <f>5440202+4559122+2395415+1760086-FD45-FE45-FF45</f>
        <v>4817404</v>
      </c>
      <c r="FH45" s="97">
        <v>0</v>
      </c>
      <c r="FI45" s="97">
        <v>14154825</v>
      </c>
      <c r="FJ45" s="97">
        <v>0</v>
      </c>
      <c r="FK45" s="97">
        <v>0</v>
      </c>
      <c r="FL45" s="97">
        <v>0</v>
      </c>
      <c r="FM45" s="97">
        <v>0</v>
      </c>
      <c r="FN45" s="97">
        <v>0</v>
      </c>
      <c r="FO45" s="97">
        <v>0</v>
      </c>
      <c r="FP45" s="97">
        <v>554737</v>
      </c>
      <c r="FQ45" s="97">
        <v>376640</v>
      </c>
      <c r="FR45" s="97">
        <v>282264</v>
      </c>
      <c r="FS45" s="97">
        <f>1013640+303579-FP45-FQ45-FR45</f>
        <v>103578</v>
      </c>
      <c r="FT45" s="97">
        <v>10057596</v>
      </c>
      <c r="FU45" s="97">
        <v>11374815</v>
      </c>
      <c r="FV45" s="97">
        <v>0</v>
      </c>
      <c r="FW45" s="97">
        <v>0</v>
      </c>
      <c r="FX45" s="97">
        <v>0</v>
      </c>
      <c r="FY45" s="97">
        <v>0</v>
      </c>
      <c r="FZ45" s="97">
        <v>0</v>
      </c>
      <c r="GA45" s="97">
        <v>0</v>
      </c>
      <c r="GB45" s="97">
        <v>2290843</v>
      </c>
      <c r="GC45" s="97">
        <v>0</v>
      </c>
      <c r="GD45" s="97">
        <v>0</v>
      </c>
      <c r="GE45" s="97">
        <v>13011</v>
      </c>
      <c r="GF45" s="97">
        <v>228202</v>
      </c>
      <c r="GG45" s="97">
        <v>2532056</v>
      </c>
      <c r="GH45" s="97">
        <v>349191</v>
      </c>
      <c r="GI45" s="97">
        <v>134805</v>
      </c>
      <c r="GJ45" s="97">
        <v>129285</v>
      </c>
      <c r="GK45" s="97">
        <v>372826</v>
      </c>
      <c r="GL45" s="97">
        <v>0</v>
      </c>
      <c r="GM45" s="97">
        <v>986107</v>
      </c>
      <c r="GN45" s="97">
        <v>668071</v>
      </c>
      <c r="GO45" s="97">
        <v>622845</v>
      </c>
      <c r="GP45" s="97">
        <v>272050</v>
      </c>
      <c r="GQ45" s="97">
        <v>1889523</v>
      </c>
      <c r="GR45" s="97">
        <v>0</v>
      </c>
      <c r="GS45" s="97">
        <v>3452489</v>
      </c>
      <c r="GT45" s="97">
        <v>668071</v>
      </c>
      <c r="GU45" s="97">
        <v>622845</v>
      </c>
      <c r="GV45" s="97">
        <v>272050</v>
      </c>
      <c r="GW45" s="97">
        <v>1889523</v>
      </c>
      <c r="GX45" s="97">
        <v>0</v>
      </c>
      <c r="GY45" s="97">
        <v>3452489</v>
      </c>
      <c r="GZ45" s="97">
        <v>20693</v>
      </c>
      <c r="HA45" s="97">
        <v>935</v>
      </c>
      <c r="HB45" s="97">
        <v>150</v>
      </c>
      <c r="HC45" s="97">
        <v>129201</v>
      </c>
      <c r="HD45" s="97">
        <v>1938184</v>
      </c>
      <c r="HE45" s="97">
        <v>2089163</v>
      </c>
      <c r="HF45" s="97">
        <v>0</v>
      </c>
      <c r="HG45" s="97">
        <v>0</v>
      </c>
      <c r="HH45" s="97">
        <v>0</v>
      </c>
      <c r="HI45" s="97">
        <v>0</v>
      </c>
      <c r="HJ45" s="97">
        <v>1361848</v>
      </c>
      <c r="HK45" s="97">
        <v>1361848</v>
      </c>
      <c r="HL45" s="97">
        <v>0</v>
      </c>
      <c r="HM45" s="97">
        <v>0</v>
      </c>
      <c r="HN45" s="97">
        <v>0</v>
      </c>
      <c r="HO45" s="97">
        <v>0</v>
      </c>
      <c r="HP45" s="97">
        <v>0</v>
      </c>
      <c r="HQ45" s="97">
        <v>0</v>
      </c>
      <c r="HR45" s="97">
        <v>1760696</v>
      </c>
      <c r="HS45" s="97">
        <v>21072</v>
      </c>
      <c r="HT45" s="97">
        <v>7700</v>
      </c>
      <c r="HU45" s="97">
        <v>601325</v>
      </c>
      <c r="HV45" s="97">
        <v>9531988</v>
      </c>
      <c r="HW45" s="97">
        <v>11922781</v>
      </c>
      <c r="HX45" s="97">
        <v>0</v>
      </c>
      <c r="HY45" s="97">
        <v>0</v>
      </c>
      <c r="HZ45" s="97">
        <v>0</v>
      </c>
      <c r="IA45" s="97">
        <v>0</v>
      </c>
      <c r="IB45" s="97">
        <v>189845</v>
      </c>
      <c r="IC45" s="97">
        <v>189845</v>
      </c>
      <c r="ID45" s="97">
        <v>0</v>
      </c>
      <c r="IE45" s="97">
        <v>0</v>
      </c>
      <c r="IF45" s="97">
        <v>0</v>
      </c>
      <c r="IG45" s="97">
        <v>0</v>
      </c>
      <c r="IH45" s="97">
        <v>0</v>
      </c>
      <c r="II45" s="97">
        <v>0</v>
      </c>
      <c r="IJ45" s="97">
        <v>0</v>
      </c>
      <c r="IK45" s="97">
        <v>0</v>
      </c>
      <c r="IL45" s="97">
        <v>0</v>
      </c>
      <c r="IM45" s="97">
        <v>0</v>
      </c>
      <c r="IN45" s="97">
        <v>975730</v>
      </c>
      <c r="IO45" s="97">
        <v>975730</v>
      </c>
      <c r="IP45" s="97">
        <v>1280</v>
      </c>
      <c r="IQ45" s="97">
        <v>2855</v>
      </c>
      <c r="IR45" s="97">
        <v>0</v>
      </c>
      <c r="IS45" s="97">
        <v>55806</v>
      </c>
      <c r="IT45" s="97">
        <v>21347</v>
      </c>
      <c r="IU45" s="97">
        <v>81288</v>
      </c>
      <c r="IV45" s="97">
        <v>959719</v>
      </c>
      <c r="IW45" s="97">
        <v>955744</v>
      </c>
      <c r="IX45" s="97">
        <v>122555</v>
      </c>
      <c r="IY45" s="97">
        <v>598023</v>
      </c>
      <c r="IZ45" s="97">
        <v>1743324</v>
      </c>
      <c r="JA45" s="97">
        <v>4379365</v>
      </c>
      <c r="JB45" s="97">
        <v>15359814</v>
      </c>
      <c r="JC45" s="97">
        <v>6334561</v>
      </c>
      <c r="JD45" s="97">
        <v>2904054</v>
      </c>
      <c r="JE45" s="97">
        <v>14973726</v>
      </c>
      <c r="JF45" s="97">
        <v>28537484</v>
      </c>
      <c r="JG45" s="97">
        <v>68109639</v>
      </c>
      <c r="JH45" s="97">
        <v>0</v>
      </c>
      <c r="JI45" s="97">
        <v>0</v>
      </c>
      <c r="JJ45" s="97">
        <v>0</v>
      </c>
      <c r="JK45" s="97">
        <v>0</v>
      </c>
      <c r="JL45" s="97">
        <v>0</v>
      </c>
      <c r="JM45" s="97">
        <v>0</v>
      </c>
      <c r="JN45" s="97">
        <v>15359814</v>
      </c>
      <c r="JO45" s="97">
        <v>6334561</v>
      </c>
      <c r="JP45" s="97">
        <v>2904054</v>
      </c>
      <c r="JQ45" s="97">
        <v>14973726</v>
      </c>
      <c r="JR45" s="97">
        <v>28537484</v>
      </c>
      <c r="JS45" s="97">
        <v>68109639</v>
      </c>
      <c r="JU45" s="5">
        <f t="shared" si="78"/>
        <v>13516377</v>
      </c>
      <c r="JV45" s="29">
        <f t="shared" si="79"/>
        <v>0</v>
      </c>
      <c r="JW45" s="5">
        <f t="shared" si="80"/>
        <v>11064475</v>
      </c>
      <c r="JX45" s="29">
        <f t="shared" si="81"/>
        <v>0</v>
      </c>
      <c r="JY45" s="5">
        <f t="shared" si="82"/>
        <v>1166600</v>
      </c>
      <c r="JZ45" s="29">
        <f t="shared" si="83"/>
        <v>0</v>
      </c>
      <c r="KA45" s="5">
        <f t="shared" si="84"/>
        <v>11530343</v>
      </c>
      <c r="KB45" s="29">
        <f t="shared" si="85"/>
        <v>0</v>
      </c>
      <c r="KC45" s="5">
        <f t="shared" si="86"/>
        <v>0</v>
      </c>
      <c r="KD45" s="29">
        <f t="shared" si="87"/>
        <v>0</v>
      </c>
      <c r="KE45" s="5">
        <f t="shared" si="88"/>
        <v>0</v>
      </c>
      <c r="KF45" s="29">
        <f t="shared" si="89"/>
        <v>0</v>
      </c>
      <c r="KG45" s="5">
        <f t="shared" si="90"/>
        <v>6179609</v>
      </c>
      <c r="KH45" s="29">
        <f t="shared" si="91"/>
        <v>0</v>
      </c>
      <c r="KI45" s="5">
        <f t="shared" si="92"/>
        <v>0</v>
      </c>
      <c r="KJ45" s="29">
        <f t="shared" si="93"/>
        <v>0</v>
      </c>
      <c r="KK45" s="5">
        <f t="shared" si="94"/>
        <v>15460129</v>
      </c>
      <c r="KL45" s="29">
        <f t="shared" si="95"/>
        <v>0</v>
      </c>
      <c r="KM45" s="5">
        <f t="shared" si="96"/>
        <v>0</v>
      </c>
      <c r="KN45" s="29">
        <f t="shared" si="97"/>
        <v>0</v>
      </c>
      <c r="KO45" s="5">
        <f t="shared" si="98"/>
        <v>1468638</v>
      </c>
      <c r="KP45" s="29">
        <f t="shared" si="99"/>
        <v>0</v>
      </c>
      <c r="KQ45" s="5">
        <f t="shared" si="100"/>
        <v>6849800</v>
      </c>
      <c r="KR45" s="29">
        <f t="shared" si="101"/>
        <v>0</v>
      </c>
      <c r="KS45" s="5">
        <f t="shared" si="102"/>
        <v>0</v>
      </c>
      <c r="KT45" s="29">
        <f t="shared" si="103"/>
        <v>0</v>
      </c>
      <c r="KU45" s="5">
        <f t="shared" si="104"/>
        <v>605184</v>
      </c>
      <c r="KV45" s="29">
        <f t="shared" si="105"/>
        <v>0</v>
      </c>
      <c r="KW45" s="5">
        <f t="shared" si="106"/>
        <v>301505</v>
      </c>
      <c r="KX45" s="29">
        <f t="shared" si="107"/>
        <v>0</v>
      </c>
      <c r="KY45" s="5">
        <f t="shared" si="108"/>
        <v>68142660</v>
      </c>
      <c r="KZ45" s="29">
        <f t="shared" si="109"/>
        <v>0</v>
      </c>
      <c r="LA45" s="5">
        <f t="shared" si="110"/>
        <v>11928744</v>
      </c>
      <c r="LB45" s="29">
        <f t="shared" si="111"/>
        <v>0</v>
      </c>
      <c r="LC45" s="5">
        <f t="shared" si="112"/>
        <v>1527780</v>
      </c>
      <c r="LD45" s="29">
        <f t="shared" si="113"/>
        <v>0</v>
      </c>
      <c r="LE45" s="5">
        <f t="shared" si="114"/>
        <v>14154825</v>
      </c>
      <c r="LF45" s="29">
        <f t="shared" si="115"/>
        <v>0</v>
      </c>
      <c r="LG45" s="5">
        <f t="shared" si="116"/>
        <v>0</v>
      </c>
      <c r="LH45" s="29">
        <f t="shared" si="117"/>
        <v>0</v>
      </c>
      <c r="LI45" s="5">
        <f t="shared" si="118"/>
        <v>11374815</v>
      </c>
      <c r="LJ45" s="29">
        <f t="shared" si="119"/>
        <v>0</v>
      </c>
      <c r="LK45" s="5">
        <f t="shared" si="120"/>
        <v>0</v>
      </c>
      <c r="LL45" s="29">
        <f t="shared" si="121"/>
        <v>0</v>
      </c>
      <c r="LM45" s="5">
        <f t="shared" si="122"/>
        <v>2532056</v>
      </c>
      <c r="LN45" s="29">
        <f t="shared" si="123"/>
        <v>0</v>
      </c>
      <c r="LO45" s="5">
        <f t="shared" si="124"/>
        <v>986107</v>
      </c>
      <c r="LP45" s="29">
        <f t="shared" si="125"/>
        <v>0</v>
      </c>
      <c r="LQ45" s="5">
        <f t="shared" si="126"/>
        <v>3452489</v>
      </c>
      <c r="LR45" s="29">
        <f t="shared" si="127"/>
        <v>0</v>
      </c>
      <c r="LS45" s="5">
        <f t="shared" si="128"/>
        <v>3452489</v>
      </c>
      <c r="LT45" s="29">
        <f t="shared" si="129"/>
        <v>0</v>
      </c>
      <c r="LU45" s="5">
        <f t="shared" si="130"/>
        <v>2089163</v>
      </c>
      <c r="LV45" s="29">
        <f t="shared" si="131"/>
        <v>0</v>
      </c>
      <c r="LW45" s="5">
        <f t="shared" si="132"/>
        <v>1361848</v>
      </c>
      <c r="LX45" s="29">
        <f t="shared" si="133"/>
        <v>0</v>
      </c>
      <c r="LY45" s="5">
        <f t="shared" si="134"/>
        <v>0</v>
      </c>
      <c r="LZ45" s="29">
        <f t="shared" si="135"/>
        <v>0</v>
      </c>
      <c r="MA45" s="5">
        <f t="shared" si="136"/>
        <v>11922781</v>
      </c>
      <c r="MB45" s="29">
        <f t="shared" si="137"/>
        <v>0</v>
      </c>
      <c r="MC45" s="5">
        <f t="shared" si="138"/>
        <v>189845</v>
      </c>
      <c r="MD45" s="29">
        <f t="shared" si="139"/>
        <v>0</v>
      </c>
      <c r="ME45" s="5">
        <f t="shared" si="140"/>
        <v>0</v>
      </c>
      <c r="MF45" s="29">
        <f t="shared" si="141"/>
        <v>0</v>
      </c>
      <c r="MG45" s="5">
        <f t="shared" si="142"/>
        <v>975730</v>
      </c>
      <c r="MH45" s="29">
        <f t="shared" si="143"/>
        <v>0</v>
      </c>
      <c r="MI45" s="5">
        <f t="shared" si="144"/>
        <v>81288</v>
      </c>
      <c r="MJ45" s="29">
        <f t="shared" si="145"/>
        <v>0</v>
      </c>
      <c r="MK45" s="5">
        <f t="shared" si="146"/>
        <v>4379365</v>
      </c>
      <c r="ML45" s="29">
        <f t="shared" si="147"/>
        <v>0</v>
      </c>
      <c r="MM45" s="5">
        <f t="shared" si="148"/>
        <v>68109639</v>
      </c>
      <c r="MN45" s="29">
        <f t="shared" si="149"/>
        <v>0</v>
      </c>
      <c r="MO45" s="5">
        <f t="shared" si="150"/>
        <v>0</v>
      </c>
      <c r="MP45" s="29">
        <f t="shared" si="151"/>
        <v>0</v>
      </c>
      <c r="MQ45" s="5">
        <f t="shared" si="152"/>
        <v>68109639</v>
      </c>
      <c r="MR45" s="29">
        <f t="shared" si="153"/>
        <v>0</v>
      </c>
      <c r="MT45" s="5">
        <f t="shared" si="76"/>
        <v>0</v>
      </c>
      <c r="MV45" s="4">
        <f t="shared" si="77"/>
        <v>0</v>
      </c>
    </row>
    <row r="46" spans="1:360" x14ac:dyDescent="0.15">
      <c r="A46" s="156" t="s">
        <v>335</v>
      </c>
      <c r="B46" s="28" t="s">
        <v>461</v>
      </c>
      <c r="C46" s="47">
        <v>188030</v>
      </c>
      <c r="D46" s="48">
        <v>2012</v>
      </c>
      <c r="E46" s="49">
        <v>1</v>
      </c>
      <c r="F46" s="49">
        <v>8</v>
      </c>
      <c r="G46" s="50">
        <v>8180</v>
      </c>
      <c r="H46" s="50">
        <v>7915</v>
      </c>
      <c r="I46" s="51">
        <v>427535820</v>
      </c>
      <c r="J46" s="51"/>
      <c r="K46" s="51">
        <v>112601</v>
      </c>
      <c r="L46" s="51"/>
      <c r="M46" s="51">
        <v>9973861</v>
      </c>
      <c r="N46" s="51"/>
      <c r="O46" s="51">
        <v>0</v>
      </c>
      <c r="P46" s="51"/>
      <c r="Q46" s="51">
        <v>103842305</v>
      </c>
      <c r="R46" s="51"/>
      <c r="S46" s="51">
        <v>348207306</v>
      </c>
      <c r="T46" s="51"/>
      <c r="U46" s="51">
        <v>16126</v>
      </c>
      <c r="V46" s="51"/>
      <c r="W46" s="51">
        <v>30832</v>
      </c>
      <c r="X46" s="51"/>
      <c r="Y46" s="51">
        <v>21816</v>
      </c>
      <c r="Z46" s="51"/>
      <c r="AA46" s="51">
        <v>36528</v>
      </c>
      <c r="AB46" s="51"/>
      <c r="AC46" s="72">
        <v>9</v>
      </c>
      <c r="AD46" s="72">
        <v>9</v>
      </c>
      <c r="AE46" s="72">
        <v>1</v>
      </c>
      <c r="AF46" s="29">
        <v>4553227</v>
      </c>
      <c r="AG46" s="29">
        <v>2835262</v>
      </c>
      <c r="AH46" s="29">
        <v>654224</v>
      </c>
      <c r="AI46" s="29">
        <v>230880</v>
      </c>
      <c r="AJ46" s="29">
        <v>424474.67</v>
      </c>
      <c r="AK46" s="73">
        <v>7.5</v>
      </c>
      <c r="AL46" s="29">
        <v>397945</v>
      </c>
      <c r="AM46" s="73">
        <v>8</v>
      </c>
      <c r="AN46" s="29">
        <v>123152.86</v>
      </c>
      <c r="AO46" s="73">
        <v>7</v>
      </c>
      <c r="AP46" s="29">
        <v>123152.86</v>
      </c>
      <c r="AQ46" s="73">
        <v>7</v>
      </c>
      <c r="AR46" s="29">
        <v>178070.88</v>
      </c>
      <c r="AS46" s="73">
        <v>17</v>
      </c>
      <c r="AT46" s="29">
        <v>168178.06</v>
      </c>
      <c r="AU46" s="73">
        <v>18</v>
      </c>
      <c r="AV46" s="29">
        <v>58884.52</v>
      </c>
      <c r="AW46" s="73">
        <v>11.5</v>
      </c>
      <c r="AX46" s="29">
        <v>56431</v>
      </c>
      <c r="AY46" s="73">
        <v>12</v>
      </c>
      <c r="AZ46" s="97">
        <v>2295531</v>
      </c>
      <c r="BA46" s="98">
        <v>5896387</v>
      </c>
      <c r="BB46" s="98">
        <v>39029</v>
      </c>
      <c r="BC46" s="98">
        <v>43986</v>
      </c>
      <c r="BD46" s="97">
        <v>0</v>
      </c>
      <c r="BE46" s="98">
        <v>8274933</v>
      </c>
      <c r="BF46" s="98">
        <v>0</v>
      </c>
      <c r="BG46" s="97">
        <v>0</v>
      </c>
      <c r="BH46" s="97">
        <v>0</v>
      </c>
      <c r="BI46" s="97">
        <v>0</v>
      </c>
      <c r="BJ46" s="97">
        <v>8606354</v>
      </c>
      <c r="BK46" s="98">
        <v>8606354</v>
      </c>
      <c r="BL46" s="98">
        <v>534484</v>
      </c>
      <c r="BM46" s="98">
        <v>91023</v>
      </c>
      <c r="BN46" s="98">
        <v>0</v>
      </c>
      <c r="BO46" s="98">
        <v>6000</v>
      </c>
      <c r="BP46" s="97">
        <v>0</v>
      </c>
      <c r="BQ46" s="97">
        <v>631507</v>
      </c>
      <c r="BR46" s="98">
        <v>490</v>
      </c>
      <c r="BS46" s="98">
        <v>17140</v>
      </c>
      <c r="BT46" s="98">
        <v>43404</v>
      </c>
      <c r="BU46" s="98">
        <v>176974</v>
      </c>
      <c r="BV46" s="97">
        <v>11440380</v>
      </c>
      <c r="BW46" s="98">
        <v>11678388</v>
      </c>
      <c r="BX46" s="98">
        <v>0</v>
      </c>
      <c r="BY46" s="97">
        <v>0</v>
      </c>
      <c r="BZ46" s="98">
        <v>0</v>
      </c>
      <c r="CA46" s="98">
        <v>0</v>
      </c>
      <c r="CB46" s="97">
        <v>0</v>
      </c>
      <c r="CC46" s="98">
        <v>0</v>
      </c>
      <c r="CD46" s="98">
        <v>0</v>
      </c>
      <c r="CE46" s="98">
        <v>0</v>
      </c>
      <c r="CF46" s="98">
        <v>0</v>
      </c>
      <c r="CG46" s="98">
        <v>0</v>
      </c>
      <c r="CH46" s="97">
        <v>0</v>
      </c>
      <c r="CI46" s="97">
        <v>0</v>
      </c>
      <c r="CJ46" s="98">
        <v>0</v>
      </c>
      <c r="CK46" s="98">
        <v>0</v>
      </c>
      <c r="CL46" s="98">
        <v>0</v>
      </c>
      <c r="CM46" s="98">
        <v>0</v>
      </c>
      <c r="CN46" s="97">
        <v>6952674</v>
      </c>
      <c r="CO46" s="97">
        <v>6952674</v>
      </c>
      <c r="CP46" s="98">
        <v>0</v>
      </c>
      <c r="CQ46" s="97">
        <v>0</v>
      </c>
      <c r="CR46" s="97">
        <v>0</v>
      </c>
      <c r="CS46" s="97">
        <v>0</v>
      </c>
      <c r="CT46" s="97">
        <v>3274717</v>
      </c>
      <c r="CU46" s="97">
        <v>3274717</v>
      </c>
      <c r="CV46" s="97">
        <v>99937</v>
      </c>
      <c r="CW46" s="98">
        <v>700352</v>
      </c>
      <c r="CX46" s="98">
        <v>0</v>
      </c>
      <c r="CY46" s="97">
        <v>0</v>
      </c>
      <c r="CZ46" s="97">
        <v>1016516</v>
      </c>
      <c r="DA46" s="97">
        <v>1816805</v>
      </c>
      <c r="DB46" s="97">
        <v>300000</v>
      </c>
      <c r="DC46" s="97">
        <v>833802</v>
      </c>
      <c r="DD46" s="98">
        <v>0</v>
      </c>
      <c r="DE46" s="97">
        <v>0</v>
      </c>
      <c r="DF46" s="97">
        <v>0</v>
      </c>
      <c r="DG46" s="97">
        <v>1133802</v>
      </c>
      <c r="DH46" s="97">
        <v>49105</v>
      </c>
      <c r="DI46" s="97">
        <v>335305</v>
      </c>
      <c r="DJ46" s="98">
        <v>2300</v>
      </c>
      <c r="DK46" s="98">
        <v>120</v>
      </c>
      <c r="DL46" s="98">
        <v>11810</v>
      </c>
      <c r="DM46" s="98">
        <v>398640</v>
      </c>
      <c r="DN46" s="97">
        <v>0</v>
      </c>
      <c r="DO46" s="98">
        <v>800000</v>
      </c>
      <c r="DP46" s="98">
        <v>0</v>
      </c>
      <c r="DQ46" s="97">
        <v>0</v>
      </c>
      <c r="DR46" s="97">
        <v>1892632</v>
      </c>
      <c r="DS46" s="97">
        <v>2692632</v>
      </c>
      <c r="DT46" s="98">
        <v>0</v>
      </c>
      <c r="DU46" s="98">
        <v>0</v>
      </c>
      <c r="DV46" s="97">
        <v>0</v>
      </c>
      <c r="DW46" s="98">
        <v>0</v>
      </c>
      <c r="DX46" s="97">
        <v>0</v>
      </c>
      <c r="DY46" s="97">
        <v>0</v>
      </c>
      <c r="DZ46" s="98">
        <v>0</v>
      </c>
      <c r="EA46" s="97">
        <v>0</v>
      </c>
      <c r="EB46" s="98">
        <v>21</v>
      </c>
      <c r="EC46" s="97">
        <v>345</v>
      </c>
      <c r="ED46" s="97">
        <v>382</v>
      </c>
      <c r="EE46" s="98">
        <v>748</v>
      </c>
      <c r="EF46" s="98">
        <v>0</v>
      </c>
      <c r="EG46" s="97">
        <v>0</v>
      </c>
      <c r="EH46" s="98">
        <v>109</v>
      </c>
      <c r="EI46" s="97">
        <v>13511</v>
      </c>
      <c r="EJ46" s="97">
        <v>1308683</v>
      </c>
      <c r="EK46" s="98">
        <v>1322303</v>
      </c>
      <c r="EL46" s="98">
        <v>3279547</v>
      </c>
      <c r="EM46" s="98">
        <v>8674009</v>
      </c>
      <c r="EN46" s="98">
        <v>84863</v>
      </c>
      <c r="EO46" s="98">
        <v>240936</v>
      </c>
      <c r="EP46" s="97">
        <v>34504148</v>
      </c>
      <c r="EQ46" s="98">
        <v>46783503</v>
      </c>
      <c r="ER46" s="98">
        <v>2773551</v>
      </c>
      <c r="ES46" s="98">
        <v>590971</v>
      </c>
      <c r="ET46" s="98">
        <v>478333</v>
      </c>
      <c r="EU46" s="98">
        <v>3640589</v>
      </c>
      <c r="EV46" s="97">
        <v>603421</v>
      </c>
      <c r="EW46" s="97">
        <v>8086865</v>
      </c>
      <c r="EX46" s="98">
        <v>400000</v>
      </c>
      <c r="EY46" s="98">
        <v>769235</v>
      </c>
      <c r="EZ46" s="98">
        <v>43000</v>
      </c>
      <c r="FA46" s="98">
        <v>7562</v>
      </c>
      <c r="FB46" s="97">
        <v>0</v>
      </c>
      <c r="FC46" s="97">
        <v>1219797</v>
      </c>
      <c r="FD46" s="98">
        <v>2886853</v>
      </c>
      <c r="FE46" s="98">
        <v>2552023</v>
      </c>
      <c r="FF46" s="98">
        <v>632999</v>
      </c>
      <c r="FG46" s="97">
        <v>1678132</v>
      </c>
      <c r="FH46" s="97">
        <v>0</v>
      </c>
      <c r="FI46" s="97">
        <v>7750007</v>
      </c>
      <c r="FJ46" s="98">
        <v>0</v>
      </c>
      <c r="FK46" s="98">
        <v>0</v>
      </c>
      <c r="FL46" s="98">
        <v>0</v>
      </c>
      <c r="FM46" s="98">
        <v>0</v>
      </c>
      <c r="FN46" s="97">
        <v>0</v>
      </c>
      <c r="FO46" s="97">
        <v>0</v>
      </c>
      <c r="FP46" s="98">
        <v>547864</v>
      </c>
      <c r="FQ46" s="98">
        <v>344964</v>
      </c>
      <c r="FR46" s="98">
        <v>198406</v>
      </c>
      <c r="FS46" s="97">
        <v>180003</v>
      </c>
      <c r="FT46" s="97">
        <v>4813304</v>
      </c>
      <c r="FU46" s="98">
        <v>6084541</v>
      </c>
      <c r="FV46" s="98">
        <v>0</v>
      </c>
      <c r="FW46" s="97">
        <v>0</v>
      </c>
      <c r="FX46" s="97">
        <v>0</v>
      </c>
      <c r="FY46" s="97">
        <v>0</v>
      </c>
      <c r="FZ46" s="97">
        <v>0</v>
      </c>
      <c r="GA46" s="98">
        <v>0</v>
      </c>
      <c r="GB46" s="98">
        <v>2269181</v>
      </c>
      <c r="GC46" s="97">
        <v>0</v>
      </c>
      <c r="GD46" s="97">
        <v>0</v>
      </c>
      <c r="GE46" s="97">
        <v>0</v>
      </c>
      <c r="GF46" s="97">
        <v>318597</v>
      </c>
      <c r="GG46" s="97">
        <v>2587778</v>
      </c>
      <c r="GH46" s="97">
        <v>362729</v>
      </c>
      <c r="GI46" s="98">
        <v>209270</v>
      </c>
      <c r="GJ46" s="98">
        <v>122650</v>
      </c>
      <c r="GK46" s="98">
        <v>192630</v>
      </c>
      <c r="GL46" s="97">
        <v>0</v>
      </c>
      <c r="GM46" s="97">
        <v>887279</v>
      </c>
      <c r="GN46" s="98">
        <v>1225745</v>
      </c>
      <c r="GO46" s="98">
        <v>663721</v>
      </c>
      <c r="GP46" s="98">
        <v>445086</v>
      </c>
      <c r="GQ46" s="98">
        <v>1334193</v>
      </c>
      <c r="GR46" s="97">
        <v>0</v>
      </c>
      <c r="GS46" s="97">
        <v>3668745</v>
      </c>
      <c r="GT46" s="98">
        <v>377471</v>
      </c>
      <c r="GU46" s="98">
        <v>524228</v>
      </c>
      <c r="GV46" s="98">
        <v>9942</v>
      </c>
      <c r="GW46" s="98">
        <v>972355</v>
      </c>
      <c r="GX46" s="97">
        <v>123925</v>
      </c>
      <c r="GY46" s="98">
        <v>2007921</v>
      </c>
      <c r="GZ46" s="98">
        <v>801601</v>
      </c>
      <c r="HA46" s="98">
        <v>676485</v>
      </c>
      <c r="HB46" s="98">
        <v>80314</v>
      </c>
      <c r="HC46" s="98">
        <v>107683</v>
      </c>
      <c r="HD46" s="97">
        <v>0</v>
      </c>
      <c r="HE46" s="97">
        <v>1666083</v>
      </c>
      <c r="HF46" s="98">
        <v>0</v>
      </c>
      <c r="HG46" s="98">
        <v>0</v>
      </c>
      <c r="HH46" s="98">
        <v>0</v>
      </c>
      <c r="HI46" s="98">
        <v>0</v>
      </c>
      <c r="HJ46" s="97">
        <v>1565339</v>
      </c>
      <c r="HK46" s="98">
        <v>1565339</v>
      </c>
      <c r="HL46" s="98">
        <v>0</v>
      </c>
      <c r="HM46" s="98">
        <v>0</v>
      </c>
      <c r="HN46" s="97">
        <v>0</v>
      </c>
      <c r="HO46" s="98">
        <v>0</v>
      </c>
      <c r="HP46" s="97">
        <v>0</v>
      </c>
      <c r="HQ46" s="97">
        <v>0</v>
      </c>
      <c r="HR46" s="98">
        <v>580888</v>
      </c>
      <c r="HS46" s="98">
        <v>868899</v>
      </c>
      <c r="HT46" s="98">
        <v>13195</v>
      </c>
      <c r="HU46" s="98">
        <v>167246</v>
      </c>
      <c r="HV46" s="97">
        <v>138868</v>
      </c>
      <c r="HW46" s="98">
        <v>1769096</v>
      </c>
      <c r="HX46" s="98">
        <v>0</v>
      </c>
      <c r="HY46" s="97">
        <v>0</v>
      </c>
      <c r="HZ46" s="97">
        <v>0</v>
      </c>
      <c r="IA46" s="97">
        <v>0</v>
      </c>
      <c r="IB46" s="97">
        <v>208204</v>
      </c>
      <c r="IC46" s="97">
        <v>208204</v>
      </c>
      <c r="ID46" s="97">
        <v>0</v>
      </c>
      <c r="IE46" s="97">
        <v>0</v>
      </c>
      <c r="IF46" s="97">
        <v>0</v>
      </c>
      <c r="IG46" s="97">
        <v>0</v>
      </c>
      <c r="IH46" s="97">
        <v>3274717</v>
      </c>
      <c r="II46" s="97">
        <v>3274717</v>
      </c>
      <c r="IJ46" s="98">
        <v>119023</v>
      </c>
      <c r="IK46" s="98">
        <v>14127</v>
      </c>
      <c r="IL46" s="98">
        <v>13317</v>
      </c>
      <c r="IM46" s="98">
        <v>119009</v>
      </c>
      <c r="IN46" s="97">
        <v>1046937</v>
      </c>
      <c r="IO46" s="97">
        <v>1312413</v>
      </c>
      <c r="IP46" s="97">
        <v>3499</v>
      </c>
      <c r="IQ46" s="97">
        <v>4100</v>
      </c>
      <c r="IR46" s="98">
        <v>2400</v>
      </c>
      <c r="IS46" s="98">
        <v>6270</v>
      </c>
      <c r="IT46" s="97">
        <v>327290</v>
      </c>
      <c r="IU46" s="98">
        <v>343559</v>
      </c>
      <c r="IV46" s="98">
        <v>592759</v>
      </c>
      <c r="IW46" s="98">
        <v>297963</v>
      </c>
      <c r="IX46" s="98">
        <v>575267</v>
      </c>
      <c r="IY46" s="98">
        <v>223344</v>
      </c>
      <c r="IZ46" s="97">
        <v>2664467</v>
      </c>
      <c r="JA46" s="97">
        <v>4353800</v>
      </c>
      <c r="JB46" s="98">
        <v>12941164</v>
      </c>
      <c r="JC46" s="98">
        <v>7515986</v>
      </c>
      <c r="JD46" s="98">
        <v>2614909</v>
      </c>
      <c r="JE46" s="98">
        <v>8629016</v>
      </c>
      <c r="JF46" s="97">
        <v>15085069</v>
      </c>
      <c r="JG46" s="98">
        <v>46786144</v>
      </c>
      <c r="JH46" s="98">
        <v>0</v>
      </c>
      <c r="JI46" s="97">
        <v>0</v>
      </c>
      <c r="JJ46" s="97">
        <v>0</v>
      </c>
      <c r="JK46" s="97">
        <v>0</v>
      </c>
      <c r="JL46" s="97">
        <v>0</v>
      </c>
      <c r="JM46" s="97">
        <v>0</v>
      </c>
      <c r="JN46" s="97">
        <v>12941164</v>
      </c>
      <c r="JO46" s="98">
        <v>7515986</v>
      </c>
      <c r="JP46" s="98">
        <v>2614909</v>
      </c>
      <c r="JQ46" s="98">
        <v>8629016</v>
      </c>
      <c r="JR46" s="97">
        <v>15085069</v>
      </c>
      <c r="JS46" s="98">
        <v>46786144</v>
      </c>
      <c r="JU46" s="5">
        <f t="shared" si="78"/>
        <v>8274933</v>
      </c>
      <c r="JV46" s="29">
        <f t="shared" si="79"/>
        <v>0</v>
      </c>
      <c r="JW46" s="5">
        <f t="shared" si="80"/>
        <v>8606354</v>
      </c>
      <c r="JX46" s="29">
        <f t="shared" si="81"/>
        <v>0</v>
      </c>
      <c r="JY46" s="5">
        <f t="shared" si="82"/>
        <v>631507</v>
      </c>
      <c r="JZ46" s="29">
        <f t="shared" si="83"/>
        <v>0</v>
      </c>
      <c r="KA46" s="5">
        <f t="shared" si="84"/>
        <v>11678388</v>
      </c>
      <c r="KB46" s="29">
        <f t="shared" si="85"/>
        <v>0</v>
      </c>
      <c r="KC46" s="5">
        <f t="shared" si="86"/>
        <v>0</v>
      </c>
      <c r="KD46" s="29">
        <f t="shared" si="87"/>
        <v>0</v>
      </c>
      <c r="KE46" s="5">
        <f t="shared" si="88"/>
        <v>0</v>
      </c>
      <c r="KF46" s="29">
        <f t="shared" si="89"/>
        <v>0</v>
      </c>
      <c r="KG46" s="5">
        <f t="shared" si="90"/>
        <v>6952674</v>
      </c>
      <c r="KH46" s="29">
        <f t="shared" si="91"/>
        <v>0</v>
      </c>
      <c r="KI46" s="5">
        <f t="shared" si="92"/>
        <v>3274717</v>
      </c>
      <c r="KJ46" s="29">
        <f t="shared" si="93"/>
        <v>0</v>
      </c>
      <c r="KK46" s="5">
        <f t="shared" si="94"/>
        <v>1816805</v>
      </c>
      <c r="KL46" s="29">
        <f t="shared" si="95"/>
        <v>0</v>
      </c>
      <c r="KM46" s="5">
        <f t="shared" si="96"/>
        <v>1133802</v>
      </c>
      <c r="KN46" s="29">
        <f t="shared" si="97"/>
        <v>0</v>
      </c>
      <c r="KO46" s="5">
        <f t="shared" si="98"/>
        <v>398640</v>
      </c>
      <c r="KP46" s="29">
        <f t="shared" si="99"/>
        <v>0</v>
      </c>
      <c r="KQ46" s="5">
        <f t="shared" si="100"/>
        <v>2692632</v>
      </c>
      <c r="KR46" s="29">
        <f t="shared" si="101"/>
        <v>0</v>
      </c>
      <c r="KS46" s="5">
        <f t="shared" si="102"/>
        <v>0</v>
      </c>
      <c r="KT46" s="29">
        <f t="shared" si="103"/>
        <v>0</v>
      </c>
      <c r="KU46" s="5">
        <f t="shared" si="104"/>
        <v>748</v>
      </c>
      <c r="KV46" s="29">
        <f t="shared" si="105"/>
        <v>0</v>
      </c>
      <c r="KW46" s="5">
        <f t="shared" si="106"/>
        <v>1322303</v>
      </c>
      <c r="KX46" s="29">
        <f t="shared" si="107"/>
        <v>0</v>
      </c>
      <c r="KY46" s="5">
        <f t="shared" si="108"/>
        <v>46783503</v>
      </c>
      <c r="KZ46" s="29">
        <f t="shared" si="109"/>
        <v>0</v>
      </c>
      <c r="LA46" s="5">
        <f t="shared" si="110"/>
        <v>8086865</v>
      </c>
      <c r="LB46" s="29">
        <f t="shared" si="111"/>
        <v>0</v>
      </c>
      <c r="LC46" s="5">
        <f t="shared" si="112"/>
        <v>1219797</v>
      </c>
      <c r="LD46" s="29">
        <f t="shared" si="113"/>
        <v>0</v>
      </c>
      <c r="LE46" s="5">
        <f t="shared" si="114"/>
        <v>7750007</v>
      </c>
      <c r="LF46" s="29">
        <f t="shared" si="115"/>
        <v>0</v>
      </c>
      <c r="LG46" s="5">
        <f t="shared" si="116"/>
        <v>0</v>
      </c>
      <c r="LH46" s="29">
        <f t="shared" si="117"/>
        <v>0</v>
      </c>
      <c r="LI46" s="5">
        <f t="shared" si="118"/>
        <v>6084541</v>
      </c>
      <c r="LJ46" s="29">
        <f t="shared" si="119"/>
        <v>0</v>
      </c>
      <c r="LK46" s="5">
        <f t="shared" si="120"/>
        <v>0</v>
      </c>
      <c r="LL46" s="29">
        <f t="shared" si="121"/>
        <v>0</v>
      </c>
      <c r="LM46" s="5">
        <f t="shared" si="122"/>
        <v>2587778</v>
      </c>
      <c r="LN46" s="29">
        <f t="shared" si="123"/>
        <v>0</v>
      </c>
      <c r="LO46" s="5">
        <f t="shared" si="124"/>
        <v>887279</v>
      </c>
      <c r="LP46" s="29">
        <f t="shared" si="125"/>
        <v>0</v>
      </c>
      <c r="LQ46" s="5">
        <f t="shared" si="126"/>
        <v>3668745</v>
      </c>
      <c r="LR46" s="29">
        <f t="shared" si="127"/>
        <v>0</v>
      </c>
      <c r="LS46" s="5">
        <f t="shared" si="128"/>
        <v>2007921</v>
      </c>
      <c r="LT46" s="29">
        <f t="shared" si="129"/>
        <v>0</v>
      </c>
      <c r="LU46" s="5">
        <f t="shared" si="130"/>
        <v>1666083</v>
      </c>
      <c r="LV46" s="29">
        <f t="shared" si="131"/>
        <v>0</v>
      </c>
      <c r="LW46" s="5">
        <f t="shared" si="132"/>
        <v>1565339</v>
      </c>
      <c r="LX46" s="29">
        <f t="shared" si="133"/>
        <v>0</v>
      </c>
      <c r="LY46" s="5">
        <f t="shared" si="134"/>
        <v>0</v>
      </c>
      <c r="LZ46" s="29">
        <f t="shared" si="135"/>
        <v>0</v>
      </c>
      <c r="MA46" s="5">
        <f t="shared" si="136"/>
        <v>1769096</v>
      </c>
      <c r="MB46" s="29">
        <f t="shared" si="137"/>
        <v>0</v>
      </c>
      <c r="MC46" s="5">
        <f t="shared" si="138"/>
        <v>208204</v>
      </c>
      <c r="MD46" s="29">
        <f t="shared" si="139"/>
        <v>0</v>
      </c>
      <c r="ME46" s="5">
        <f t="shared" si="140"/>
        <v>3274717</v>
      </c>
      <c r="MF46" s="29">
        <f t="shared" si="141"/>
        <v>0</v>
      </c>
      <c r="MG46" s="5">
        <f t="shared" si="142"/>
        <v>1312413</v>
      </c>
      <c r="MH46" s="29">
        <f t="shared" si="143"/>
        <v>0</v>
      </c>
      <c r="MI46" s="5">
        <f t="shared" si="144"/>
        <v>343559</v>
      </c>
      <c r="MJ46" s="29">
        <f t="shared" si="145"/>
        <v>0</v>
      </c>
      <c r="MK46" s="5">
        <f t="shared" si="146"/>
        <v>4353800</v>
      </c>
      <c r="ML46" s="29">
        <f t="shared" si="147"/>
        <v>0</v>
      </c>
      <c r="MM46" s="5">
        <f t="shared" si="148"/>
        <v>46786144</v>
      </c>
      <c r="MN46" s="29">
        <f t="shared" si="149"/>
        <v>0</v>
      </c>
      <c r="MO46" s="5">
        <f t="shared" si="150"/>
        <v>0</v>
      </c>
      <c r="MP46" s="29">
        <f t="shared" si="151"/>
        <v>0</v>
      </c>
      <c r="MQ46" s="5">
        <f t="shared" si="152"/>
        <v>46786144</v>
      </c>
      <c r="MR46" s="29">
        <f t="shared" si="153"/>
        <v>0</v>
      </c>
      <c r="MT46" s="5">
        <f t="shared" si="76"/>
        <v>0</v>
      </c>
      <c r="MV46" s="4">
        <f t="shared" si="77"/>
        <v>0</v>
      </c>
    </row>
    <row r="47" spans="1:360" x14ac:dyDescent="0.15">
      <c r="A47" s="159" t="s">
        <v>336</v>
      </c>
      <c r="B47" s="28" t="s">
        <v>466</v>
      </c>
      <c r="C47" s="47">
        <v>204024</v>
      </c>
      <c r="D47" s="48">
        <v>2012</v>
      </c>
      <c r="E47" s="49">
        <v>1</v>
      </c>
      <c r="F47" s="49">
        <v>9</v>
      </c>
      <c r="G47" s="50">
        <v>6915</v>
      </c>
      <c r="H47" s="50">
        <v>7567</v>
      </c>
      <c r="I47" s="51">
        <v>447994053</v>
      </c>
      <c r="J47" s="51"/>
      <c r="K47" s="51">
        <v>2393983</v>
      </c>
      <c r="L47" s="51"/>
      <c r="M47" s="51">
        <v>38611631</v>
      </c>
      <c r="N47" s="51"/>
      <c r="O47" s="51">
        <v>23625404</v>
      </c>
      <c r="P47" s="51"/>
      <c r="Q47" s="51">
        <v>444404649</v>
      </c>
      <c r="R47" s="51"/>
      <c r="S47" s="52"/>
      <c r="T47" s="52"/>
      <c r="U47" s="63">
        <v>25393</v>
      </c>
      <c r="V47" s="52"/>
      <c r="W47" s="63">
        <v>40565</v>
      </c>
      <c r="X47" s="52"/>
      <c r="Y47" s="63">
        <v>32836</v>
      </c>
      <c r="Z47" s="52"/>
      <c r="AA47" s="63">
        <v>48008</v>
      </c>
      <c r="AB47" s="49"/>
      <c r="AC47" s="72">
        <v>8</v>
      </c>
      <c r="AD47" s="72">
        <v>11</v>
      </c>
      <c r="AE47" s="72">
        <v>0</v>
      </c>
      <c r="AF47" s="29">
        <v>5141886</v>
      </c>
      <c r="AG47" s="29">
        <v>3661649</v>
      </c>
      <c r="AH47" s="29">
        <v>371976</v>
      </c>
      <c r="AI47" s="29">
        <v>147847</v>
      </c>
      <c r="AJ47" s="29">
        <v>245556.71</v>
      </c>
      <c r="AK47" s="73">
        <v>7</v>
      </c>
      <c r="AL47" s="29">
        <v>245556.71</v>
      </c>
      <c r="AM47" s="73">
        <v>7</v>
      </c>
      <c r="AN47" s="29">
        <v>104461.89</v>
      </c>
      <c r="AO47" s="73">
        <v>9</v>
      </c>
      <c r="AP47" s="29">
        <v>104461.89</v>
      </c>
      <c r="AQ47" s="73">
        <v>9</v>
      </c>
      <c r="AR47" s="29">
        <v>105403.44</v>
      </c>
      <c r="AS47" s="73">
        <v>19.5</v>
      </c>
      <c r="AT47" s="29">
        <v>102768.35</v>
      </c>
      <c r="AU47" s="73">
        <v>20</v>
      </c>
      <c r="AV47" s="29">
        <v>51562.06</v>
      </c>
      <c r="AW47" s="73">
        <v>17</v>
      </c>
      <c r="AX47" s="29">
        <v>51562.06</v>
      </c>
      <c r="AY47" s="73">
        <v>17</v>
      </c>
      <c r="AZ47" s="97">
        <v>576409</v>
      </c>
      <c r="BA47" s="97">
        <v>167864</v>
      </c>
      <c r="BB47" s="97">
        <v>9252</v>
      </c>
      <c r="BC47" s="97">
        <v>578204</v>
      </c>
      <c r="BD47" s="97">
        <v>126</v>
      </c>
      <c r="BE47" s="97">
        <v>1331855</v>
      </c>
      <c r="BF47" s="97">
        <v>3245771</v>
      </c>
      <c r="BG47" s="97">
        <v>931716</v>
      </c>
      <c r="BH47" s="97">
        <v>1299982</v>
      </c>
      <c r="BI47" s="97">
        <v>7562893</v>
      </c>
      <c r="BJ47" s="97">
        <v>1509482</v>
      </c>
      <c r="BK47" s="97">
        <v>14549844</v>
      </c>
      <c r="BL47" s="97">
        <v>800000</v>
      </c>
      <c r="BM47" s="97">
        <v>222000</v>
      </c>
      <c r="BN47" s="97">
        <v>0</v>
      </c>
      <c r="BO47" s="97">
        <v>8800</v>
      </c>
      <c r="BP47" s="97">
        <v>0</v>
      </c>
      <c r="BQ47" s="97">
        <v>1030800</v>
      </c>
      <c r="BR47" s="97">
        <v>325270</v>
      </c>
      <c r="BS47" s="97">
        <v>92498</v>
      </c>
      <c r="BT47" s="97">
        <v>32137</v>
      </c>
      <c r="BU47" s="97">
        <v>321365</v>
      </c>
      <c r="BV47" s="97">
        <v>772488</v>
      </c>
      <c r="BW47" s="97">
        <v>1543758</v>
      </c>
      <c r="BX47" s="97">
        <v>0</v>
      </c>
      <c r="BY47" s="97">
        <v>0</v>
      </c>
      <c r="BZ47" s="97">
        <v>0</v>
      </c>
      <c r="CA47" s="97">
        <v>0</v>
      </c>
      <c r="CB47" s="97">
        <v>0</v>
      </c>
      <c r="CC47" s="97">
        <v>0</v>
      </c>
      <c r="CD47" s="97">
        <v>300</v>
      </c>
      <c r="CE47" s="97">
        <v>0</v>
      </c>
      <c r="CF47" s="97">
        <v>0</v>
      </c>
      <c r="CG47" s="97">
        <v>0</v>
      </c>
      <c r="CH47" s="97">
        <v>6157</v>
      </c>
      <c r="CI47" s="97">
        <v>6457</v>
      </c>
      <c r="CJ47" s="97">
        <v>1031765</v>
      </c>
      <c r="CK47" s="97">
        <v>79880</v>
      </c>
      <c r="CL47" s="97">
        <v>137123</v>
      </c>
      <c r="CM47" s="97">
        <v>2059499</v>
      </c>
      <c r="CN47" s="97">
        <v>2094812</v>
      </c>
      <c r="CO47" s="97">
        <v>5403079</v>
      </c>
      <c r="CP47" s="97">
        <v>0</v>
      </c>
      <c r="CQ47" s="97">
        <v>0</v>
      </c>
      <c r="CR47" s="97">
        <v>0</v>
      </c>
      <c r="CS47" s="97">
        <v>0</v>
      </c>
      <c r="CT47" s="97">
        <v>24970</v>
      </c>
      <c r="CU47" s="97">
        <v>24970</v>
      </c>
      <c r="CV47" s="97">
        <v>0</v>
      </c>
      <c r="CW47" s="97">
        <v>111786</v>
      </c>
      <c r="CX47" s="97">
        <v>0</v>
      </c>
      <c r="CY47" s="97">
        <v>5322</v>
      </c>
      <c r="CZ47" s="97">
        <v>1382356</v>
      </c>
      <c r="DA47" s="97">
        <v>1499464</v>
      </c>
      <c r="DB47" s="97">
        <v>0</v>
      </c>
      <c r="DC47" s="97">
        <v>0</v>
      </c>
      <c r="DD47" s="97">
        <v>0</v>
      </c>
      <c r="DE47" s="97">
        <v>0</v>
      </c>
      <c r="DF47" s="97">
        <v>0</v>
      </c>
      <c r="DG47" s="97">
        <v>0</v>
      </c>
      <c r="DH47" s="97">
        <v>89755</v>
      </c>
      <c r="DI47" s="97">
        <v>18753</v>
      </c>
      <c r="DJ47" s="97">
        <v>0</v>
      </c>
      <c r="DK47" s="97">
        <v>12425</v>
      </c>
      <c r="DL47" s="97">
        <v>66072</v>
      </c>
      <c r="DM47" s="97">
        <v>187005</v>
      </c>
      <c r="DN47" s="97">
        <v>0</v>
      </c>
      <c r="DO47" s="97">
        <v>0</v>
      </c>
      <c r="DP47" s="97">
        <v>0</v>
      </c>
      <c r="DQ47" s="97">
        <v>0</v>
      </c>
      <c r="DR47" s="97">
        <v>589349</v>
      </c>
      <c r="DS47" s="97">
        <v>589349</v>
      </c>
      <c r="DT47" s="97">
        <v>0</v>
      </c>
      <c r="DU47" s="97">
        <v>0</v>
      </c>
      <c r="DV47" s="97">
        <v>0</v>
      </c>
      <c r="DW47" s="97">
        <v>0</v>
      </c>
      <c r="DX47" s="97">
        <v>832516</v>
      </c>
      <c r="DY47" s="97">
        <v>832516</v>
      </c>
      <c r="DZ47" s="97">
        <v>310921</v>
      </c>
      <c r="EA47" s="97">
        <v>14808</v>
      </c>
      <c r="EB47" s="97">
        <v>55</v>
      </c>
      <c r="EC47" s="97">
        <v>82196</v>
      </c>
      <c r="ED47" s="97">
        <v>308955</v>
      </c>
      <c r="EE47" s="97">
        <v>716935</v>
      </c>
      <c r="EF47" s="97">
        <v>8241</v>
      </c>
      <c r="EG47" s="97">
        <v>34848</v>
      </c>
      <c r="EH47" s="97">
        <v>215</v>
      </c>
      <c r="EI47" s="97">
        <v>74028</v>
      </c>
      <c r="EJ47" s="97">
        <v>288119</v>
      </c>
      <c r="EK47" s="97">
        <v>405451</v>
      </c>
      <c r="EL47" s="97">
        <v>6388432</v>
      </c>
      <c r="EM47" s="97">
        <v>1674153</v>
      </c>
      <c r="EN47" s="97">
        <v>1478764</v>
      </c>
      <c r="EO47" s="97">
        <v>10704732</v>
      </c>
      <c r="EP47" s="97">
        <v>7875402</v>
      </c>
      <c r="EQ47" s="97">
        <v>28121483</v>
      </c>
      <c r="ER47" s="97">
        <v>2883120</v>
      </c>
      <c r="ES47" s="97">
        <v>406911</v>
      </c>
      <c r="ET47" s="97">
        <v>523865</v>
      </c>
      <c r="EU47" s="97">
        <v>4989639</v>
      </c>
      <c r="EV47" s="97">
        <v>607709</v>
      </c>
      <c r="EW47" s="97">
        <v>9411244</v>
      </c>
      <c r="EX47" s="97">
        <v>190000</v>
      </c>
      <c r="EY47" s="97">
        <v>7500</v>
      </c>
      <c r="EZ47" s="97">
        <v>3000</v>
      </c>
      <c r="FA47" s="97">
        <v>6000</v>
      </c>
      <c r="FB47" s="97">
        <v>0</v>
      </c>
      <c r="FC47" s="97">
        <v>206500</v>
      </c>
      <c r="FD47" s="97">
        <v>1735012</v>
      </c>
      <c r="FE47" s="97">
        <v>662103</v>
      </c>
      <c r="FF47" s="97">
        <v>458887</v>
      </c>
      <c r="FG47" s="97">
        <v>2734974</v>
      </c>
      <c r="FH47" s="97">
        <v>0</v>
      </c>
      <c r="FI47" s="97">
        <v>5590976</v>
      </c>
      <c r="FJ47" s="97">
        <v>0</v>
      </c>
      <c r="FK47" s="97">
        <v>0</v>
      </c>
      <c r="FL47" s="97">
        <v>0</v>
      </c>
      <c r="FM47" s="97">
        <v>0</v>
      </c>
      <c r="FN47" s="97">
        <v>0</v>
      </c>
      <c r="FO47" s="97">
        <v>0</v>
      </c>
      <c r="FP47" s="97">
        <v>268250</v>
      </c>
      <c r="FQ47" s="97">
        <v>10141</v>
      </c>
      <c r="FR47" s="97">
        <v>63036</v>
      </c>
      <c r="FS47" s="97">
        <v>102854</v>
      </c>
      <c r="FT47" s="97">
        <v>3737092</v>
      </c>
      <c r="FU47" s="97">
        <v>4181373</v>
      </c>
      <c r="FV47" s="97">
        <v>0</v>
      </c>
      <c r="FW47" s="97">
        <v>0</v>
      </c>
      <c r="FX47" s="97">
        <v>0</v>
      </c>
      <c r="FY47" s="97">
        <v>0</v>
      </c>
      <c r="FZ47" s="97">
        <v>0</v>
      </c>
      <c r="GA47" s="97">
        <v>0</v>
      </c>
      <c r="GB47" s="97">
        <v>0</v>
      </c>
      <c r="GC47" s="97">
        <v>0</v>
      </c>
      <c r="GD47" s="97">
        <v>0</v>
      </c>
      <c r="GE47" s="97">
        <v>0</v>
      </c>
      <c r="GF47" s="97">
        <v>0</v>
      </c>
      <c r="GG47" s="97">
        <v>0</v>
      </c>
      <c r="GH47" s="97">
        <v>231755</v>
      </c>
      <c r="GI47" s="97">
        <v>47406</v>
      </c>
      <c r="GJ47" s="97">
        <v>39728</v>
      </c>
      <c r="GK47" s="97">
        <v>200934</v>
      </c>
      <c r="GL47" s="97">
        <v>67147</v>
      </c>
      <c r="GM47" s="97">
        <v>586970</v>
      </c>
      <c r="GN47" s="97">
        <v>306920</v>
      </c>
      <c r="GO47" s="97">
        <v>124394</v>
      </c>
      <c r="GP47" s="97">
        <v>197549</v>
      </c>
      <c r="GQ47" s="97">
        <v>1131538</v>
      </c>
      <c r="GR47" s="97">
        <v>417857</v>
      </c>
      <c r="GS47" s="97">
        <v>2178258</v>
      </c>
      <c r="GT47" s="97">
        <v>64878</v>
      </c>
      <c r="GU47" s="97">
        <v>52293</v>
      </c>
      <c r="GV47" s="97">
        <v>21531</v>
      </c>
      <c r="GW47" s="97">
        <v>435788</v>
      </c>
      <c r="GX47" s="97">
        <v>467894</v>
      </c>
      <c r="GY47" s="97">
        <v>1042384</v>
      </c>
      <c r="GZ47" s="97">
        <v>273382</v>
      </c>
      <c r="HA47" s="97">
        <v>129814</v>
      </c>
      <c r="HB47" s="97">
        <v>84136</v>
      </c>
      <c r="HC47" s="97">
        <v>393812</v>
      </c>
      <c r="HD47" s="97">
        <v>83447</v>
      </c>
      <c r="HE47" s="97">
        <v>964591</v>
      </c>
      <c r="HF47" s="97">
        <v>12800</v>
      </c>
      <c r="HG47" s="97">
        <v>2983</v>
      </c>
      <c r="HH47" s="97">
        <v>4200</v>
      </c>
      <c r="HI47" s="97">
        <v>22341</v>
      </c>
      <c r="HJ47" s="97">
        <v>124205</v>
      </c>
      <c r="HK47" s="97">
        <v>166529</v>
      </c>
      <c r="HL47" s="97">
        <v>0</v>
      </c>
      <c r="HM47" s="97">
        <v>0</v>
      </c>
      <c r="HN47" s="97">
        <v>0</v>
      </c>
      <c r="HO47" s="97">
        <v>0</v>
      </c>
      <c r="HP47" s="97">
        <v>499166</v>
      </c>
      <c r="HQ47" s="97">
        <v>499166</v>
      </c>
      <c r="HR47" s="97">
        <v>87353</v>
      </c>
      <c r="HS47" s="97">
        <v>24071</v>
      </c>
      <c r="HT47" s="97">
        <v>18294</v>
      </c>
      <c r="HU47" s="97">
        <v>70579</v>
      </c>
      <c r="HV47" s="97">
        <v>61814</v>
      </c>
      <c r="HW47" s="97">
        <v>262111</v>
      </c>
      <c r="HX47" s="97">
        <v>0</v>
      </c>
      <c r="HY47" s="97">
        <v>0</v>
      </c>
      <c r="HZ47" s="97">
        <v>0</v>
      </c>
      <c r="IA47" s="97">
        <v>0</v>
      </c>
      <c r="IB47" s="97">
        <v>33036</v>
      </c>
      <c r="IC47" s="97">
        <v>33036</v>
      </c>
      <c r="ID47" s="97">
        <v>0</v>
      </c>
      <c r="IE47" s="97">
        <v>0</v>
      </c>
      <c r="IF47" s="97">
        <v>0</v>
      </c>
      <c r="IG47" s="97">
        <v>0</v>
      </c>
      <c r="IH47" s="97">
        <v>24970</v>
      </c>
      <c r="II47" s="97">
        <v>24970</v>
      </c>
      <c r="IJ47" s="97">
        <v>42599</v>
      </c>
      <c r="IK47" s="97">
        <v>10121</v>
      </c>
      <c r="IL47" s="97">
        <v>10692</v>
      </c>
      <c r="IM47" s="97">
        <v>75406</v>
      </c>
      <c r="IN47" s="97">
        <v>138388</v>
      </c>
      <c r="IO47" s="97">
        <v>277206</v>
      </c>
      <c r="IP47" s="97">
        <v>11939</v>
      </c>
      <c r="IQ47" s="97">
        <v>4066</v>
      </c>
      <c r="IR47" s="97">
        <v>1980</v>
      </c>
      <c r="IS47" s="97">
        <v>90997</v>
      </c>
      <c r="IT47" s="97">
        <v>270137</v>
      </c>
      <c r="IU47" s="97">
        <v>379119</v>
      </c>
      <c r="IV47" s="97">
        <v>280424</v>
      </c>
      <c r="IW47" s="97">
        <v>192351</v>
      </c>
      <c r="IX47" s="97">
        <v>51866</v>
      </c>
      <c r="IY47" s="97">
        <v>449869</v>
      </c>
      <c r="IZ47" s="97">
        <v>1053968</v>
      </c>
      <c r="JA47" s="97">
        <v>2028478</v>
      </c>
      <c r="JB47" s="97">
        <v>6388432</v>
      </c>
      <c r="JC47" s="97">
        <v>1674154</v>
      </c>
      <c r="JD47" s="97">
        <v>1478764</v>
      </c>
      <c r="JE47" s="97">
        <v>10704731</v>
      </c>
      <c r="JF47" s="97">
        <v>7586830</v>
      </c>
      <c r="JG47" s="97">
        <v>27832911</v>
      </c>
      <c r="JH47" s="97">
        <v>0</v>
      </c>
      <c r="JI47" s="97">
        <v>0</v>
      </c>
      <c r="JJ47" s="97">
        <v>0</v>
      </c>
      <c r="JK47" s="97">
        <v>0</v>
      </c>
      <c r="JL47" s="97">
        <v>0</v>
      </c>
      <c r="JM47" s="97">
        <v>0</v>
      </c>
      <c r="JN47" s="97">
        <v>6388432</v>
      </c>
      <c r="JO47" s="97">
        <v>1674154</v>
      </c>
      <c r="JP47" s="97">
        <v>1478764</v>
      </c>
      <c r="JQ47" s="97">
        <v>10704731</v>
      </c>
      <c r="JR47" s="97">
        <v>7586830</v>
      </c>
      <c r="JS47" s="97">
        <v>27832911</v>
      </c>
      <c r="JU47" s="5">
        <f t="shared" si="78"/>
        <v>1331855</v>
      </c>
      <c r="JV47" s="29">
        <f t="shared" si="79"/>
        <v>0</v>
      </c>
      <c r="JW47" s="5">
        <f t="shared" si="80"/>
        <v>14549844</v>
      </c>
      <c r="JX47" s="29">
        <f t="shared" si="81"/>
        <v>0</v>
      </c>
      <c r="JY47" s="5">
        <f t="shared" si="82"/>
        <v>1030800</v>
      </c>
      <c r="JZ47" s="29">
        <f t="shared" si="83"/>
        <v>0</v>
      </c>
      <c r="KA47" s="5">
        <f t="shared" si="84"/>
        <v>1543758</v>
      </c>
      <c r="KB47" s="29">
        <f t="shared" si="85"/>
        <v>0</v>
      </c>
      <c r="KC47" s="5">
        <f t="shared" si="86"/>
        <v>0</v>
      </c>
      <c r="KD47" s="29">
        <f t="shared" si="87"/>
        <v>0</v>
      </c>
      <c r="KE47" s="5">
        <f t="shared" si="88"/>
        <v>6457</v>
      </c>
      <c r="KF47" s="29">
        <f t="shared" si="89"/>
        <v>0</v>
      </c>
      <c r="KG47" s="5">
        <f t="shared" si="90"/>
        <v>5403079</v>
      </c>
      <c r="KH47" s="29">
        <f t="shared" si="91"/>
        <v>0</v>
      </c>
      <c r="KI47" s="5">
        <f t="shared" si="92"/>
        <v>24970</v>
      </c>
      <c r="KJ47" s="29">
        <f t="shared" si="93"/>
        <v>0</v>
      </c>
      <c r="KK47" s="5">
        <f t="shared" si="94"/>
        <v>1499464</v>
      </c>
      <c r="KL47" s="29">
        <f t="shared" si="95"/>
        <v>0</v>
      </c>
      <c r="KM47" s="5">
        <f t="shared" si="96"/>
        <v>0</v>
      </c>
      <c r="KN47" s="29">
        <f t="shared" si="97"/>
        <v>0</v>
      </c>
      <c r="KO47" s="5">
        <f t="shared" si="98"/>
        <v>187005</v>
      </c>
      <c r="KP47" s="29">
        <f t="shared" si="99"/>
        <v>0</v>
      </c>
      <c r="KQ47" s="5">
        <f t="shared" si="100"/>
        <v>589349</v>
      </c>
      <c r="KR47" s="29">
        <f t="shared" si="101"/>
        <v>0</v>
      </c>
      <c r="KS47" s="5">
        <f t="shared" si="102"/>
        <v>832516</v>
      </c>
      <c r="KT47" s="29">
        <f t="shared" si="103"/>
        <v>0</v>
      </c>
      <c r="KU47" s="5">
        <f t="shared" si="104"/>
        <v>716935</v>
      </c>
      <c r="KV47" s="29">
        <f t="shared" si="105"/>
        <v>0</v>
      </c>
      <c r="KW47" s="5">
        <f t="shared" si="106"/>
        <v>405451</v>
      </c>
      <c r="KX47" s="29">
        <f t="shared" si="107"/>
        <v>0</v>
      </c>
      <c r="KY47" s="5">
        <f t="shared" si="108"/>
        <v>28121483</v>
      </c>
      <c r="KZ47" s="29">
        <f t="shared" si="109"/>
        <v>0</v>
      </c>
      <c r="LA47" s="5">
        <f t="shared" si="110"/>
        <v>9411244</v>
      </c>
      <c r="LB47" s="29">
        <f t="shared" si="111"/>
        <v>0</v>
      </c>
      <c r="LC47" s="5">
        <f t="shared" si="112"/>
        <v>206500</v>
      </c>
      <c r="LD47" s="29">
        <f t="shared" si="113"/>
        <v>0</v>
      </c>
      <c r="LE47" s="5">
        <f t="shared" si="114"/>
        <v>5590976</v>
      </c>
      <c r="LF47" s="29">
        <f t="shared" si="115"/>
        <v>0</v>
      </c>
      <c r="LG47" s="5">
        <f t="shared" si="116"/>
        <v>0</v>
      </c>
      <c r="LH47" s="29">
        <f t="shared" si="117"/>
        <v>0</v>
      </c>
      <c r="LI47" s="5">
        <f t="shared" si="118"/>
        <v>4181373</v>
      </c>
      <c r="LJ47" s="29">
        <f t="shared" si="119"/>
        <v>0</v>
      </c>
      <c r="LK47" s="5">
        <f t="shared" si="120"/>
        <v>0</v>
      </c>
      <c r="LL47" s="29">
        <f t="shared" si="121"/>
        <v>0</v>
      </c>
      <c r="LM47" s="5">
        <f t="shared" si="122"/>
        <v>0</v>
      </c>
      <c r="LN47" s="29">
        <f t="shared" si="123"/>
        <v>0</v>
      </c>
      <c r="LO47" s="5">
        <f t="shared" si="124"/>
        <v>586970</v>
      </c>
      <c r="LP47" s="29">
        <f t="shared" si="125"/>
        <v>0</v>
      </c>
      <c r="LQ47" s="5">
        <f t="shared" si="126"/>
        <v>2178258</v>
      </c>
      <c r="LR47" s="29">
        <f t="shared" si="127"/>
        <v>0</v>
      </c>
      <c r="LS47" s="5">
        <f t="shared" si="128"/>
        <v>1042384</v>
      </c>
      <c r="LT47" s="29">
        <f t="shared" si="129"/>
        <v>0</v>
      </c>
      <c r="LU47" s="5">
        <f t="shared" si="130"/>
        <v>964591</v>
      </c>
      <c r="LV47" s="29">
        <f t="shared" si="131"/>
        <v>0</v>
      </c>
      <c r="LW47" s="5">
        <f t="shared" si="132"/>
        <v>166529</v>
      </c>
      <c r="LX47" s="29">
        <f t="shared" si="133"/>
        <v>0</v>
      </c>
      <c r="LY47" s="5">
        <f t="shared" si="134"/>
        <v>499166</v>
      </c>
      <c r="LZ47" s="29">
        <f t="shared" si="135"/>
        <v>0</v>
      </c>
      <c r="MA47" s="5">
        <f t="shared" si="136"/>
        <v>262111</v>
      </c>
      <c r="MB47" s="29">
        <f t="shared" si="137"/>
        <v>0</v>
      </c>
      <c r="MC47" s="5">
        <f t="shared" si="138"/>
        <v>33036</v>
      </c>
      <c r="MD47" s="29">
        <f t="shared" si="139"/>
        <v>0</v>
      </c>
      <c r="ME47" s="5">
        <f t="shared" si="140"/>
        <v>24970</v>
      </c>
      <c r="MF47" s="29">
        <f t="shared" si="141"/>
        <v>0</v>
      </c>
      <c r="MG47" s="5">
        <f t="shared" si="142"/>
        <v>277206</v>
      </c>
      <c r="MH47" s="29">
        <f t="shared" si="143"/>
        <v>0</v>
      </c>
      <c r="MI47" s="5">
        <f t="shared" si="144"/>
        <v>379119</v>
      </c>
      <c r="MJ47" s="29">
        <f t="shared" si="145"/>
        <v>0</v>
      </c>
      <c r="MK47" s="5">
        <f t="shared" si="146"/>
        <v>2028478</v>
      </c>
      <c r="ML47" s="29">
        <f t="shared" si="147"/>
        <v>0</v>
      </c>
      <c r="MM47" s="5">
        <f t="shared" si="148"/>
        <v>27832911</v>
      </c>
      <c r="MN47" s="29">
        <f t="shared" si="149"/>
        <v>0</v>
      </c>
      <c r="MO47" s="5">
        <f t="shared" si="150"/>
        <v>0</v>
      </c>
      <c r="MP47" s="29">
        <f t="shared" si="151"/>
        <v>0</v>
      </c>
      <c r="MQ47" s="5">
        <f t="shared" si="152"/>
        <v>27832911</v>
      </c>
      <c r="MR47" s="29">
        <f t="shared" si="153"/>
        <v>0</v>
      </c>
      <c r="MT47" s="5">
        <f t="shared" si="76"/>
        <v>0</v>
      </c>
      <c r="MV47" s="4">
        <f t="shared" si="77"/>
        <v>0</v>
      </c>
    </row>
    <row r="48" spans="1:360" x14ac:dyDescent="0.15">
      <c r="A48" s="155" t="s">
        <v>337</v>
      </c>
      <c r="B48" s="28" t="s">
        <v>461</v>
      </c>
      <c r="C48" s="48">
        <v>199120</v>
      </c>
      <c r="D48" s="48">
        <v>2012</v>
      </c>
      <c r="E48" s="49">
        <v>1</v>
      </c>
      <c r="F48" s="49">
        <v>3</v>
      </c>
      <c r="G48" s="50">
        <v>18736</v>
      </c>
      <c r="H48" s="50">
        <v>17367</v>
      </c>
      <c r="I48" s="54">
        <v>1367957134</v>
      </c>
      <c r="J48" s="51"/>
      <c r="K48" s="54">
        <v>5473123</v>
      </c>
      <c r="L48" s="51"/>
      <c r="M48" s="54">
        <v>52826006</v>
      </c>
      <c r="N48" s="51"/>
      <c r="O48" s="54">
        <v>41556950</v>
      </c>
      <c r="P48" s="51"/>
      <c r="Q48" s="54">
        <v>606958912</v>
      </c>
      <c r="R48" s="51"/>
      <c r="S48" s="51">
        <v>962564231</v>
      </c>
      <c r="T48" s="51"/>
      <c r="U48" s="51">
        <v>18706</v>
      </c>
      <c r="V48" s="51"/>
      <c r="W48" s="51">
        <v>35236</v>
      </c>
      <c r="X48" s="51"/>
      <c r="Y48" s="51">
        <v>20886</v>
      </c>
      <c r="Z48" s="51"/>
      <c r="AA48" s="51">
        <v>37916</v>
      </c>
      <c r="AB48" s="51"/>
      <c r="AC48" s="72">
        <v>9</v>
      </c>
      <c r="AD48" s="72">
        <v>11</v>
      </c>
      <c r="AE48" s="72">
        <v>0</v>
      </c>
      <c r="AF48" s="29">
        <v>4000537</v>
      </c>
      <c r="AG48" s="76">
        <v>3499677</v>
      </c>
      <c r="AH48" s="76">
        <v>918226</v>
      </c>
      <c r="AI48" s="76">
        <v>377089</v>
      </c>
      <c r="AJ48" s="76">
        <v>856938.46</v>
      </c>
      <c r="AK48" s="78">
        <v>6.5</v>
      </c>
      <c r="AL48" s="76">
        <v>795728.57</v>
      </c>
      <c r="AM48" s="78">
        <v>7</v>
      </c>
      <c r="AN48" s="76">
        <v>323168</v>
      </c>
      <c r="AO48" s="78">
        <v>8.5</v>
      </c>
      <c r="AP48" s="76">
        <v>305214.21999999997</v>
      </c>
      <c r="AQ48" s="78">
        <v>9</v>
      </c>
      <c r="AR48" s="76">
        <v>264462.59999999998</v>
      </c>
      <c r="AS48" s="78">
        <v>20</v>
      </c>
      <c r="AT48" s="76">
        <v>229967.48</v>
      </c>
      <c r="AU48" s="78">
        <v>23</v>
      </c>
      <c r="AV48" s="29">
        <v>128946.82</v>
      </c>
      <c r="AW48" s="73">
        <v>17</v>
      </c>
      <c r="AX48" s="29">
        <v>109604.8</v>
      </c>
      <c r="AY48" s="73">
        <v>20</v>
      </c>
      <c r="AZ48" s="100">
        <v>46447979</v>
      </c>
      <c r="BA48" s="100">
        <v>3358017</v>
      </c>
      <c r="BB48" s="100">
        <v>74779</v>
      </c>
      <c r="BC48" s="100">
        <f>52129454+240248-AZ48-BA48-BB48</f>
        <v>2488927</v>
      </c>
      <c r="BD48" s="100">
        <v>0</v>
      </c>
      <c r="BE48" s="100">
        <v>52369702</v>
      </c>
      <c r="BF48" s="100">
        <v>0</v>
      </c>
      <c r="BG48" s="100">
        <v>0</v>
      </c>
      <c r="BH48" s="100">
        <v>0</v>
      </c>
      <c r="BI48" s="100">
        <v>0</v>
      </c>
      <c r="BJ48" s="100">
        <v>0</v>
      </c>
      <c r="BK48" s="100">
        <v>0</v>
      </c>
      <c r="BL48" s="100">
        <v>0</v>
      </c>
      <c r="BM48" s="100">
        <v>75000</v>
      </c>
      <c r="BN48" s="100">
        <v>0</v>
      </c>
      <c r="BO48" s="100">
        <f>224822+0-BL48-BM48-BN48</f>
        <v>149822</v>
      </c>
      <c r="BP48" s="100">
        <v>0</v>
      </c>
      <c r="BQ48" s="100">
        <v>224822</v>
      </c>
      <c r="BR48" s="100">
        <v>22522292</v>
      </c>
      <c r="BS48" s="100">
        <v>16659</v>
      </c>
      <c r="BT48" s="100">
        <v>709</v>
      </c>
      <c r="BU48" s="100">
        <f>23452726+97359-BR48-BS48-BT48</f>
        <v>1010425</v>
      </c>
      <c r="BV48" s="100">
        <v>4967915</v>
      </c>
      <c r="BW48" s="100">
        <v>28518000</v>
      </c>
      <c r="BX48" s="100">
        <v>0</v>
      </c>
      <c r="BY48" s="100">
        <v>0</v>
      </c>
      <c r="BZ48" s="100">
        <v>0</v>
      </c>
      <c r="CA48" s="100">
        <v>0</v>
      </c>
      <c r="CB48" s="100">
        <v>0</v>
      </c>
      <c r="CC48" s="100">
        <v>0</v>
      </c>
      <c r="CD48" s="100">
        <v>0</v>
      </c>
      <c r="CE48" s="100">
        <v>0</v>
      </c>
      <c r="CF48" s="100">
        <v>0</v>
      </c>
      <c r="CG48" s="100">
        <v>0</v>
      </c>
      <c r="CH48" s="100">
        <v>0</v>
      </c>
      <c r="CI48" s="100">
        <v>0</v>
      </c>
      <c r="CJ48" s="100">
        <v>0</v>
      </c>
      <c r="CK48" s="100">
        <v>0</v>
      </c>
      <c r="CL48" s="100">
        <v>0</v>
      </c>
      <c r="CM48" s="100">
        <f>2431+0-CJ48-CK48-CL48</f>
        <v>2431</v>
      </c>
      <c r="CN48" s="100">
        <v>13505</v>
      </c>
      <c r="CO48" s="100">
        <v>15936</v>
      </c>
      <c r="CP48" s="100">
        <v>0</v>
      </c>
      <c r="CQ48" s="100">
        <v>0</v>
      </c>
      <c r="CR48" s="100">
        <v>0</v>
      </c>
      <c r="CS48" s="100">
        <v>0</v>
      </c>
      <c r="CT48" s="100">
        <v>242949</v>
      </c>
      <c r="CU48" s="100">
        <v>242949</v>
      </c>
      <c r="CV48" s="100">
        <v>12646683</v>
      </c>
      <c r="CW48" s="100">
        <v>6198003</v>
      </c>
      <c r="CX48" s="100">
        <v>38850</v>
      </c>
      <c r="CY48" s="100">
        <f>18905829+133397-CV48-CW48-CX48</f>
        <v>155690</v>
      </c>
      <c r="CZ48" s="100">
        <v>7329149</v>
      </c>
      <c r="DA48" s="100">
        <v>26368375</v>
      </c>
      <c r="DB48" s="100">
        <v>0</v>
      </c>
      <c r="DC48" s="100">
        <v>0</v>
      </c>
      <c r="DD48" s="100">
        <v>0</v>
      </c>
      <c r="DE48" s="100">
        <v>0</v>
      </c>
      <c r="DF48" s="100">
        <v>0</v>
      </c>
      <c r="DG48" s="100">
        <v>0</v>
      </c>
      <c r="DH48" s="100">
        <v>2566725</v>
      </c>
      <c r="DI48" s="100">
        <v>196470</v>
      </c>
      <c r="DJ48" s="100">
        <v>22318</v>
      </c>
      <c r="DK48" s="100">
        <f>2964700+48548-DH48-DI48-DJ48</f>
        <v>227735</v>
      </c>
      <c r="DL48" s="100">
        <v>1072097</v>
      </c>
      <c r="DM48" s="100">
        <v>4085345</v>
      </c>
      <c r="DN48" s="100">
        <v>0</v>
      </c>
      <c r="DO48" s="100">
        <v>0</v>
      </c>
      <c r="DP48" s="100">
        <v>0</v>
      </c>
      <c r="DQ48" s="100">
        <v>0</v>
      </c>
      <c r="DR48" s="100">
        <v>21410649</v>
      </c>
      <c r="DS48" s="100">
        <v>21410649</v>
      </c>
      <c r="DT48" s="100">
        <v>0</v>
      </c>
      <c r="DU48" s="100">
        <v>0</v>
      </c>
      <c r="DV48" s="100">
        <v>0</v>
      </c>
      <c r="DW48" s="100">
        <v>0</v>
      </c>
      <c r="DX48" s="100">
        <v>249365</v>
      </c>
      <c r="DY48" s="100">
        <v>249365</v>
      </c>
      <c r="DZ48" s="100">
        <v>1015914</v>
      </c>
      <c r="EA48" s="100">
        <v>36134</v>
      </c>
      <c r="EB48" s="100">
        <v>47976</v>
      </c>
      <c r="EC48" s="100">
        <f>1684049+405763-DZ48-EA48-EB48</f>
        <v>989788</v>
      </c>
      <c r="ED48" s="100">
        <v>614783</v>
      </c>
      <c r="EE48" s="100">
        <v>2704595</v>
      </c>
      <c r="EF48" s="100">
        <v>9654</v>
      </c>
      <c r="EG48" s="100">
        <v>0</v>
      </c>
      <c r="EH48" s="100">
        <v>0</v>
      </c>
      <c r="EI48" s="100">
        <f>81415+67310-EF48-EG48-EH48</f>
        <v>139071</v>
      </c>
      <c r="EJ48" s="100">
        <v>3792724</v>
      </c>
      <c r="EK48" s="100">
        <v>3941449</v>
      </c>
      <c r="EL48" s="100">
        <v>85209247</v>
      </c>
      <c r="EM48" s="100">
        <v>9880283</v>
      </c>
      <c r="EN48" s="100">
        <v>184632</v>
      </c>
      <c r="EO48" s="100">
        <f>99445426+992625-EL48-EM48-EN48</f>
        <v>5163889</v>
      </c>
      <c r="EP48" s="100">
        <v>39693136</v>
      </c>
      <c r="EQ48" s="100">
        <v>140131187</v>
      </c>
      <c r="ER48" s="100">
        <v>4479578</v>
      </c>
      <c r="ES48" s="100">
        <v>735980</v>
      </c>
      <c r="ET48" s="100">
        <v>681574</v>
      </c>
      <c r="EU48" s="100">
        <f>9287935+7411239-ER48-ES48-ET48</f>
        <v>10802042</v>
      </c>
      <c r="EV48" s="100">
        <v>130956</v>
      </c>
      <c r="EW48" s="100">
        <v>16830130</v>
      </c>
      <c r="EX48" s="100">
        <v>2501800</v>
      </c>
      <c r="EY48" s="100">
        <v>352474</v>
      </c>
      <c r="EZ48" s="100">
        <v>20000</v>
      </c>
      <c r="FA48" s="100">
        <f>2975282+58170-EX48-EY48-EZ48</f>
        <v>159178</v>
      </c>
      <c r="FB48" s="100">
        <v>0</v>
      </c>
      <c r="FC48" s="100">
        <v>3033452</v>
      </c>
      <c r="FD48" s="100">
        <f>3776653+3685992</f>
        <v>7462645</v>
      </c>
      <c r="FE48" s="100">
        <f>2066218+624093</f>
        <v>2690311</v>
      </c>
      <c r="FF48" s="100">
        <f>594314+392519</f>
        <v>986833</v>
      </c>
      <c r="FG48" s="100">
        <f>8084064+5695689+2640239+1758730-FD48-FE48-FF48</f>
        <v>7038933</v>
      </c>
      <c r="FH48" s="100">
        <v>0</v>
      </c>
      <c r="FI48" s="100">
        <v>18178722</v>
      </c>
      <c r="FJ48" s="100">
        <v>0</v>
      </c>
      <c r="FK48" s="114">
        <v>0</v>
      </c>
      <c r="FL48" s="114">
        <v>0</v>
      </c>
      <c r="FM48" s="114">
        <v>0</v>
      </c>
      <c r="FN48" s="100">
        <v>0</v>
      </c>
      <c r="FO48" s="100">
        <v>0</v>
      </c>
      <c r="FP48" s="100">
        <v>1298930</v>
      </c>
      <c r="FQ48" s="100">
        <v>428231</v>
      </c>
      <c r="FR48" s="100">
        <v>232860</v>
      </c>
      <c r="FS48" s="100">
        <f>2151946+337595-FP48-FQ48-FR48</f>
        <v>529520</v>
      </c>
      <c r="FT48" s="100">
        <v>18383924</v>
      </c>
      <c r="FU48" s="100">
        <v>20873465</v>
      </c>
      <c r="FV48" s="100">
        <v>0</v>
      </c>
      <c r="FW48" s="100">
        <v>0</v>
      </c>
      <c r="FX48" s="100">
        <v>0</v>
      </c>
      <c r="FY48" s="100">
        <v>0</v>
      </c>
      <c r="FZ48" s="100">
        <v>0</v>
      </c>
      <c r="GA48" s="100">
        <v>0</v>
      </c>
      <c r="GB48" s="100">
        <v>0</v>
      </c>
      <c r="GC48" s="100">
        <v>0</v>
      </c>
      <c r="GD48" s="100">
        <v>36366</v>
      </c>
      <c r="GE48" s="100">
        <f>106799+68288-GB48-GC48-GD48</f>
        <v>138721</v>
      </c>
      <c r="GF48" s="100">
        <v>618837</v>
      </c>
      <c r="GG48" s="100">
        <v>793924</v>
      </c>
      <c r="GH48" s="100">
        <v>493464</v>
      </c>
      <c r="GI48" s="100">
        <v>198928</v>
      </c>
      <c r="GJ48" s="100">
        <v>127655</v>
      </c>
      <c r="GK48" s="100">
        <f>1112130+496640-GH48-GI48-GJ48</f>
        <v>788723</v>
      </c>
      <c r="GL48" s="100">
        <v>0</v>
      </c>
      <c r="GM48" s="100">
        <v>1608770</v>
      </c>
      <c r="GN48" s="100">
        <v>1839707</v>
      </c>
      <c r="GO48" s="100">
        <v>715592</v>
      </c>
      <c r="GP48" s="100">
        <v>462458</v>
      </c>
      <c r="GQ48" s="100">
        <f>4796335+3028182-GN48-GO48-GP48</f>
        <v>4806760</v>
      </c>
      <c r="GR48" s="100">
        <v>76476</v>
      </c>
      <c r="GS48" s="100">
        <v>7900993</v>
      </c>
      <c r="GT48" s="100">
        <v>864551</v>
      </c>
      <c r="GU48" s="100">
        <v>120568</v>
      </c>
      <c r="GV48" s="100">
        <v>79550</v>
      </c>
      <c r="GW48" s="100">
        <f>1860228+764959-GT48-GU48-GV48</f>
        <v>1560518</v>
      </c>
      <c r="GX48" s="100">
        <v>1666501</v>
      </c>
      <c r="GY48" s="100">
        <v>4291688</v>
      </c>
      <c r="GZ48" s="100">
        <v>2549136</v>
      </c>
      <c r="HA48" s="100">
        <v>127898</v>
      </c>
      <c r="HB48" s="100">
        <v>178706</v>
      </c>
      <c r="HC48" s="100">
        <f>3271849+333179-GZ48-HA48-HB48</f>
        <v>749288</v>
      </c>
      <c r="HD48" s="100">
        <v>84707</v>
      </c>
      <c r="HE48" s="100">
        <v>3689735</v>
      </c>
      <c r="HF48" s="100">
        <v>103172</v>
      </c>
      <c r="HG48" s="100">
        <v>47689</v>
      </c>
      <c r="HH48" s="100">
        <v>10406</v>
      </c>
      <c r="HI48" s="100">
        <f>287531+95966-HF48-HG48-HH48</f>
        <v>222230</v>
      </c>
      <c r="HJ48" s="100">
        <v>2720545</v>
      </c>
      <c r="HK48" s="100">
        <v>3104042</v>
      </c>
      <c r="HL48" s="100">
        <v>0</v>
      </c>
      <c r="HM48" s="100">
        <v>0</v>
      </c>
      <c r="HN48" s="100">
        <v>0</v>
      </c>
      <c r="HO48" s="100">
        <v>0</v>
      </c>
      <c r="HP48" s="100">
        <v>0</v>
      </c>
      <c r="HQ48" s="100">
        <v>0</v>
      </c>
      <c r="HR48" s="100">
        <v>0</v>
      </c>
      <c r="HS48" s="100">
        <v>0</v>
      </c>
      <c r="HT48" s="100">
        <v>0</v>
      </c>
      <c r="HU48" s="100">
        <v>0</v>
      </c>
      <c r="HV48" s="100">
        <v>23293457</v>
      </c>
      <c r="HW48" s="100">
        <v>23293457</v>
      </c>
      <c r="HX48" s="100">
        <v>0</v>
      </c>
      <c r="HY48" s="100">
        <v>0</v>
      </c>
      <c r="HZ48" s="100">
        <v>0</v>
      </c>
      <c r="IA48" s="100">
        <v>0</v>
      </c>
      <c r="IB48" s="100">
        <v>991803</v>
      </c>
      <c r="IC48" s="100">
        <v>991803</v>
      </c>
      <c r="ID48" s="100">
        <v>0</v>
      </c>
      <c r="IE48" s="100">
        <v>0</v>
      </c>
      <c r="IF48" s="100">
        <v>0</v>
      </c>
      <c r="IG48" s="100">
        <v>0</v>
      </c>
      <c r="IH48" s="100">
        <v>242949</v>
      </c>
      <c r="II48" s="100">
        <v>242949</v>
      </c>
      <c r="IJ48" s="100">
        <v>0</v>
      </c>
      <c r="IK48" s="100">
        <v>0</v>
      </c>
      <c r="IL48" s="100">
        <v>0</v>
      </c>
      <c r="IM48" s="100">
        <v>0</v>
      </c>
      <c r="IN48" s="100">
        <v>685491</v>
      </c>
      <c r="IO48" s="100">
        <v>685491</v>
      </c>
      <c r="IP48" s="100">
        <v>3732</v>
      </c>
      <c r="IQ48" s="100">
        <v>585</v>
      </c>
      <c r="IR48" s="100">
        <v>799</v>
      </c>
      <c r="IS48" s="100">
        <f>10355+11165-IP48-IQ48-IR48</f>
        <v>16404</v>
      </c>
      <c r="IT48" s="100">
        <v>202874</v>
      </c>
      <c r="IU48" s="100">
        <v>224394</v>
      </c>
      <c r="IV48" s="100">
        <v>2043622</v>
      </c>
      <c r="IW48" s="100">
        <v>295999</v>
      </c>
      <c r="IX48" s="100">
        <v>132416</v>
      </c>
      <c r="IY48" s="100">
        <f>3071808+631033-IV48-IW48-IX48</f>
        <v>1230804</v>
      </c>
      <c r="IZ48" s="100">
        <v>5754331</v>
      </c>
      <c r="JA48" s="100">
        <v>9457172</v>
      </c>
      <c r="JB48" s="100">
        <v>23640337</v>
      </c>
      <c r="JC48" s="100">
        <v>5933437</v>
      </c>
      <c r="JD48" s="100">
        <v>2898815</v>
      </c>
      <c r="JE48" s="100">
        <f>42711951+17635385-JB48-JC48-JD48</f>
        <v>27874747</v>
      </c>
      <c r="JF48" s="100">
        <v>54852851</v>
      </c>
      <c r="JG48" s="100">
        <v>115200187</v>
      </c>
      <c r="JH48" s="100">
        <v>0</v>
      </c>
      <c r="JI48" s="100">
        <v>0</v>
      </c>
      <c r="JJ48" s="100">
        <v>0</v>
      </c>
      <c r="JK48" s="100">
        <v>0</v>
      </c>
      <c r="JL48" s="100">
        <v>1653868</v>
      </c>
      <c r="JM48" s="100">
        <v>1653868</v>
      </c>
      <c r="JN48" s="100">
        <v>23640337</v>
      </c>
      <c r="JO48" s="100">
        <v>5933437</v>
      </c>
      <c r="JP48" s="100">
        <v>2898815</v>
      </c>
      <c r="JQ48" s="100">
        <f>42711951+17635385-JN48-JO48-JP48</f>
        <v>27874747</v>
      </c>
      <c r="JR48" s="100">
        <v>56506719</v>
      </c>
      <c r="JS48" s="100">
        <v>116854055</v>
      </c>
      <c r="JU48" s="5">
        <f t="shared" si="78"/>
        <v>52369702</v>
      </c>
      <c r="JV48" s="29">
        <f t="shared" si="79"/>
        <v>0</v>
      </c>
      <c r="JW48" s="5">
        <f t="shared" si="80"/>
        <v>0</v>
      </c>
      <c r="JX48" s="29">
        <f t="shared" si="81"/>
        <v>0</v>
      </c>
      <c r="JY48" s="5">
        <f t="shared" si="82"/>
        <v>224822</v>
      </c>
      <c r="JZ48" s="29">
        <f t="shared" si="83"/>
        <v>0</v>
      </c>
      <c r="KA48" s="5">
        <f t="shared" si="84"/>
        <v>28518000</v>
      </c>
      <c r="KB48" s="29">
        <f t="shared" si="85"/>
        <v>0</v>
      </c>
      <c r="KC48" s="5">
        <f t="shared" si="86"/>
        <v>0</v>
      </c>
      <c r="KD48" s="29">
        <f t="shared" si="87"/>
        <v>0</v>
      </c>
      <c r="KE48" s="5">
        <f t="shared" si="88"/>
        <v>0</v>
      </c>
      <c r="KF48" s="29">
        <f t="shared" si="89"/>
        <v>0</v>
      </c>
      <c r="KG48" s="5">
        <f t="shared" si="90"/>
        <v>15936</v>
      </c>
      <c r="KH48" s="29">
        <f t="shared" si="91"/>
        <v>0</v>
      </c>
      <c r="KI48" s="5">
        <f t="shared" si="92"/>
        <v>242949</v>
      </c>
      <c r="KJ48" s="29">
        <f t="shared" si="93"/>
        <v>0</v>
      </c>
      <c r="KK48" s="5">
        <f t="shared" si="94"/>
        <v>26368375</v>
      </c>
      <c r="KL48" s="29">
        <f t="shared" si="95"/>
        <v>0</v>
      </c>
      <c r="KM48" s="5">
        <f t="shared" si="96"/>
        <v>0</v>
      </c>
      <c r="KN48" s="29">
        <f t="shared" si="97"/>
        <v>0</v>
      </c>
      <c r="KO48" s="5">
        <f t="shared" si="98"/>
        <v>4085345</v>
      </c>
      <c r="KP48" s="29">
        <f t="shared" si="99"/>
        <v>0</v>
      </c>
      <c r="KQ48" s="5">
        <f t="shared" si="100"/>
        <v>21410649</v>
      </c>
      <c r="KR48" s="29">
        <f t="shared" si="101"/>
        <v>0</v>
      </c>
      <c r="KS48" s="5">
        <f t="shared" si="102"/>
        <v>249365</v>
      </c>
      <c r="KT48" s="29">
        <f t="shared" si="103"/>
        <v>0</v>
      </c>
      <c r="KU48" s="5">
        <f t="shared" si="104"/>
        <v>2704595</v>
      </c>
      <c r="KV48" s="29">
        <f t="shared" si="105"/>
        <v>0</v>
      </c>
      <c r="KW48" s="5">
        <f t="shared" si="106"/>
        <v>3941449</v>
      </c>
      <c r="KX48" s="29">
        <f t="shared" si="107"/>
        <v>0</v>
      </c>
      <c r="KY48" s="5">
        <f t="shared" si="108"/>
        <v>140131187</v>
      </c>
      <c r="KZ48" s="29">
        <f t="shared" si="109"/>
        <v>0</v>
      </c>
      <c r="LA48" s="5">
        <f t="shared" si="110"/>
        <v>16830130</v>
      </c>
      <c r="LB48" s="29">
        <f t="shared" si="111"/>
        <v>0</v>
      </c>
      <c r="LC48" s="5">
        <f t="shared" si="112"/>
        <v>3033452</v>
      </c>
      <c r="LD48" s="29">
        <f t="shared" si="113"/>
        <v>0</v>
      </c>
      <c r="LE48" s="5">
        <f t="shared" si="114"/>
        <v>18178722</v>
      </c>
      <c r="LF48" s="29">
        <f t="shared" si="115"/>
        <v>0</v>
      </c>
      <c r="LG48" s="5">
        <f t="shared" si="116"/>
        <v>0</v>
      </c>
      <c r="LH48" s="29">
        <f t="shared" si="117"/>
        <v>0</v>
      </c>
      <c r="LI48" s="5">
        <f t="shared" si="118"/>
        <v>20873465</v>
      </c>
      <c r="LJ48" s="29">
        <f t="shared" si="119"/>
        <v>0</v>
      </c>
      <c r="LK48" s="5">
        <f t="shared" si="120"/>
        <v>0</v>
      </c>
      <c r="LL48" s="29">
        <f t="shared" si="121"/>
        <v>0</v>
      </c>
      <c r="LM48" s="5">
        <f t="shared" si="122"/>
        <v>793924</v>
      </c>
      <c r="LN48" s="29">
        <f t="shared" si="123"/>
        <v>0</v>
      </c>
      <c r="LO48" s="5">
        <f t="shared" si="124"/>
        <v>1608770</v>
      </c>
      <c r="LP48" s="29">
        <f t="shared" si="125"/>
        <v>0</v>
      </c>
      <c r="LQ48" s="5">
        <f t="shared" si="126"/>
        <v>7900993</v>
      </c>
      <c r="LR48" s="29">
        <f t="shared" si="127"/>
        <v>0</v>
      </c>
      <c r="LS48" s="5">
        <f t="shared" si="128"/>
        <v>4291688</v>
      </c>
      <c r="LT48" s="29">
        <f t="shared" si="129"/>
        <v>0</v>
      </c>
      <c r="LU48" s="5">
        <f t="shared" si="130"/>
        <v>3689735</v>
      </c>
      <c r="LV48" s="29">
        <f t="shared" si="131"/>
        <v>0</v>
      </c>
      <c r="LW48" s="5">
        <f t="shared" si="132"/>
        <v>3104042</v>
      </c>
      <c r="LX48" s="29">
        <f t="shared" si="133"/>
        <v>0</v>
      </c>
      <c r="LY48" s="5">
        <f t="shared" si="134"/>
        <v>0</v>
      </c>
      <c r="LZ48" s="29">
        <f t="shared" si="135"/>
        <v>0</v>
      </c>
      <c r="MA48" s="5">
        <f t="shared" si="136"/>
        <v>23293457</v>
      </c>
      <c r="MB48" s="29">
        <f t="shared" si="137"/>
        <v>0</v>
      </c>
      <c r="MC48" s="5">
        <f t="shared" si="138"/>
        <v>991803</v>
      </c>
      <c r="MD48" s="29">
        <f t="shared" si="139"/>
        <v>0</v>
      </c>
      <c r="ME48" s="5">
        <f t="shared" si="140"/>
        <v>242949</v>
      </c>
      <c r="MF48" s="29">
        <f t="shared" si="141"/>
        <v>0</v>
      </c>
      <c r="MG48" s="5">
        <f t="shared" si="142"/>
        <v>685491</v>
      </c>
      <c r="MH48" s="29">
        <f t="shared" si="143"/>
        <v>0</v>
      </c>
      <c r="MI48" s="5">
        <f t="shared" si="144"/>
        <v>224394</v>
      </c>
      <c r="MJ48" s="29">
        <f t="shared" si="145"/>
        <v>0</v>
      </c>
      <c r="MK48" s="5">
        <f t="shared" si="146"/>
        <v>9457172</v>
      </c>
      <c r="ML48" s="29">
        <f t="shared" si="147"/>
        <v>0</v>
      </c>
      <c r="MM48" s="5">
        <f t="shared" si="148"/>
        <v>115200187</v>
      </c>
      <c r="MN48" s="29">
        <f t="shared" si="149"/>
        <v>0</v>
      </c>
      <c r="MO48" s="5">
        <f t="shared" si="150"/>
        <v>1653868</v>
      </c>
      <c r="MP48" s="29">
        <f t="shared" si="151"/>
        <v>0</v>
      </c>
      <c r="MQ48" s="5">
        <f t="shared" si="152"/>
        <v>116854055</v>
      </c>
      <c r="MR48" s="29">
        <f t="shared" si="153"/>
        <v>0</v>
      </c>
      <c r="MT48" s="5">
        <f t="shared" si="76"/>
        <v>0</v>
      </c>
      <c r="MV48" s="4">
        <f t="shared" si="77"/>
        <v>0</v>
      </c>
    </row>
    <row r="49" spans="1:360" x14ac:dyDescent="0.15">
      <c r="A49" s="157" t="s">
        <v>338</v>
      </c>
      <c r="B49" s="28" t="s">
        <v>458</v>
      </c>
      <c r="C49" s="48">
        <v>236948</v>
      </c>
      <c r="D49" s="48">
        <v>2012</v>
      </c>
      <c r="E49" s="49">
        <v>1</v>
      </c>
      <c r="F49" s="49">
        <v>3</v>
      </c>
      <c r="G49" s="50">
        <v>16258</v>
      </c>
      <c r="H49" s="50">
        <v>17154</v>
      </c>
      <c r="I49" s="51">
        <v>1966271000</v>
      </c>
      <c r="J49" s="51"/>
      <c r="K49" s="51">
        <v>7664382</v>
      </c>
      <c r="L49" s="51"/>
      <c r="M49" s="51">
        <v>100304000</v>
      </c>
      <c r="N49" s="51"/>
      <c r="O49" s="51">
        <v>116031974</v>
      </c>
      <c r="P49" s="51"/>
      <c r="Q49" s="51">
        <v>1625766000</v>
      </c>
      <c r="R49" s="51"/>
      <c r="S49" s="51">
        <v>1524277000</v>
      </c>
      <c r="T49" s="51"/>
      <c r="U49" s="51">
        <v>20522</v>
      </c>
      <c r="V49" s="51"/>
      <c r="W49" s="51">
        <v>38422</v>
      </c>
      <c r="X49" s="51"/>
      <c r="Y49" s="51">
        <v>22294</v>
      </c>
      <c r="Z49" s="51"/>
      <c r="AA49" s="51">
        <v>40194</v>
      </c>
      <c r="AB49" s="51"/>
      <c r="AC49" s="72">
        <v>12</v>
      </c>
      <c r="AD49" s="72">
        <v>13</v>
      </c>
      <c r="AE49" s="72">
        <v>0</v>
      </c>
      <c r="AF49" s="29">
        <v>5800990</v>
      </c>
      <c r="AG49" s="29">
        <v>5301235</v>
      </c>
      <c r="AH49" s="29">
        <v>718053</v>
      </c>
      <c r="AI49" s="29">
        <v>300773</v>
      </c>
      <c r="AJ49" s="29">
        <f>(6743094+568750)/AK49</f>
        <v>812427.11111111112</v>
      </c>
      <c r="AK49" s="73">
        <v>9</v>
      </c>
      <c r="AL49" s="29">
        <f>(6743094+568750)/AM49</f>
        <v>731184.4</v>
      </c>
      <c r="AM49" s="73">
        <v>10</v>
      </c>
      <c r="AN49" s="29">
        <f>(1762996+2500)/AO49</f>
        <v>176549.6</v>
      </c>
      <c r="AO49" s="73">
        <v>10</v>
      </c>
      <c r="AP49" s="29">
        <f>(1762996+2500)/AQ49</f>
        <v>160499.63636363635</v>
      </c>
      <c r="AQ49" s="73">
        <v>11</v>
      </c>
      <c r="AR49" s="29">
        <f>(4643677+17500)/AS49</f>
        <v>176693.59363153906</v>
      </c>
      <c r="AS49" s="73">
        <v>26.38</v>
      </c>
      <c r="AT49" s="29">
        <f>(4643677+17500)/AU49</f>
        <v>141247.78787878787</v>
      </c>
      <c r="AU49" s="73">
        <v>33</v>
      </c>
      <c r="AV49" s="29">
        <f>1695361/AW49</f>
        <v>81195.450191570882</v>
      </c>
      <c r="AW49" s="73">
        <v>20.88</v>
      </c>
      <c r="AX49" s="29">
        <f>1695361/AY49</f>
        <v>65206.192307692305</v>
      </c>
      <c r="AY49" s="73">
        <v>26</v>
      </c>
      <c r="AZ49" s="97">
        <v>17344630</v>
      </c>
      <c r="BA49" s="97">
        <v>5475160</v>
      </c>
      <c r="BB49" s="97">
        <v>201516</v>
      </c>
      <c r="BC49" s="97">
        <v>962095</v>
      </c>
      <c r="BD49" s="97">
        <v>4814</v>
      </c>
      <c r="BE49" s="97">
        <v>23988215</v>
      </c>
      <c r="BF49" s="97">
        <v>0</v>
      </c>
      <c r="BG49" s="97">
        <v>0</v>
      </c>
      <c r="BH49" s="97">
        <v>0</v>
      </c>
      <c r="BI49" s="97">
        <v>0</v>
      </c>
      <c r="BJ49" s="97">
        <v>0</v>
      </c>
      <c r="BK49" s="97">
        <v>0</v>
      </c>
      <c r="BL49" s="97">
        <v>0</v>
      </c>
      <c r="BM49" s="97">
        <v>302448</v>
      </c>
      <c r="BN49" s="97">
        <v>0</v>
      </c>
      <c r="BO49" s="97">
        <v>133212</v>
      </c>
      <c r="BP49" s="97">
        <v>0</v>
      </c>
      <c r="BQ49" s="97">
        <v>435660</v>
      </c>
      <c r="BR49" s="97">
        <v>13524666</v>
      </c>
      <c r="BS49" s="97">
        <v>2593776</v>
      </c>
      <c r="BT49" s="97">
        <v>234002</v>
      </c>
      <c r="BU49" s="97">
        <v>2638036</v>
      </c>
      <c r="BV49" s="97">
        <v>3307340</v>
      </c>
      <c r="BW49" s="97">
        <v>22297820</v>
      </c>
      <c r="BX49" s="97">
        <v>120500</v>
      </c>
      <c r="BY49" s="97">
        <v>464500</v>
      </c>
      <c r="BZ49" s="97">
        <v>1250</v>
      </c>
      <c r="CA49" s="97">
        <v>2500</v>
      </c>
      <c r="CB49" s="97">
        <v>0</v>
      </c>
      <c r="CC49" s="97">
        <v>588750</v>
      </c>
      <c r="CD49" s="97">
        <v>0</v>
      </c>
      <c r="CE49" s="97">
        <v>0</v>
      </c>
      <c r="CF49" s="97">
        <v>0</v>
      </c>
      <c r="CG49" s="97">
        <v>0</v>
      </c>
      <c r="CH49" s="97">
        <v>0</v>
      </c>
      <c r="CI49" s="97">
        <v>0</v>
      </c>
      <c r="CJ49" s="97">
        <v>5559</v>
      </c>
      <c r="CK49" s="97">
        <v>557</v>
      </c>
      <c r="CL49" s="97">
        <v>6548</v>
      </c>
      <c r="CM49" s="97">
        <v>0</v>
      </c>
      <c r="CN49" s="97">
        <v>343328</v>
      </c>
      <c r="CO49" s="97">
        <v>355992</v>
      </c>
      <c r="CP49" s="97">
        <v>0</v>
      </c>
      <c r="CQ49" s="97">
        <v>0</v>
      </c>
      <c r="CR49" s="97">
        <v>0</v>
      </c>
      <c r="CS49" s="97">
        <v>0</v>
      </c>
      <c r="CT49" s="97">
        <v>3850738</v>
      </c>
      <c r="CU49" s="97">
        <v>3850738</v>
      </c>
      <c r="CV49" s="97">
        <v>17456172</v>
      </c>
      <c r="CW49" s="97">
        <v>9179747</v>
      </c>
      <c r="CX49" s="97">
        <v>39375</v>
      </c>
      <c r="CY49" s="97">
        <v>94866</v>
      </c>
      <c r="CZ49" s="97">
        <v>821466</v>
      </c>
      <c r="DA49" s="97">
        <v>27591626</v>
      </c>
      <c r="DB49" s="97">
        <v>0</v>
      </c>
      <c r="DC49" s="97">
        <v>0</v>
      </c>
      <c r="DD49" s="97">
        <v>0</v>
      </c>
      <c r="DE49" s="97">
        <v>0</v>
      </c>
      <c r="DF49" s="97">
        <v>1197652</v>
      </c>
      <c r="DG49" s="97">
        <v>1197652</v>
      </c>
      <c r="DH49" s="97">
        <v>812059</v>
      </c>
      <c r="DI49" s="97">
        <v>216361</v>
      </c>
      <c r="DJ49" s="97">
        <v>57549</v>
      </c>
      <c r="DK49" s="97">
        <v>61166</v>
      </c>
      <c r="DL49" s="97">
        <v>71581</v>
      </c>
      <c r="DM49" s="97">
        <v>1218716</v>
      </c>
      <c r="DN49" s="97">
        <v>345000</v>
      </c>
      <c r="DO49" s="97">
        <v>265320</v>
      </c>
      <c r="DP49" s="97">
        <v>120000</v>
      </c>
      <c r="DQ49" s="97">
        <v>964324</v>
      </c>
      <c r="DR49" s="97">
        <v>4514184</v>
      </c>
      <c r="DS49" s="97">
        <v>6208828</v>
      </c>
      <c r="DT49" s="97">
        <v>205035</v>
      </c>
      <c r="DU49" s="97">
        <v>321692</v>
      </c>
      <c r="DV49" s="97">
        <v>180764</v>
      </c>
      <c r="DW49" s="97">
        <v>1546498</v>
      </c>
      <c r="DX49" s="97">
        <v>31800</v>
      </c>
      <c r="DY49" s="97">
        <v>2285789</v>
      </c>
      <c r="DZ49" s="97">
        <v>52632</v>
      </c>
      <c r="EA49" s="97">
        <v>15926</v>
      </c>
      <c r="EB49" s="97">
        <v>1794</v>
      </c>
      <c r="EC49" s="97">
        <v>289893</v>
      </c>
      <c r="ED49" s="97">
        <v>1107008</v>
      </c>
      <c r="EE49" s="97">
        <v>1467253</v>
      </c>
      <c r="EF49" s="97">
        <v>52632</v>
      </c>
      <c r="EG49" s="97">
        <v>15926</v>
      </c>
      <c r="EH49" s="97">
        <v>1794</v>
      </c>
      <c r="EI49" s="97">
        <v>289893</v>
      </c>
      <c r="EJ49" s="97">
        <v>1107008</v>
      </c>
      <c r="EK49" s="97">
        <v>1467253</v>
      </c>
      <c r="EL49" s="97">
        <v>50159347</v>
      </c>
      <c r="EM49" s="97">
        <v>19807794</v>
      </c>
      <c r="EN49" s="97">
        <v>876379</v>
      </c>
      <c r="EO49" s="97">
        <v>7053949</v>
      </c>
      <c r="EP49" s="97">
        <v>16049238</v>
      </c>
      <c r="EQ49" s="97">
        <v>93946707</v>
      </c>
      <c r="ER49" s="97">
        <v>2797310</v>
      </c>
      <c r="ES49" s="97">
        <v>462552</v>
      </c>
      <c r="ET49" s="97">
        <v>501875</v>
      </c>
      <c r="EU49" s="97">
        <v>7222513</v>
      </c>
      <c r="EV49" s="97">
        <v>132532</v>
      </c>
      <c r="EW49" s="97">
        <v>11116782</v>
      </c>
      <c r="EX49" s="97">
        <v>1812911</v>
      </c>
      <c r="EY49" s="97">
        <v>714920</v>
      </c>
      <c r="EZ49" s="97">
        <v>63000</v>
      </c>
      <c r="FA49" s="97">
        <v>52300</v>
      </c>
      <c r="FB49" s="97">
        <v>0</v>
      </c>
      <c r="FC49" s="97">
        <v>2643131</v>
      </c>
      <c r="FD49" s="97">
        <v>4738415</v>
      </c>
      <c r="FE49" s="97">
        <v>4291871</v>
      </c>
      <c r="FF49" s="97">
        <v>990024</v>
      </c>
      <c r="FG49" s="97">
        <v>4824808</v>
      </c>
      <c r="FH49" s="97">
        <v>0</v>
      </c>
      <c r="FI49" s="97">
        <v>14845118</v>
      </c>
      <c r="FJ49" s="97">
        <v>120500</v>
      </c>
      <c r="FK49" s="97">
        <v>464500</v>
      </c>
      <c r="FL49" s="97">
        <v>1250</v>
      </c>
      <c r="FM49" s="97">
        <v>2500</v>
      </c>
      <c r="FN49" s="97">
        <v>0</v>
      </c>
      <c r="FO49" s="97">
        <v>588750</v>
      </c>
      <c r="FP49" s="97">
        <v>1149840</v>
      </c>
      <c r="FQ49" s="97">
        <v>467004</v>
      </c>
      <c r="FR49" s="97">
        <v>231094</v>
      </c>
      <c r="FS49" s="97">
        <v>287566</v>
      </c>
      <c r="FT49" s="97">
        <v>10136038</v>
      </c>
      <c r="FU49" s="97">
        <v>12271542</v>
      </c>
      <c r="FV49" s="97">
        <v>0</v>
      </c>
      <c r="FW49" s="97">
        <v>0</v>
      </c>
      <c r="FX49" s="97">
        <v>0</v>
      </c>
      <c r="FY49" s="97">
        <v>0</v>
      </c>
      <c r="FZ49" s="97">
        <v>0</v>
      </c>
      <c r="GA49" s="97">
        <v>0</v>
      </c>
      <c r="GB49" s="97">
        <v>0</v>
      </c>
      <c r="GC49" s="97">
        <v>0</v>
      </c>
      <c r="GD49" s="97">
        <v>0</v>
      </c>
      <c r="GE49" s="97">
        <v>0</v>
      </c>
      <c r="GF49" s="97">
        <v>0</v>
      </c>
      <c r="GG49" s="97">
        <v>0</v>
      </c>
      <c r="GH49" s="97">
        <v>0</v>
      </c>
      <c r="GI49" s="97">
        <v>0</v>
      </c>
      <c r="GJ49" s="97">
        <v>0</v>
      </c>
      <c r="GK49" s="97">
        <v>0</v>
      </c>
      <c r="GL49" s="97">
        <v>0</v>
      </c>
      <c r="GM49" s="97">
        <v>0</v>
      </c>
      <c r="GN49" s="97">
        <v>2038531</v>
      </c>
      <c r="GO49" s="97">
        <v>1428797</v>
      </c>
      <c r="GP49" s="97">
        <v>506884</v>
      </c>
      <c r="GQ49" s="97">
        <v>2376162</v>
      </c>
      <c r="GR49" s="97">
        <v>0</v>
      </c>
      <c r="GS49" s="97">
        <v>6350374</v>
      </c>
      <c r="GT49" s="97">
        <v>568634</v>
      </c>
      <c r="GU49" s="97">
        <v>327981</v>
      </c>
      <c r="GV49" s="97">
        <v>137478</v>
      </c>
      <c r="GW49" s="97">
        <v>1460676</v>
      </c>
      <c r="GX49" s="97">
        <v>41209</v>
      </c>
      <c r="GY49" s="97">
        <v>2535978</v>
      </c>
      <c r="GZ49" s="97">
        <v>2053124</v>
      </c>
      <c r="HA49" s="97">
        <v>975777</v>
      </c>
      <c r="HB49" s="97">
        <v>366104</v>
      </c>
      <c r="HC49" s="97">
        <v>523306</v>
      </c>
      <c r="HD49" s="97">
        <v>51325</v>
      </c>
      <c r="HE49" s="97">
        <v>3969636</v>
      </c>
      <c r="HF49" s="97">
        <v>168605</v>
      </c>
      <c r="HG49" s="97">
        <v>56216</v>
      </c>
      <c r="HH49" s="97">
        <v>16512</v>
      </c>
      <c r="HI49" s="97">
        <v>60843</v>
      </c>
      <c r="HJ49" s="97">
        <v>1713024</v>
      </c>
      <c r="HK49" s="97">
        <v>2015200</v>
      </c>
      <c r="HL49" s="97">
        <v>61276</v>
      </c>
      <c r="HM49" s="97">
        <v>229416</v>
      </c>
      <c r="HN49" s="97">
        <v>117171</v>
      </c>
      <c r="HO49" s="97">
        <v>810439</v>
      </c>
      <c r="HP49" s="97">
        <v>176752</v>
      </c>
      <c r="HQ49" s="97">
        <v>1395054</v>
      </c>
      <c r="HR49" s="97">
        <v>1934123</v>
      </c>
      <c r="HS49" s="97">
        <v>171119</v>
      </c>
      <c r="HT49" s="97">
        <v>162871</v>
      </c>
      <c r="HU49" s="97">
        <v>1426845</v>
      </c>
      <c r="HV49" s="97">
        <v>10437698</v>
      </c>
      <c r="HW49" s="97">
        <v>14132656</v>
      </c>
      <c r="HX49" s="97">
        <v>454650</v>
      </c>
      <c r="HY49" s="97">
        <v>0</v>
      </c>
      <c r="HZ49" s="97">
        <v>0</v>
      </c>
      <c r="IA49" s="97">
        <v>0</v>
      </c>
      <c r="IB49" s="97">
        <v>180623</v>
      </c>
      <c r="IC49" s="97">
        <v>635273</v>
      </c>
      <c r="ID49" s="97">
        <v>0</v>
      </c>
      <c r="IE49" s="97">
        <v>0</v>
      </c>
      <c r="IF49" s="97">
        <v>0</v>
      </c>
      <c r="IG49" s="97">
        <v>0</v>
      </c>
      <c r="IH49" s="97">
        <v>3850738</v>
      </c>
      <c r="II49" s="97">
        <v>3850738</v>
      </c>
      <c r="IJ49" s="97">
        <v>17466</v>
      </c>
      <c r="IK49" s="97">
        <v>7742</v>
      </c>
      <c r="IL49" s="97">
        <v>1771</v>
      </c>
      <c r="IM49" s="97">
        <v>22100</v>
      </c>
      <c r="IN49" s="97">
        <v>1258556</v>
      </c>
      <c r="IO49" s="97">
        <v>1307635</v>
      </c>
      <c r="IP49" s="97">
        <v>40</v>
      </c>
      <c r="IQ49" s="97">
        <v>250</v>
      </c>
      <c r="IR49" s="97">
        <v>1135</v>
      </c>
      <c r="IS49" s="97">
        <v>4811</v>
      </c>
      <c r="IT49" s="97">
        <v>104613</v>
      </c>
      <c r="IU49" s="97">
        <v>110849</v>
      </c>
      <c r="IV49" s="97">
        <v>2131979</v>
      </c>
      <c r="IW49" s="97">
        <v>570674</v>
      </c>
      <c r="IX49" s="97">
        <v>305434</v>
      </c>
      <c r="IY49" s="97">
        <v>1358464</v>
      </c>
      <c r="IZ49" s="97">
        <v>4766607</v>
      </c>
      <c r="JA49" s="97">
        <v>9133158</v>
      </c>
      <c r="JB49" s="97">
        <v>20469348</v>
      </c>
      <c r="JC49" s="97">
        <v>10302385</v>
      </c>
      <c r="JD49" s="97">
        <v>3504478</v>
      </c>
      <c r="JE49" s="97">
        <v>20797506</v>
      </c>
      <c r="JF49" s="97">
        <v>33026715</v>
      </c>
      <c r="JG49" s="97">
        <v>88100432</v>
      </c>
      <c r="JH49" s="97">
        <v>0</v>
      </c>
      <c r="JI49" s="97">
        <v>0</v>
      </c>
      <c r="JJ49" s="97">
        <v>0</v>
      </c>
      <c r="JK49" s="97">
        <v>0</v>
      </c>
      <c r="JL49" s="97">
        <v>475000</v>
      </c>
      <c r="JM49" s="97">
        <v>475000</v>
      </c>
      <c r="JN49" s="97">
        <v>20469348</v>
      </c>
      <c r="JO49" s="97">
        <v>10302385</v>
      </c>
      <c r="JP49" s="97">
        <v>3504478</v>
      </c>
      <c r="JQ49" s="97">
        <v>20797506</v>
      </c>
      <c r="JR49" s="97">
        <v>33501715</v>
      </c>
      <c r="JS49" s="97">
        <v>88575432</v>
      </c>
      <c r="JU49" s="5">
        <f t="shared" si="78"/>
        <v>23988215</v>
      </c>
      <c r="JV49" s="29">
        <f t="shared" si="79"/>
        <v>0</v>
      </c>
      <c r="JW49" s="5">
        <f t="shared" si="80"/>
        <v>0</v>
      </c>
      <c r="JX49" s="29">
        <f t="shared" si="81"/>
        <v>0</v>
      </c>
      <c r="JY49" s="5">
        <f t="shared" si="82"/>
        <v>435660</v>
      </c>
      <c r="JZ49" s="29">
        <f t="shared" si="83"/>
        <v>0</v>
      </c>
      <c r="KA49" s="5">
        <f t="shared" si="84"/>
        <v>22297820</v>
      </c>
      <c r="KB49" s="29">
        <f t="shared" si="85"/>
        <v>0</v>
      </c>
      <c r="KC49" s="5">
        <f t="shared" si="86"/>
        <v>588750</v>
      </c>
      <c r="KD49" s="29">
        <f t="shared" si="87"/>
        <v>0</v>
      </c>
      <c r="KE49" s="5">
        <f t="shared" si="88"/>
        <v>0</v>
      </c>
      <c r="KF49" s="29">
        <f t="shared" si="89"/>
        <v>0</v>
      </c>
      <c r="KG49" s="5">
        <f t="shared" si="90"/>
        <v>355992</v>
      </c>
      <c r="KH49" s="29">
        <f t="shared" si="91"/>
        <v>0</v>
      </c>
      <c r="KI49" s="5">
        <f t="shared" si="92"/>
        <v>3850738</v>
      </c>
      <c r="KJ49" s="29">
        <f t="shared" si="93"/>
        <v>0</v>
      </c>
      <c r="KK49" s="5">
        <f t="shared" si="94"/>
        <v>27591626</v>
      </c>
      <c r="KL49" s="29">
        <f t="shared" si="95"/>
        <v>0</v>
      </c>
      <c r="KM49" s="5">
        <f t="shared" si="96"/>
        <v>1197652</v>
      </c>
      <c r="KN49" s="29">
        <f t="shared" si="97"/>
        <v>0</v>
      </c>
      <c r="KO49" s="5">
        <f t="shared" si="98"/>
        <v>1218716</v>
      </c>
      <c r="KP49" s="29">
        <f t="shared" si="99"/>
        <v>0</v>
      </c>
      <c r="KQ49" s="5">
        <f t="shared" si="100"/>
        <v>6208828</v>
      </c>
      <c r="KR49" s="29">
        <f t="shared" si="101"/>
        <v>0</v>
      </c>
      <c r="KS49" s="5">
        <f t="shared" si="102"/>
        <v>2285789</v>
      </c>
      <c r="KT49" s="29">
        <f t="shared" si="103"/>
        <v>0</v>
      </c>
      <c r="KU49" s="5">
        <f t="shared" si="104"/>
        <v>1467253</v>
      </c>
      <c r="KV49" s="29">
        <f t="shared" si="105"/>
        <v>0</v>
      </c>
      <c r="KW49" s="5">
        <f t="shared" si="106"/>
        <v>1467253</v>
      </c>
      <c r="KX49" s="29">
        <f t="shared" si="107"/>
        <v>0</v>
      </c>
      <c r="KY49" s="5">
        <f t="shared" si="108"/>
        <v>93946707</v>
      </c>
      <c r="KZ49" s="29">
        <f t="shared" si="109"/>
        <v>0</v>
      </c>
      <c r="LA49" s="5">
        <f t="shared" si="110"/>
        <v>11116782</v>
      </c>
      <c r="LB49" s="29">
        <f t="shared" si="111"/>
        <v>0</v>
      </c>
      <c r="LC49" s="5">
        <f t="shared" si="112"/>
        <v>2643131</v>
      </c>
      <c r="LD49" s="29">
        <f t="shared" si="113"/>
        <v>0</v>
      </c>
      <c r="LE49" s="5">
        <f t="shared" si="114"/>
        <v>14845118</v>
      </c>
      <c r="LF49" s="29">
        <f t="shared" si="115"/>
        <v>0</v>
      </c>
      <c r="LG49" s="5">
        <f t="shared" si="116"/>
        <v>588750</v>
      </c>
      <c r="LH49" s="29">
        <f t="shared" si="117"/>
        <v>0</v>
      </c>
      <c r="LI49" s="5">
        <f t="shared" si="118"/>
        <v>12271542</v>
      </c>
      <c r="LJ49" s="29">
        <f t="shared" si="119"/>
        <v>0</v>
      </c>
      <c r="LK49" s="5">
        <f t="shared" si="120"/>
        <v>0</v>
      </c>
      <c r="LL49" s="29">
        <f t="shared" si="121"/>
        <v>0</v>
      </c>
      <c r="LM49" s="5">
        <f t="shared" si="122"/>
        <v>0</v>
      </c>
      <c r="LN49" s="29">
        <f t="shared" si="123"/>
        <v>0</v>
      </c>
      <c r="LO49" s="5">
        <f t="shared" si="124"/>
        <v>0</v>
      </c>
      <c r="LP49" s="29">
        <f t="shared" si="125"/>
        <v>0</v>
      </c>
      <c r="LQ49" s="5">
        <f t="shared" si="126"/>
        <v>6350374</v>
      </c>
      <c r="LR49" s="29">
        <f t="shared" si="127"/>
        <v>0</v>
      </c>
      <c r="LS49" s="5">
        <f t="shared" si="128"/>
        <v>2535978</v>
      </c>
      <c r="LT49" s="29">
        <f t="shared" si="129"/>
        <v>0</v>
      </c>
      <c r="LU49" s="5">
        <f t="shared" si="130"/>
        <v>3969636</v>
      </c>
      <c r="LV49" s="29">
        <f t="shared" si="131"/>
        <v>0</v>
      </c>
      <c r="LW49" s="5">
        <f t="shared" si="132"/>
        <v>2015200</v>
      </c>
      <c r="LX49" s="29">
        <f t="shared" si="133"/>
        <v>0</v>
      </c>
      <c r="LY49" s="5">
        <f t="shared" si="134"/>
        <v>1395054</v>
      </c>
      <c r="LZ49" s="29">
        <f t="shared" si="135"/>
        <v>0</v>
      </c>
      <c r="MA49" s="5">
        <f t="shared" si="136"/>
        <v>14132656</v>
      </c>
      <c r="MB49" s="29">
        <f t="shared" si="137"/>
        <v>0</v>
      </c>
      <c r="MC49" s="5">
        <f t="shared" si="138"/>
        <v>635273</v>
      </c>
      <c r="MD49" s="29">
        <f t="shared" si="139"/>
        <v>0</v>
      </c>
      <c r="ME49" s="5">
        <f t="shared" si="140"/>
        <v>3850738</v>
      </c>
      <c r="MF49" s="29">
        <f t="shared" si="141"/>
        <v>0</v>
      </c>
      <c r="MG49" s="5">
        <f t="shared" si="142"/>
        <v>1307635</v>
      </c>
      <c r="MH49" s="29">
        <f t="shared" si="143"/>
        <v>0</v>
      </c>
      <c r="MI49" s="5">
        <f t="shared" si="144"/>
        <v>110849</v>
      </c>
      <c r="MJ49" s="29">
        <f t="shared" si="145"/>
        <v>0</v>
      </c>
      <c r="MK49" s="5">
        <f t="shared" si="146"/>
        <v>9133158</v>
      </c>
      <c r="ML49" s="29">
        <f t="shared" si="147"/>
        <v>0</v>
      </c>
      <c r="MM49" s="5">
        <f t="shared" si="148"/>
        <v>88100432</v>
      </c>
      <c r="MN49" s="29">
        <f t="shared" si="149"/>
        <v>0</v>
      </c>
      <c r="MO49" s="5">
        <f t="shared" si="150"/>
        <v>475000</v>
      </c>
      <c r="MP49" s="29">
        <f t="shared" si="151"/>
        <v>0</v>
      </c>
      <c r="MQ49" s="5">
        <f t="shared" si="152"/>
        <v>88575432</v>
      </c>
      <c r="MR49" s="29">
        <f t="shared" si="153"/>
        <v>0</v>
      </c>
      <c r="MT49" s="5">
        <f t="shared" si="76"/>
        <v>0</v>
      </c>
      <c r="MV49" s="4">
        <f t="shared" si="77"/>
        <v>0</v>
      </c>
    </row>
    <row r="50" spans="1:360" x14ac:dyDescent="0.15">
      <c r="A50" s="155" t="s">
        <v>503</v>
      </c>
      <c r="B50" s="28" t="s">
        <v>466</v>
      </c>
      <c r="C50" s="47">
        <v>220978</v>
      </c>
      <c r="D50" s="48">
        <v>2012</v>
      </c>
      <c r="E50" s="49">
        <v>1</v>
      </c>
      <c r="F50" s="49">
        <v>11</v>
      </c>
      <c r="G50" s="50">
        <v>9260</v>
      </c>
      <c r="H50" s="50">
        <v>10111</v>
      </c>
      <c r="I50" s="51">
        <v>362979193</v>
      </c>
      <c r="J50" s="51"/>
      <c r="K50" s="51">
        <v>1732921</v>
      </c>
      <c r="L50" s="51"/>
      <c r="M50" s="51">
        <v>14779859</v>
      </c>
      <c r="N50" s="51"/>
      <c r="O50" s="51">
        <v>23884503</v>
      </c>
      <c r="P50" s="51"/>
      <c r="Q50" s="51">
        <v>219593397</v>
      </c>
      <c r="R50" s="51"/>
      <c r="S50" s="52">
        <v>365408956</v>
      </c>
      <c r="T50" s="52"/>
      <c r="U50" s="52">
        <v>15914</v>
      </c>
      <c r="V50" s="52"/>
      <c r="W50" s="52">
        <v>30302</v>
      </c>
      <c r="X50" s="52"/>
      <c r="Y50" s="52">
        <v>18710</v>
      </c>
      <c r="Z50" s="52"/>
      <c r="AA50" s="52">
        <v>34217</v>
      </c>
      <c r="AB50" s="49"/>
      <c r="AC50" s="72">
        <v>8</v>
      </c>
      <c r="AD50" s="72">
        <v>9</v>
      </c>
      <c r="AE50" s="72">
        <v>0</v>
      </c>
      <c r="AF50" s="29">
        <v>4470622</v>
      </c>
      <c r="AG50" s="29">
        <v>2269048</v>
      </c>
      <c r="AH50" s="29">
        <v>337316</v>
      </c>
      <c r="AI50" s="29">
        <v>124646</v>
      </c>
      <c r="AJ50" s="29">
        <v>220621.64</v>
      </c>
      <c r="AK50" s="73">
        <v>5.5</v>
      </c>
      <c r="AL50" s="29">
        <v>202236.5</v>
      </c>
      <c r="AM50" s="73">
        <v>6</v>
      </c>
      <c r="AN50" s="29">
        <v>114348.64</v>
      </c>
      <c r="AO50" s="73">
        <v>5.9</v>
      </c>
      <c r="AP50" s="29">
        <v>96379.57</v>
      </c>
      <c r="AQ50" s="73">
        <v>7</v>
      </c>
      <c r="AR50" s="29">
        <v>93869.59</v>
      </c>
      <c r="AS50" s="73">
        <v>16.670000000000002</v>
      </c>
      <c r="AT50" s="29">
        <v>68035.039999999994</v>
      </c>
      <c r="AU50" s="73">
        <v>23</v>
      </c>
      <c r="AV50" s="29">
        <v>53683.27</v>
      </c>
      <c r="AW50" s="73">
        <v>10.58</v>
      </c>
      <c r="AX50" s="29">
        <v>35498.06</v>
      </c>
      <c r="AY50" s="73">
        <v>16</v>
      </c>
      <c r="AZ50" s="97">
        <v>914088</v>
      </c>
      <c r="BA50" s="97">
        <v>220737</v>
      </c>
      <c r="BB50" s="97">
        <v>143291</v>
      </c>
      <c r="BC50" s="97">
        <v>35532</v>
      </c>
      <c r="BD50" s="97">
        <v>0</v>
      </c>
      <c r="BE50" s="97">
        <v>1313648</v>
      </c>
      <c r="BF50" s="97">
        <v>4368798</v>
      </c>
      <c r="BG50" s="97">
        <v>1259522</v>
      </c>
      <c r="BH50" s="97">
        <v>1075718</v>
      </c>
      <c r="BI50" s="97">
        <v>1620221</v>
      </c>
      <c r="BJ50" s="97">
        <v>0</v>
      </c>
      <c r="BK50" s="97">
        <v>8324259</v>
      </c>
      <c r="BL50" s="97">
        <v>1800000</v>
      </c>
      <c r="BM50" s="97">
        <v>100000</v>
      </c>
      <c r="BN50" s="97">
        <v>6500</v>
      </c>
      <c r="BO50" s="97">
        <v>5500</v>
      </c>
      <c r="BP50" s="97">
        <v>0</v>
      </c>
      <c r="BQ50" s="97">
        <v>1912000</v>
      </c>
      <c r="BR50" s="97">
        <v>367443</v>
      </c>
      <c r="BS50" s="97">
        <v>39339</v>
      </c>
      <c r="BT50" s="97">
        <v>56749</v>
      </c>
      <c r="BU50" s="97">
        <v>90483</v>
      </c>
      <c r="BV50" s="97">
        <v>1048108</v>
      </c>
      <c r="BW50" s="97">
        <v>1602122</v>
      </c>
      <c r="BX50" s="97">
        <v>0</v>
      </c>
      <c r="BY50" s="97">
        <v>0</v>
      </c>
      <c r="BZ50" s="97">
        <v>0</v>
      </c>
      <c r="CA50" s="97">
        <v>0</v>
      </c>
      <c r="CB50" s="97">
        <v>0</v>
      </c>
      <c r="CC50" s="97">
        <v>0</v>
      </c>
      <c r="CD50" s="97">
        <v>0</v>
      </c>
      <c r="CE50" s="97">
        <v>0</v>
      </c>
      <c r="CF50" s="97">
        <v>0</v>
      </c>
      <c r="CG50" s="97">
        <v>0</v>
      </c>
      <c r="CH50" s="97">
        <v>0</v>
      </c>
      <c r="CI50" s="97">
        <v>0</v>
      </c>
      <c r="CJ50" s="97">
        <v>83234</v>
      </c>
      <c r="CK50" s="97">
        <v>58549</v>
      </c>
      <c r="CL50" s="97">
        <v>11002</v>
      </c>
      <c r="CM50" s="97">
        <v>4031454</v>
      </c>
      <c r="CN50" s="97">
        <v>3386507</v>
      </c>
      <c r="CO50" s="97">
        <v>7570746</v>
      </c>
      <c r="CP50" s="97">
        <v>908413</v>
      </c>
      <c r="CQ50" s="97">
        <v>265127</v>
      </c>
      <c r="CR50" s="97">
        <v>264661</v>
      </c>
      <c r="CS50" s="97">
        <v>942266</v>
      </c>
      <c r="CT50" s="97">
        <v>914492</v>
      </c>
      <c r="CU50" s="97">
        <v>3294959</v>
      </c>
      <c r="CV50" s="97">
        <v>0</v>
      </c>
      <c r="CW50" s="97">
        <v>116235</v>
      </c>
      <c r="CX50" s="97">
        <v>30157</v>
      </c>
      <c r="CY50" s="97">
        <v>17544</v>
      </c>
      <c r="CZ50" s="97">
        <v>978780</v>
      </c>
      <c r="DA50" s="97">
        <v>1142716</v>
      </c>
      <c r="DB50" s="97">
        <v>0</v>
      </c>
      <c r="DC50" s="97">
        <v>0</v>
      </c>
      <c r="DD50" s="97">
        <v>0</v>
      </c>
      <c r="DE50" s="97">
        <v>0</v>
      </c>
      <c r="DF50" s="97">
        <v>0</v>
      </c>
      <c r="DG50" s="97">
        <v>0</v>
      </c>
      <c r="DH50" s="97">
        <v>81514</v>
      </c>
      <c r="DI50" s="97">
        <v>39274</v>
      </c>
      <c r="DJ50" s="97">
        <v>23048</v>
      </c>
      <c r="DK50" s="97">
        <v>11868</v>
      </c>
      <c r="DL50" s="97">
        <v>73297</v>
      </c>
      <c r="DM50" s="97">
        <v>229001</v>
      </c>
      <c r="DN50" s="97">
        <v>0</v>
      </c>
      <c r="DO50" s="97">
        <v>0</v>
      </c>
      <c r="DP50" s="97">
        <v>0</v>
      </c>
      <c r="DQ50" s="97">
        <v>500</v>
      </c>
      <c r="DR50" s="97">
        <v>1066288</v>
      </c>
      <c r="DS50" s="97">
        <v>1066788</v>
      </c>
      <c r="DT50" s="97">
        <v>0</v>
      </c>
      <c r="DU50" s="97">
        <v>0</v>
      </c>
      <c r="DV50" s="97">
        <v>0</v>
      </c>
      <c r="DW50" s="97">
        <v>0</v>
      </c>
      <c r="DX50" s="97">
        <v>0</v>
      </c>
      <c r="DY50" s="97">
        <v>0</v>
      </c>
      <c r="DZ50" s="97">
        <v>2413</v>
      </c>
      <c r="EA50" s="97">
        <v>0</v>
      </c>
      <c r="EB50" s="97">
        <v>353</v>
      </c>
      <c r="EC50" s="97">
        <v>28563</v>
      </c>
      <c r="ED50" s="97">
        <v>33959</v>
      </c>
      <c r="EE50" s="97">
        <v>65288</v>
      </c>
      <c r="EF50" s="97">
        <v>25</v>
      </c>
      <c r="EG50" s="97">
        <v>0</v>
      </c>
      <c r="EH50" s="97">
        <v>0</v>
      </c>
      <c r="EI50" s="97">
        <v>29490</v>
      </c>
      <c r="EJ50" s="97">
        <v>4431</v>
      </c>
      <c r="EK50" s="97">
        <v>33946</v>
      </c>
      <c r="EL50" s="97">
        <v>8525928</v>
      </c>
      <c r="EM50" s="97">
        <v>2098783</v>
      </c>
      <c r="EN50" s="97">
        <v>1611479</v>
      </c>
      <c r="EO50" s="97">
        <v>6813421</v>
      </c>
      <c r="EP50" s="97">
        <v>7505862</v>
      </c>
      <c r="EQ50" s="97">
        <v>26555473</v>
      </c>
      <c r="ER50" s="97">
        <v>2990573</v>
      </c>
      <c r="ES50" s="97">
        <v>493685</v>
      </c>
      <c r="ET50" s="97">
        <v>288693</v>
      </c>
      <c r="EU50" s="97">
        <v>2966719</v>
      </c>
      <c r="EV50" s="97">
        <v>512714</v>
      </c>
      <c r="EW50" s="97">
        <v>7252384</v>
      </c>
      <c r="EX50" s="97">
        <v>450000</v>
      </c>
      <c r="EY50" s="97">
        <v>102710</v>
      </c>
      <c r="EZ50" s="97">
        <v>3000</v>
      </c>
      <c r="FA50" s="97">
        <v>12500</v>
      </c>
      <c r="FB50" s="97">
        <v>0</v>
      </c>
      <c r="FC50" s="97">
        <v>568210</v>
      </c>
      <c r="FD50" s="97">
        <v>1651337</v>
      </c>
      <c r="FE50" s="97">
        <v>594456</v>
      </c>
      <c r="FF50" s="97">
        <v>565829</v>
      </c>
      <c r="FG50" s="97">
        <v>1209229</v>
      </c>
      <c r="FH50" s="97">
        <v>0</v>
      </c>
      <c r="FI50" s="97">
        <v>4020851</v>
      </c>
      <c r="FJ50" s="97">
        <v>0</v>
      </c>
      <c r="FK50" s="97">
        <v>0</v>
      </c>
      <c r="FL50" s="97">
        <v>0</v>
      </c>
      <c r="FM50" s="97">
        <v>0</v>
      </c>
      <c r="FN50" s="97">
        <v>0</v>
      </c>
      <c r="FO50" s="97">
        <v>0</v>
      </c>
      <c r="FP50" s="97">
        <v>276547</v>
      </c>
      <c r="FQ50" s="97">
        <v>45892</v>
      </c>
      <c r="FR50" s="97">
        <v>56547</v>
      </c>
      <c r="FS50" s="97">
        <v>3575</v>
      </c>
      <c r="FT50" s="97">
        <v>2888209</v>
      </c>
      <c r="FU50" s="97">
        <v>3270770</v>
      </c>
      <c r="FV50" s="97">
        <v>0</v>
      </c>
      <c r="FW50" s="97">
        <v>0</v>
      </c>
      <c r="FX50" s="97">
        <v>0</v>
      </c>
      <c r="FY50" s="97">
        <v>0</v>
      </c>
      <c r="FZ50" s="97">
        <v>0</v>
      </c>
      <c r="GA50" s="97">
        <v>0</v>
      </c>
      <c r="GB50" s="97">
        <v>47842</v>
      </c>
      <c r="GC50" s="97">
        <v>0</v>
      </c>
      <c r="GD50" s="97">
        <v>0</v>
      </c>
      <c r="GE50" s="97">
        <v>0</v>
      </c>
      <c r="GF50" s="97">
        <v>0</v>
      </c>
      <c r="GG50" s="97">
        <v>47842</v>
      </c>
      <c r="GH50" s="97">
        <v>246212</v>
      </c>
      <c r="GI50" s="97">
        <v>68442</v>
      </c>
      <c r="GJ50" s="97">
        <v>54012</v>
      </c>
      <c r="GK50" s="97">
        <v>93296</v>
      </c>
      <c r="GL50" s="97">
        <v>0</v>
      </c>
      <c r="GM50" s="97">
        <v>461962</v>
      </c>
      <c r="GN50" s="97">
        <v>667482</v>
      </c>
      <c r="GO50" s="97">
        <v>268746</v>
      </c>
      <c r="GP50" s="97">
        <v>210732</v>
      </c>
      <c r="GQ50" s="97">
        <v>822170</v>
      </c>
      <c r="GR50" s="97">
        <v>0</v>
      </c>
      <c r="GS50" s="97">
        <v>1969130</v>
      </c>
      <c r="GT50" s="97">
        <v>654958</v>
      </c>
      <c r="GU50" s="97">
        <v>56148</v>
      </c>
      <c r="GV50" s="97">
        <v>64630</v>
      </c>
      <c r="GW50" s="97">
        <v>235731</v>
      </c>
      <c r="GX50" s="97">
        <v>7335</v>
      </c>
      <c r="GY50" s="97">
        <v>1018802</v>
      </c>
      <c r="GZ50" s="97">
        <v>239877</v>
      </c>
      <c r="HA50" s="97">
        <v>121562</v>
      </c>
      <c r="HB50" s="97">
        <v>87636</v>
      </c>
      <c r="HC50" s="97">
        <v>151140</v>
      </c>
      <c r="HD50" s="97">
        <v>0</v>
      </c>
      <c r="HE50" s="97">
        <v>600215</v>
      </c>
      <c r="HF50" s="97">
        <v>690</v>
      </c>
      <c r="HG50" s="97">
        <v>5042</v>
      </c>
      <c r="HH50" s="97">
        <v>11623</v>
      </c>
      <c r="HI50" s="97">
        <v>14944</v>
      </c>
      <c r="HJ50" s="97">
        <v>475394</v>
      </c>
      <c r="HK50" s="97">
        <v>507693</v>
      </c>
      <c r="HL50" s="97">
        <v>0</v>
      </c>
      <c r="HM50" s="97">
        <v>0</v>
      </c>
      <c r="HN50" s="97">
        <v>0</v>
      </c>
      <c r="HO50" s="97">
        <v>0</v>
      </c>
      <c r="HP50" s="97">
        <v>0</v>
      </c>
      <c r="HQ50" s="97">
        <v>0</v>
      </c>
      <c r="HR50" s="97">
        <v>65631</v>
      </c>
      <c r="HS50" s="97">
        <v>13764</v>
      </c>
      <c r="HT50" s="97">
        <v>415388</v>
      </c>
      <c r="HU50" s="97">
        <v>99620</v>
      </c>
      <c r="HV50" s="97">
        <v>208403</v>
      </c>
      <c r="HW50" s="97">
        <v>802806</v>
      </c>
      <c r="HX50" s="97">
        <v>0</v>
      </c>
      <c r="HY50" s="97">
        <v>925</v>
      </c>
      <c r="HZ50" s="97">
        <v>1950</v>
      </c>
      <c r="IA50" s="97">
        <v>2512</v>
      </c>
      <c r="IB50" s="97">
        <v>0</v>
      </c>
      <c r="IC50" s="97">
        <v>5387</v>
      </c>
      <c r="ID50" s="97">
        <v>908413</v>
      </c>
      <c r="IE50" s="97">
        <v>265127</v>
      </c>
      <c r="IF50" s="97">
        <v>264661</v>
      </c>
      <c r="IG50" s="97">
        <v>942266</v>
      </c>
      <c r="IH50" s="97">
        <v>914492</v>
      </c>
      <c r="II50" s="97">
        <v>3294959</v>
      </c>
      <c r="IJ50" s="97">
        <v>0</v>
      </c>
      <c r="IK50" s="97">
        <v>0</v>
      </c>
      <c r="IL50" s="97">
        <v>15</v>
      </c>
      <c r="IM50" s="97">
        <v>30</v>
      </c>
      <c r="IN50" s="97">
        <v>391914</v>
      </c>
      <c r="IO50" s="97">
        <v>391959</v>
      </c>
      <c r="IP50" s="97">
        <v>1500</v>
      </c>
      <c r="IQ50" s="97">
        <v>970</v>
      </c>
      <c r="IR50" s="97">
        <v>2127</v>
      </c>
      <c r="IS50" s="97">
        <v>4952</v>
      </c>
      <c r="IT50" s="97">
        <v>23622</v>
      </c>
      <c r="IU50" s="97">
        <v>33171</v>
      </c>
      <c r="IV50" s="97">
        <v>337285</v>
      </c>
      <c r="IW50" s="97">
        <v>71877</v>
      </c>
      <c r="IX50" s="97">
        <v>85208</v>
      </c>
      <c r="IY50" s="97">
        <v>247426</v>
      </c>
      <c r="IZ50" s="97">
        <v>1462786</v>
      </c>
      <c r="JA50" s="97">
        <v>2204582</v>
      </c>
      <c r="JB50" s="97">
        <v>8538347</v>
      </c>
      <c r="JC50" s="97">
        <v>2109346</v>
      </c>
      <c r="JD50" s="97">
        <v>2112051</v>
      </c>
      <c r="JE50" s="97">
        <v>6806110</v>
      </c>
      <c r="JF50" s="97">
        <v>6884869</v>
      </c>
      <c r="JG50" s="97">
        <v>26450723</v>
      </c>
      <c r="JH50" s="97">
        <v>0</v>
      </c>
      <c r="JI50" s="97">
        <v>0</v>
      </c>
      <c r="JJ50" s="97">
        <v>0</v>
      </c>
      <c r="JK50" s="97">
        <v>0</v>
      </c>
      <c r="JL50" s="97">
        <v>0</v>
      </c>
      <c r="JM50" s="97">
        <v>0</v>
      </c>
      <c r="JN50" s="97">
        <v>8538347</v>
      </c>
      <c r="JO50" s="97">
        <v>2109346</v>
      </c>
      <c r="JP50" s="97">
        <v>2112051</v>
      </c>
      <c r="JQ50" s="97">
        <v>6806110</v>
      </c>
      <c r="JR50" s="97">
        <v>6884869</v>
      </c>
      <c r="JS50" s="97">
        <v>26450723</v>
      </c>
      <c r="JU50" s="5">
        <f t="shared" si="78"/>
        <v>1313648</v>
      </c>
      <c r="JV50" s="29">
        <f t="shared" si="79"/>
        <v>0</v>
      </c>
      <c r="JW50" s="5">
        <f t="shared" si="80"/>
        <v>8324259</v>
      </c>
      <c r="JX50" s="29">
        <f t="shared" si="81"/>
        <v>0</v>
      </c>
      <c r="JY50" s="5">
        <f t="shared" si="82"/>
        <v>1912000</v>
      </c>
      <c r="JZ50" s="29">
        <f t="shared" si="83"/>
        <v>0</v>
      </c>
      <c r="KA50" s="5">
        <f t="shared" si="84"/>
        <v>1602122</v>
      </c>
      <c r="KB50" s="29">
        <f t="shared" si="85"/>
        <v>0</v>
      </c>
      <c r="KC50" s="5">
        <f t="shared" si="86"/>
        <v>0</v>
      </c>
      <c r="KD50" s="29">
        <f t="shared" si="87"/>
        <v>0</v>
      </c>
      <c r="KE50" s="5">
        <f t="shared" si="88"/>
        <v>0</v>
      </c>
      <c r="KF50" s="29">
        <f t="shared" si="89"/>
        <v>0</v>
      </c>
      <c r="KG50" s="5">
        <f t="shared" si="90"/>
        <v>7570746</v>
      </c>
      <c r="KH50" s="29">
        <f t="shared" si="91"/>
        <v>0</v>
      </c>
      <c r="KI50" s="5">
        <f t="shared" si="92"/>
        <v>3294959</v>
      </c>
      <c r="KJ50" s="29">
        <f t="shared" si="93"/>
        <v>0</v>
      </c>
      <c r="KK50" s="5">
        <f t="shared" si="94"/>
        <v>1142716</v>
      </c>
      <c r="KL50" s="29">
        <f t="shared" si="95"/>
        <v>0</v>
      </c>
      <c r="KM50" s="5">
        <f t="shared" si="96"/>
        <v>0</v>
      </c>
      <c r="KN50" s="29">
        <f t="shared" si="97"/>
        <v>0</v>
      </c>
      <c r="KO50" s="5">
        <f t="shared" si="98"/>
        <v>229001</v>
      </c>
      <c r="KP50" s="29">
        <f t="shared" si="99"/>
        <v>0</v>
      </c>
      <c r="KQ50" s="5">
        <f t="shared" si="100"/>
        <v>1066788</v>
      </c>
      <c r="KR50" s="29">
        <f t="shared" si="101"/>
        <v>0</v>
      </c>
      <c r="KS50" s="5">
        <f t="shared" si="102"/>
        <v>0</v>
      </c>
      <c r="KT50" s="29">
        <f t="shared" si="103"/>
        <v>0</v>
      </c>
      <c r="KU50" s="5">
        <f t="shared" si="104"/>
        <v>65288</v>
      </c>
      <c r="KV50" s="29">
        <f t="shared" si="105"/>
        <v>0</v>
      </c>
      <c r="KW50" s="5">
        <f t="shared" si="106"/>
        <v>33946</v>
      </c>
      <c r="KX50" s="29">
        <f t="shared" si="107"/>
        <v>0</v>
      </c>
      <c r="KY50" s="5">
        <f t="shared" si="108"/>
        <v>26555473</v>
      </c>
      <c r="KZ50" s="29">
        <f t="shared" si="109"/>
        <v>0</v>
      </c>
      <c r="LA50" s="5">
        <f t="shared" si="110"/>
        <v>7252384</v>
      </c>
      <c r="LB50" s="29">
        <f t="shared" si="111"/>
        <v>0</v>
      </c>
      <c r="LC50" s="5">
        <f t="shared" si="112"/>
        <v>568210</v>
      </c>
      <c r="LD50" s="29">
        <f t="shared" si="113"/>
        <v>0</v>
      </c>
      <c r="LE50" s="5">
        <f t="shared" si="114"/>
        <v>4020851</v>
      </c>
      <c r="LF50" s="29">
        <f t="shared" si="115"/>
        <v>0</v>
      </c>
      <c r="LG50" s="5">
        <f t="shared" si="116"/>
        <v>0</v>
      </c>
      <c r="LH50" s="29">
        <f t="shared" si="117"/>
        <v>0</v>
      </c>
      <c r="LI50" s="5">
        <f t="shared" si="118"/>
        <v>3270770</v>
      </c>
      <c r="LJ50" s="29">
        <f t="shared" si="119"/>
        <v>0</v>
      </c>
      <c r="LK50" s="5">
        <f t="shared" si="120"/>
        <v>0</v>
      </c>
      <c r="LL50" s="29">
        <f t="shared" si="121"/>
        <v>0</v>
      </c>
      <c r="LM50" s="5">
        <f t="shared" si="122"/>
        <v>47842</v>
      </c>
      <c r="LN50" s="29">
        <f t="shared" si="123"/>
        <v>0</v>
      </c>
      <c r="LO50" s="5">
        <f t="shared" si="124"/>
        <v>461962</v>
      </c>
      <c r="LP50" s="29">
        <f t="shared" si="125"/>
        <v>0</v>
      </c>
      <c r="LQ50" s="5">
        <f t="shared" si="126"/>
        <v>1969130</v>
      </c>
      <c r="LR50" s="29">
        <f t="shared" si="127"/>
        <v>0</v>
      </c>
      <c r="LS50" s="5">
        <f t="shared" si="128"/>
        <v>1018802</v>
      </c>
      <c r="LT50" s="29">
        <f t="shared" si="129"/>
        <v>0</v>
      </c>
      <c r="LU50" s="5">
        <f t="shared" si="130"/>
        <v>600215</v>
      </c>
      <c r="LV50" s="29">
        <f t="shared" si="131"/>
        <v>0</v>
      </c>
      <c r="LW50" s="5">
        <f t="shared" si="132"/>
        <v>507693</v>
      </c>
      <c r="LX50" s="29">
        <f t="shared" si="133"/>
        <v>0</v>
      </c>
      <c r="LY50" s="5">
        <f t="shared" si="134"/>
        <v>0</v>
      </c>
      <c r="LZ50" s="29">
        <f t="shared" si="135"/>
        <v>0</v>
      </c>
      <c r="MA50" s="5">
        <f t="shared" si="136"/>
        <v>802806</v>
      </c>
      <c r="MB50" s="29">
        <f t="shared" si="137"/>
        <v>0</v>
      </c>
      <c r="MC50" s="5">
        <f t="shared" si="138"/>
        <v>5387</v>
      </c>
      <c r="MD50" s="29">
        <f t="shared" si="139"/>
        <v>0</v>
      </c>
      <c r="ME50" s="5">
        <f t="shared" si="140"/>
        <v>3294959</v>
      </c>
      <c r="MF50" s="29">
        <f t="shared" si="141"/>
        <v>0</v>
      </c>
      <c r="MG50" s="5">
        <f t="shared" si="142"/>
        <v>391959</v>
      </c>
      <c r="MH50" s="29">
        <f t="shared" si="143"/>
        <v>0</v>
      </c>
      <c r="MI50" s="5">
        <f t="shared" si="144"/>
        <v>33171</v>
      </c>
      <c r="MJ50" s="29">
        <f t="shared" si="145"/>
        <v>0</v>
      </c>
      <c r="MK50" s="5">
        <f t="shared" si="146"/>
        <v>2204582</v>
      </c>
      <c r="ML50" s="29">
        <f t="shared" si="147"/>
        <v>0</v>
      </c>
      <c r="MM50" s="5">
        <f t="shared" si="148"/>
        <v>26450723</v>
      </c>
      <c r="MN50" s="29">
        <f t="shared" si="149"/>
        <v>0</v>
      </c>
      <c r="MO50" s="5">
        <f t="shared" si="150"/>
        <v>0</v>
      </c>
      <c r="MP50" s="29">
        <f t="shared" si="151"/>
        <v>0</v>
      </c>
      <c r="MQ50" s="5">
        <f t="shared" si="152"/>
        <v>26450723</v>
      </c>
      <c r="MR50" s="29">
        <f t="shared" si="153"/>
        <v>0</v>
      </c>
      <c r="MT50" s="5">
        <f t="shared" si="76"/>
        <v>0</v>
      </c>
      <c r="MV50" s="4">
        <f t="shared" si="77"/>
        <v>0</v>
      </c>
    </row>
    <row r="51" spans="1:360" x14ac:dyDescent="0.15">
      <c r="A51" s="157" t="s">
        <v>320</v>
      </c>
      <c r="B51" s="28" t="s">
        <v>458</v>
      </c>
      <c r="C51" s="47">
        <v>240444</v>
      </c>
      <c r="D51" s="48">
        <v>2012</v>
      </c>
      <c r="E51" s="49">
        <v>1</v>
      </c>
      <c r="F51" s="49">
        <v>3</v>
      </c>
      <c r="G51" s="50">
        <v>13697</v>
      </c>
      <c r="H51" s="50">
        <v>14350</v>
      </c>
      <c r="I51" s="51">
        <v>2704452298</v>
      </c>
      <c r="J51" s="51"/>
      <c r="K51" s="51">
        <v>19202000</v>
      </c>
      <c r="L51" s="51"/>
      <c r="M51" s="51">
        <v>103867709</v>
      </c>
      <c r="N51" s="51"/>
      <c r="O51" s="51">
        <v>223280000</v>
      </c>
      <c r="P51" s="51"/>
      <c r="Q51" s="51">
        <v>1220400811</v>
      </c>
      <c r="R51" s="51"/>
      <c r="S51" s="51">
        <v>2093889225</v>
      </c>
      <c r="T51" s="51"/>
      <c r="U51" s="51">
        <v>21972</v>
      </c>
      <c r="V51" s="51"/>
      <c r="W51" s="51">
        <v>26972</v>
      </c>
      <c r="X51" s="51"/>
      <c r="Y51" s="51">
        <v>23982</v>
      </c>
      <c r="Z51" s="51"/>
      <c r="AA51" s="51">
        <v>28982</v>
      </c>
      <c r="AB51" s="51"/>
      <c r="AC51" s="72">
        <v>12</v>
      </c>
      <c r="AD51" s="72">
        <v>13</v>
      </c>
      <c r="AE51" s="72">
        <v>0</v>
      </c>
      <c r="AF51" s="29">
        <v>4174391</v>
      </c>
      <c r="AG51" s="29">
        <v>3468973</v>
      </c>
      <c r="AH51" s="29">
        <v>909691</v>
      </c>
      <c r="AI51" s="29">
        <v>404762</v>
      </c>
      <c r="AJ51" s="29">
        <v>447149.43</v>
      </c>
      <c r="AK51" s="73">
        <v>10.5</v>
      </c>
      <c r="AL51" s="29">
        <v>426824.45</v>
      </c>
      <c r="AM51" s="73">
        <v>11</v>
      </c>
      <c r="AN51" s="29">
        <v>120575.03999999999</v>
      </c>
      <c r="AO51" s="73">
        <v>12.5</v>
      </c>
      <c r="AP51" s="29">
        <v>115937.54</v>
      </c>
      <c r="AQ51" s="73">
        <v>13</v>
      </c>
      <c r="AR51" s="29">
        <v>121524.51</v>
      </c>
      <c r="AS51" s="73">
        <v>25.5</v>
      </c>
      <c r="AT51" s="29">
        <v>119187.5</v>
      </c>
      <c r="AU51" s="73">
        <v>26</v>
      </c>
      <c r="AV51" s="29">
        <v>54212</v>
      </c>
      <c r="AW51" s="73">
        <v>19.5</v>
      </c>
      <c r="AX51" s="29">
        <v>52856.7</v>
      </c>
      <c r="AY51" s="73">
        <v>20</v>
      </c>
      <c r="AZ51" s="97">
        <v>11237849</v>
      </c>
      <c r="BA51" s="113">
        <v>5665706</v>
      </c>
      <c r="BB51" s="113">
        <v>261429</v>
      </c>
      <c r="BC51" s="113">
        <v>5391011</v>
      </c>
      <c r="BD51" s="113">
        <v>535554</v>
      </c>
      <c r="BE51" s="113">
        <v>23091549</v>
      </c>
      <c r="BF51" s="113">
        <v>0</v>
      </c>
      <c r="BG51" s="113">
        <v>0</v>
      </c>
      <c r="BH51" s="113">
        <v>0</v>
      </c>
      <c r="BI51" s="113">
        <v>0</v>
      </c>
      <c r="BJ51" s="113">
        <v>0</v>
      </c>
      <c r="BK51" s="113">
        <v>0</v>
      </c>
      <c r="BL51" s="113">
        <v>400000</v>
      </c>
      <c r="BM51" s="113">
        <v>0</v>
      </c>
      <c r="BN51" s="113">
        <v>0</v>
      </c>
      <c r="BO51" s="113">
        <v>1500</v>
      </c>
      <c r="BP51" s="113">
        <v>0</v>
      </c>
      <c r="BQ51" s="113">
        <v>401500</v>
      </c>
      <c r="BR51" s="113">
        <v>4005590</v>
      </c>
      <c r="BS51" s="113">
        <v>1238465</v>
      </c>
      <c r="BT51" s="113">
        <v>32000</v>
      </c>
      <c r="BU51" s="113">
        <v>2563750</v>
      </c>
      <c r="BV51" s="113">
        <v>223829</v>
      </c>
      <c r="BW51" s="113">
        <v>8063634</v>
      </c>
      <c r="BX51" s="113">
        <v>0</v>
      </c>
      <c r="BY51" s="113">
        <v>0</v>
      </c>
      <c r="BZ51" s="113">
        <v>0</v>
      </c>
      <c r="CA51" s="113">
        <v>0</v>
      </c>
      <c r="CB51" s="113">
        <v>0</v>
      </c>
      <c r="CC51" s="113">
        <v>0</v>
      </c>
      <c r="CD51" s="113">
        <v>0</v>
      </c>
      <c r="CE51" s="97">
        <v>0</v>
      </c>
      <c r="CF51" s="97">
        <v>0</v>
      </c>
      <c r="CG51" s="97">
        <v>0</v>
      </c>
      <c r="CH51" s="97">
        <v>0</v>
      </c>
      <c r="CI51" s="97">
        <v>0</v>
      </c>
      <c r="CJ51" s="97">
        <v>0</v>
      </c>
      <c r="CK51" s="113">
        <v>0</v>
      </c>
      <c r="CL51" s="113">
        <v>0</v>
      </c>
      <c r="CM51" s="113">
        <v>0</v>
      </c>
      <c r="CN51" s="113">
        <v>1627505</v>
      </c>
      <c r="CO51" s="113">
        <v>1627505</v>
      </c>
      <c r="CP51" s="113">
        <v>0</v>
      </c>
      <c r="CQ51" s="113">
        <v>0</v>
      </c>
      <c r="CR51" s="113">
        <v>0</v>
      </c>
      <c r="CS51" s="113">
        <v>0</v>
      </c>
      <c r="CT51" s="113">
        <v>5333561</v>
      </c>
      <c r="CU51" s="113">
        <v>5333561</v>
      </c>
      <c r="CV51" s="113">
        <v>15424533</v>
      </c>
      <c r="CW51" s="113">
        <v>8935247</v>
      </c>
      <c r="CX51" s="113">
        <v>0</v>
      </c>
      <c r="CY51" s="113">
        <v>85413</v>
      </c>
      <c r="CZ51" s="113">
        <v>530313</v>
      </c>
      <c r="DA51" s="113">
        <v>24975506</v>
      </c>
      <c r="DB51" s="113">
        <v>0</v>
      </c>
      <c r="DC51" s="97">
        <v>0</v>
      </c>
      <c r="DD51" s="97">
        <v>0</v>
      </c>
      <c r="DE51" s="97">
        <v>350438</v>
      </c>
      <c r="DF51" s="97">
        <v>0</v>
      </c>
      <c r="DG51" s="97">
        <v>350438</v>
      </c>
      <c r="DH51" s="97">
        <v>0</v>
      </c>
      <c r="DI51" s="113">
        <v>0</v>
      </c>
      <c r="DJ51" s="113">
        <v>0</v>
      </c>
      <c r="DK51" s="113">
        <v>0</v>
      </c>
      <c r="DL51" s="113">
        <v>1723075</v>
      </c>
      <c r="DM51" s="113">
        <v>1723075</v>
      </c>
      <c r="DN51" s="113">
        <v>0</v>
      </c>
      <c r="DO51" s="113">
        <v>0</v>
      </c>
      <c r="DP51" s="113">
        <v>0</v>
      </c>
      <c r="DQ51" s="113">
        <v>0</v>
      </c>
      <c r="DR51" s="113">
        <v>8736901</v>
      </c>
      <c r="DS51" s="113">
        <v>8736901</v>
      </c>
      <c r="DT51" s="113">
        <v>0</v>
      </c>
      <c r="DU51" s="113">
        <v>0</v>
      </c>
      <c r="DV51" s="113">
        <v>0</v>
      </c>
      <c r="DW51" s="113">
        <v>0</v>
      </c>
      <c r="DX51" s="113">
        <v>0</v>
      </c>
      <c r="DY51" s="113">
        <v>0</v>
      </c>
      <c r="DZ51" s="113">
        <v>1888504</v>
      </c>
      <c r="EA51" s="113">
        <v>322717</v>
      </c>
      <c r="EB51" s="113">
        <v>319385</v>
      </c>
      <c r="EC51" s="113">
        <v>2809535</v>
      </c>
      <c r="ED51" s="113">
        <v>36392</v>
      </c>
      <c r="EE51" s="113">
        <v>5376533</v>
      </c>
      <c r="EF51" s="113">
        <v>0</v>
      </c>
      <c r="EG51" s="113">
        <v>0</v>
      </c>
      <c r="EH51" s="113">
        <v>0</v>
      </c>
      <c r="EI51" s="113">
        <v>0</v>
      </c>
      <c r="EJ51" s="113">
        <v>3939324</v>
      </c>
      <c r="EK51" s="113">
        <v>3939324</v>
      </c>
      <c r="EL51" s="113">
        <v>32956476</v>
      </c>
      <c r="EM51" s="113">
        <v>16162135</v>
      </c>
      <c r="EN51" s="113">
        <v>612814</v>
      </c>
      <c r="EO51" s="113">
        <v>11201647</v>
      </c>
      <c r="EP51" s="113">
        <v>22686454</v>
      </c>
      <c r="EQ51" s="113">
        <v>83619526</v>
      </c>
      <c r="ER51" s="113">
        <v>2034350</v>
      </c>
      <c r="ES51" s="113">
        <v>326933</v>
      </c>
      <c r="ET51" s="113">
        <v>325137</v>
      </c>
      <c r="EU51" s="113">
        <v>4956944</v>
      </c>
      <c r="EV51" s="113">
        <v>2006193</v>
      </c>
      <c r="EW51" s="113">
        <v>9649557</v>
      </c>
      <c r="EX51" s="113">
        <v>1475000</v>
      </c>
      <c r="EY51" s="113">
        <v>659000</v>
      </c>
      <c r="EZ51" s="113">
        <v>62814</v>
      </c>
      <c r="FA51" s="113">
        <v>150000</v>
      </c>
      <c r="FB51" s="113">
        <v>0</v>
      </c>
      <c r="FC51" s="113">
        <v>2346814</v>
      </c>
      <c r="FD51" s="113">
        <v>3318178</v>
      </c>
      <c r="FE51" s="113">
        <v>2342114</v>
      </c>
      <c r="FF51" s="113">
        <v>739098</v>
      </c>
      <c r="FG51" s="113">
        <v>3958876</v>
      </c>
      <c r="FH51" s="113">
        <v>0</v>
      </c>
      <c r="FI51" s="113">
        <v>10358266</v>
      </c>
      <c r="FJ51" s="113">
        <v>0</v>
      </c>
      <c r="FK51" s="113">
        <v>0</v>
      </c>
      <c r="FL51" s="113">
        <v>0</v>
      </c>
      <c r="FM51" s="113">
        <v>0</v>
      </c>
      <c r="FN51" s="113">
        <v>0</v>
      </c>
      <c r="FO51" s="113">
        <v>0</v>
      </c>
      <c r="FP51" s="113">
        <v>913178</v>
      </c>
      <c r="FQ51" s="113">
        <v>253991</v>
      </c>
      <c r="FR51" s="113">
        <v>129476</v>
      </c>
      <c r="FS51" s="113">
        <v>623543</v>
      </c>
      <c r="FT51" s="113">
        <v>8005996</v>
      </c>
      <c r="FU51" s="113">
        <v>9926184</v>
      </c>
      <c r="FV51" s="113">
        <v>0</v>
      </c>
      <c r="FW51" s="97">
        <v>0</v>
      </c>
      <c r="FX51" s="97">
        <v>0</v>
      </c>
      <c r="FY51" s="97">
        <v>0</v>
      </c>
      <c r="FZ51" s="97">
        <v>0</v>
      </c>
      <c r="GA51" s="97">
        <v>0</v>
      </c>
      <c r="GB51" s="97">
        <v>0</v>
      </c>
      <c r="GC51" s="113">
        <v>0</v>
      </c>
      <c r="GD51" s="113">
        <v>0</v>
      </c>
      <c r="GE51" s="113">
        <v>121182</v>
      </c>
      <c r="GF51" s="113">
        <v>0</v>
      </c>
      <c r="GG51" s="113">
        <v>121182</v>
      </c>
      <c r="GH51" s="113">
        <v>543994</v>
      </c>
      <c r="GI51" s="113">
        <v>160776</v>
      </c>
      <c r="GJ51" s="113">
        <v>110272</v>
      </c>
      <c r="GK51" s="113">
        <v>499411</v>
      </c>
      <c r="GL51" s="113">
        <v>0</v>
      </c>
      <c r="GM51" s="113">
        <v>1314453</v>
      </c>
      <c r="GN51" s="113">
        <v>870430</v>
      </c>
      <c r="GO51" s="113">
        <v>592884</v>
      </c>
      <c r="GP51" s="113">
        <v>693037</v>
      </c>
      <c r="GQ51" s="113">
        <v>2706240</v>
      </c>
      <c r="GR51" s="113">
        <v>865061</v>
      </c>
      <c r="GS51" s="113">
        <v>5727652</v>
      </c>
      <c r="GT51" s="113">
        <v>660922</v>
      </c>
      <c r="GU51" s="113">
        <v>150906</v>
      </c>
      <c r="GV51" s="113">
        <v>70565</v>
      </c>
      <c r="GW51" s="113">
        <v>1403632</v>
      </c>
      <c r="GX51" s="113">
        <v>550490</v>
      </c>
      <c r="GY51" s="113">
        <v>2836515</v>
      </c>
      <c r="GZ51" s="113">
        <v>1620475</v>
      </c>
      <c r="HA51" s="113">
        <v>313884</v>
      </c>
      <c r="HB51" s="113">
        <v>216417</v>
      </c>
      <c r="HC51" s="113">
        <v>820844</v>
      </c>
      <c r="HD51" s="113">
        <v>10864</v>
      </c>
      <c r="HE51" s="113">
        <v>2982484</v>
      </c>
      <c r="HF51" s="113">
        <v>0</v>
      </c>
      <c r="HG51" s="113">
        <v>0</v>
      </c>
      <c r="HH51" s="113">
        <v>0</v>
      </c>
      <c r="HI51" s="113">
        <v>0</v>
      </c>
      <c r="HJ51" s="113">
        <v>1807668</v>
      </c>
      <c r="HK51" s="113">
        <v>1807668</v>
      </c>
      <c r="HL51" s="113">
        <v>0</v>
      </c>
      <c r="HM51" s="113">
        <v>0</v>
      </c>
      <c r="HN51" s="113">
        <v>0</v>
      </c>
      <c r="HO51" s="113">
        <v>0</v>
      </c>
      <c r="HP51" s="113">
        <v>0</v>
      </c>
      <c r="HQ51" s="113">
        <v>0</v>
      </c>
      <c r="HR51" s="113">
        <v>3567458</v>
      </c>
      <c r="HS51" s="113">
        <v>2138</v>
      </c>
      <c r="HT51" s="113">
        <v>4002</v>
      </c>
      <c r="HU51" s="113">
        <v>64167</v>
      </c>
      <c r="HV51" s="113">
        <v>11088665</v>
      </c>
      <c r="HW51" s="113">
        <v>14726430</v>
      </c>
      <c r="HX51" s="113">
        <v>0</v>
      </c>
      <c r="HY51" s="113">
        <v>0</v>
      </c>
      <c r="HZ51" s="113">
        <v>0</v>
      </c>
      <c r="IA51" s="113">
        <v>0</v>
      </c>
      <c r="IB51" s="113">
        <v>331535</v>
      </c>
      <c r="IC51" s="113">
        <v>331535</v>
      </c>
      <c r="ID51" s="113">
        <v>0</v>
      </c>
      <c r="IE51" s="113">
        <v>0</v>
      </c>
      <c r="IF51" s="113">
        <v>0</v>
      </c>
      <c r="IG51" s="113">
        <v>0</v>
      </c>
      <c r="IH51" s="113">
        <v>5333561</v>
      </c>
      <c r="II51" s="113">
        <v>5333561</v>
      </c>
      <c r="IJ51" s="113">
        <v>0</v>
      </c>
      <c r="IK51" s="113">
        <v>0</v>
      </c>
      <c r="IL51" s="113">
        <v>0</v>
      </c>
      <c r="IM51" s="113">
        <v>0</v>
      </c>
      <c r="IN51" s="113">
        <v>699837</v>
      </c>
      <c r="IO51" s="113">
        <v>699837</v>
      </c>
      <c r="IP51" s="113">
        <v>0</v>
      </c>
      <c r="IQ51" s="113">
        <v>0</v>
      </c>
      <c r="IR51" s="113">
        <v>0</v>
      </c>
      <c r="IS51" s="113">
        <v>0</v>
      </c>
      <c r="IT51" s="113">
        <v>150700</v>
      </c>
      <c r="IU51" s="113">
        <v>150700</v>
      </c>
      <c r="IV51" s="113">
        <v>1173370</v>
      </c>
      <c r="IW51" s="113">
        <v>268874</v>
      </c>
      <c r="IX51" s="113">
        <v>174440</v>
      </c>
      <c r="IY51" s="113">
        <v>768383</v>
      </c>
      <c r="IZ51" s="113">
        <v>12921621</v>
      </c>
      <c r="JA51" s="113">
        <v>15306688</v>
      </c>
      <c r="JB51" s="113">
        <v>16177355</v>
      </c>
      <c r="JC51" s="113">
        <v>5071500</v>
      </c>
      <c r="JD51" s="113">
        <v>2525258</v>
      </c>
      <c r="JE51" s="113">
        <v>16073222</v>
      </c>
      <c r="JF51" s="113">
        <v>43772191</v>
      </c>
      <c r="JG51" s="113">
        <v>83619526</v>
      </c>
      <c r="JH51" s="113">
        <v>0</v>
      </c>
      <c r="JI51" s="97">
        <v>0</v>
      </c>
      <c r="JJ51" s="97">
        <v>0</v>
      </c>
      <c r="JK51" s="97">
        <v>0</v>
      </c>
      <c r="JL51" s="97">
        <v>0</v>
      </c>
      <c r="JM51" s="97">
        <v>0</v>
      </c>
      <c r="JN51" s="97">
        <v>16177355</v>
      </c>
      <c r="JO51" s="113">
        <v>5071500</v>
      </c>
      <c r="JP51" s="113">
        <v>2525258</v>
      </c>
      <c r="JQ51" s="113">
        <v>16073222</v>
      </c>
      <c r="JR51" s="113">
        <v>43772191</v>
      </c>
      <c r="JS51" s="113">
        <v>83619526</v>
      </c>
      <c r="JU51" s="5">
        <f t="shared" si="78"/>
        <v>23091549</v>
      </c>
      <c r="JV51" s="29">
        <f t="shared" si="79"/>
        <v>0</v>
      </c>
      <c r="JW51" s="5">
        <f t="shared" si="80"/>
        <v>0</v>
      </c>
      <c r="JX51" s="29">
        <f t="shared" si="81"/>
        <v>0</v>
      </c>
      <c r="JY51" s="5">
        <f t="shared" si="82"/>
        <v>401500</v>
      </c>
      <c r="JZ51" s="29">
        <f t="shared" si="83"/>
        <v>0</v>
      </c>
      <c r="KA51" s="5">
        <f t="shared" si="84"/>
        <v>8063634</v>
      </c>
      <c r="KB51" s="29">
        <f t="shared" si="85"/>
        <v>0</v>
      </c>
      <c r="KC51" s="5">
        <f t="shared" si="86"/>
        <v>0</v>
      </c>
      <c r="KD51" s="29">
        <f t="shared" si="87"/>
        <v>0</v>
      </c>
      <c r="KE51" s="5">
        <f t="shared" si="88"/>
        <v>0</v>
      </c>
      <c r="KF51" s="29">
        <f t="shared" si="89"/>
        <v>0</v>
      </c>
      <c r="KG51" s="5">
        <f t="shared" si="90"/>
        <v>1627505</v>
      </c>
      <c r="KH51" s="29">
        <f t="shared" si="91"/>
        <v>0</v>
      </c>
      <c r="KI51" s="5">
        <f t="shared" si="92"/>
        <v>5333561</v>
      </c>
      <c r="KJ51" s="29">
        <f t="shared" si="93"/>
        <v>0</v>
      </c>
      <c r="KK51" s="5">
        <f t="shared" si="94"/>
        <v>24975506</v>
      </c>
      <c r="KL51" s="29">
        <f t="shared" si="95"/>
        <v>0</v>
      </c>
      <c r="KM51" s="5">
        <f t="shared" si="96"/>
        <v>350438</v>
      </c>
      <c r="KN51" s="29">
        <f t="shared" si="97"/>
        <v>0</v>
      </c>
      <c r="KO51" s="5">
        <f t="shared" si="98"/>
        <v>1723075</v>
      </c>
      <c r="KP51" s="29">
        <f t="shared" si="99"/>
        <v>0</v>
      </c>
      <c r="KQ51" s="5">
        <f t="shared" si="100"/>
        <v>8736901</v>
      </c>
      <c r="KR51" s="29">
        <f t="shared" si="101"/>
        <v>0</v>
      </c>
      <c r="KS51" s="5">
        <f t="shared" si="102"/>
        <v>0</v>
      </c>
      <c r="KT51" s="29">
        <f t="shared" si="103"/>
        <v>0</v>
      </c>
      <c r="KU51" s="5">
        <f t="shared" si="104"/>
        <v>5376533</v>
      </c>
      <c r="KV51" s="29">
        <f t="shared" si="105"/>
        <v>0</v>
      </c>
      <c r="KW51" s="5">
        <f t="shared" si="106"/>
        <v>3939324</v>
      </c>
      <c r="KX51" s="29">
        <f t="shared" si="107"/>
        <v>0</v>
      </c>
      <c r="KY51" s="5">
        <f t="shared" si="108"/>
        <v>83619526</v>
      </c>
      <c r="KZ51" s="29">
        <f t="shared" si="109"/>
        <v>0</v>
      </c>
      <c r="LA51" s="5">
        <f t="shared" si="110"/>
        <v>9649557</v>
      </c>
      <c r="LB51" s="29">
        <f t="shared" si="111"/>
        <v>0</v>
      </c>
      <c r="LC51" s="5">
        <f t="shared" si="112"/>
        <v>2346814</v>
      </c>
      <c r="LD51" s="29">
        <f t="shared" si="113"/>
        <v>0</v>
      </c>
      <c r="LE51" s="5">
        <f t="shared" si="114"/>
        <v>10358266</v>
      </c>
      <c r="LF51" s="29">
        <f t="shared" si="115"/>
        <v>0</v>
      </c>
      <c r="LG51" s="5">
        <f t="shared" si="116"/>
        <v>0</v>
      </c>
      <c r="LH51" s="29">
        <f t="shared" si="117"/>
        <v>0</v>
      </c>
      <c r="LI51" s="5">
        <f t="shared" si="118"/>
        <v>9926184</v>
      </c>
      <c r="LJ51" s="29">
        <f t="shared" si="119"/>
        <v>0</v>
      </c>
      <c r="LK51" s="5">
        <f t="shared" si="120"/>
        <v>0</v>
      </c>
      <c r="LL51" s="29">
        <f t="shared" si="121"/>
        <v>0</v>
      </c>
      <c r="LM51" s="5">
        <f t="shared" si="122"/>
        <v>121182</v>
      </c>
      <c r="LN51" s="29">
        <f t="shared" si="123"/>
        <v>0</v>
      </c>
      <c r="LO51" s="5">
        <f t="shared" si="124"/>
        <v>1314453</v>
      </c>
      <c r="LP51" s="29">
        <f t="shared" si="125"/>
        <v>0</v>
      </c>
      <c r="LQ51" s="5">
        <f t="shared" si="126"/>
        <v>5727652</v>
      </c>
      <c r="LR51" s="29">
        <f t="shared" si="127"/>
        <v>0</v>
      </c>
      <c r="LS51" s="5">
        <f t="shared" si="128"/>
        <v>2836515</v>
      </c>
      <c r="LT51" s="29">
        <f t="shared" si="129"/>
        <v>0</v>
      </c>
      <c r="LU51" s="5">
        <f t="shared" si="130"/>
        <v>2982484</v>
      </c>
      <c r="LV51" s="29">
        <f t="shared" si="131"/>
        <v>0</v>
      </c>
      <c r="LW51" s="5">
        <f t="shared" si="132"/>
        <v>1807668</v>
      </c>
      <c r="LX51" s="29">
        <f t="shared" si="133"/>
        <v>0</v>
      </c>
      <c r="LY51" s="5">
        <f t="shared" si="134"/>
        <v>0</v>
      </c>
      <c r="LZ51" s="29">
        <f t="shared" si="135"/>
        <v>0</v>
      </c>
      <c r="MA51" s="5">
        <f t="shared" si="136"/>
        <v>14726430</v>
      </c>
      <c r="MB51" s="29">
        <f t="shared" si="137"/>
        <v>0</v>
      </c>
      <c r="MC51" s="5">
        <f t="shared" si="138"/>
        <v>331535</v>
      </c>
      <c r="MD51" s="29">
        <f t="shared" si="139"/>
        <v>0</v>
      </c>
      <c r="ME51" s="5">
        <f t="shared" si="140"/>
        <v>5333561</v>
      </c>
      <c r="MF51" s="29">
        <f t="shared" si="141"/>
        <v>0</v>
      </c>
      <c r="MG51" s="5">
        <f t="shared" si="142"/>
        <v>699837</v>
      </c>
      <c r="MH51" s="29">
        <f t="shared" si="143"/>
        <v>0</v>
      </c>
      <c r="MI51" s="5">
        <f t="shared" si="144"/>
        <v>150700</v>
      </c>
      <c r="MJ51" s="29">
        <f t="shared" si="145"/>
        <v>0</v>
      </c>
      <c r="MK51" s="5">
        <f t="shared" si="146"/>
        <v>15306688</v>
      </c>
      <c r="ML51" s="29">
        <f t="shared" si="147"/>
        <v>0</v>
      </c>
      <c r="MM51" s="5">
        <f t="shared" si="148"/>
        <v>83619526</v>
      </c>
      <c r="MN51" s="29">
        <f t="shared" si="149"/>
        <v>0</v>
      </c>
      <c r="MO51" s="5">
        <f t="shared" si="150"/>
        <v>0</v>
      </c>
      <c r="MP51" s="29">
        <f t="shared" si="151"/>
        <v>0</v>
      </c>
      <c r="MQ51" s="5">
        <f t="shared" si="152"/>
        <v>83619526</v>
      </c>
      <c r="MR51" s="29">
        <f t="shared" si="153"/>
        <v>0</v>
      </c>
      <c r="MT51" s="5">
        <f t="shared" si="76"/>
        <v>0</v>
      </c>
      <c r="MV51" s="4">
        <f t="shared" si="77"/>
        <v>0</v>
      </c>
    </row>
    <row r="52" spans="1:360" x14ac:dyDescent="0.15">
      <c r="A52" s="156" t="s">
        <v>504</v>
      </c>
      <c r="B52" s="28" t="s">
        <v>406</v>
      </c>
      <c r="C52" s="48">
        <v>176017</v>
      </c>
      <c r="D52" s="48">
        <v>2012</v>
      </c>
      <c r="E52" s="49">
        <v>1</v>
      </c>
      <c r="F52" s="49">
        <v>5</v>
      </c>
      <c r="G52" s="50">
        <v>6418</v>
      </c>
      <c r="H52" s="50">
        <v>7653</v>
      </c>
      <c r="I52" s="51">
        <v>487243374</v>
      </c>
      <c r="J52" s="51"/>
      <c r="K52" s="51">
        <v>4840467</v>
      </c>
      <c r="L52" s="51"/>
      <c r="M52" s="51">
        <v>12156509</v>
      </c>
      <c r="N52" s="51"/>
      <c r="O52" s="51">
        <v>38944583</v>
      </c>
      <c r="P52" s="51"/>
      <c r="Q52" s="51">
        <v>145673982</v>
      </c>
      <c r="R52" s="51"/>
      <c r="S52" s="51">
        <v>376515607</v>
      </c>
      <c r="T52" s="51"/>
      <c r="U52" s="51">
        <v>15380</v>
      </c>
      <c r="V52" s="51"/>
      <c r="W52" s="51">
        <v>24386</v>
      </c>
      <c r="X52" s="51"/>
      <c r="Y52" s="51">
        <v>19852</v>
      </c>
      <c r="Z52" s="51"/>
      <c r="AA52" s="51">
        <v>28858</v>
      </c>
      <c r="AB52" s="51"/>
      <c r="AC52" s="72">
        <v>8</v>
      </c>
      <c r="AD52" s="72">
        <v>10</v>
      </c>
      <c r="AE52" s="72">
        <v>0</v>
      </c>
      <c r="AF52" s="29">
        <v>3474812</v>
      </c>
      <c r="AG52" s="29">
        <v>2634762</v>
      </c>
      <c r="AH52" s="29">
        <v>671727</v>
      </c>
      <c r="AI52" s="29">
        <v>346477</v>
      </c>
      <c r="AJ52" s="29">
        <v>9064960</v>
      </c>
      <c r="AK52" s="73">
        <v>0.5</v>
      </c>
      <c r="AL52" s="29">
        <v>755413</v>
      </c>
      <c r="AM52" s="73">
        <v>6</v>
      </c>
      <c r="AN52" s="29">
        <v>2557728</v>
      </c>
      <c r="AO52" s="73">
        <v>0.5</v>
      </c>
      <c r="AP52" s="29">
        <v>159858</v>
      </c>
      <c r="AQ52" s="73">
        <v>8</v>
      </c>
      <c r="AR52" s="29">
        <v>1604691</v>
      </c>
      <c r="AS52" s="73">
        <v>2.5</v>
      </c>
      <c r="AT52" s="29">
        <v>191034</v>
      </c>
      <c r="AU52" s="73">
        <v>21</v>
      </c>
      <c r="AV52" s="29">
        <v>484229</v>
      </c>
      <c r="AW52" s="73">
        <v>2.5</v>
      </c>
      <c r="AX52" s="29">
        <v>71210</v>
      </c>
      <c r="AY52" s="73">
        <v>17</v>
      </c>
      <c r="AZ52" s="97">
        <v>11932334</v>
      </c>
      <c r="BA52" s="97">
        <v>706756</v>
      </c>
      <c r="BB52" s="97">
        <v>17836</v>
      </c>
      <c r="BC52" s="97">
        <v>792109</v>
      </c>
      <c r="BD52" s="97">
        <v>0</v>
      </c>
      <c r="BE52" s="97">
        <f>SUM(AZ52:BD52)</f>
        <v>13449035</v>
      </c>
      <c r="BF52" s="97">
        <v>0</v>
      </c>
      <c r="BG52" s="97">
        <v>0</v>
      </c>
      <c r="BH52" s="97">
        <v>0</v>
      </c>
      <c r="BI52" s="97">
        <v>0</v>
      </c>
      <c r="BJ52" s="97">
        <v>411778</v>
      </c>
      <c r="BK52" s="97">
        <v>411778</v>
      </c>
      <c r="BL52" s="97">
        <v>527548</v>
      </c>
      <c r="BM52" s="97">
        <v>0</v>
      </c>
      <c r="BN52" s="97">
        <v>0</v>
      </c>
      <c r="BO52" s="97">
        <v>49500</v>
      </c>
      <c r="BP52" s="97">
        <v>0</v>
      </c>
      <c r="BQ52" s="97">
        <v>577048</v>
      </c>
      <c r="BR52" s="97">
        <v>3105906</v>
      </c>
      <c r="BS52" s="97">
        <v>1144588</v>
      </c>
      <c r="BT52" s="97">
        <v>153821</v>
      </c>
      <c r="BU52" s="97">
        <v>504907</v>
      </c>
      <c r="BV52" s="97">
        <v>6023870</v>
      </c>
      <c r="BW52" s="97">
        <f>SUM(BR52:BV52)</f>
        <v>10933092</v>
      </c>
      <c r="BX52" s="97">
        <v>0</v>
      </c>
      <c r="BY52" s="97">
        <v>0</v>
      </c>
      <c r="BZ52" s="97">
        <v>0</v>
      </c>
      <c r="CA52" s="97">
        <v>0</v>
      </c>
      <c r="CB52" s="97">
        <v>0</v>
      </c>
      <c r="CC52" s="97">
        <v>0</v>
      </c>
      <c r="CD52" s="97">
        <v>0</v>
      </c>
      <c r="CE52" s="97">
        <v>0</v>
      </c>
      <c r="CF52" s="97">
        <v>0</v>
      </c>
      <c r="CG52" s="97">
        <v>0</v>
      </c>
      <c r="CH52" s="97">
        <v>0</v>
      </c>
      <c r="CI52" s="97">
        <v>0</v>
      </c>
      <c r="CJ52" s="97">
        <v>0</v>
      </c>
      <c r="CK52" s="97">
        <v>0</v>
      </c>
      <c r="CL52" s="97">
        <v>0</v>
      </c>
      <c r="CM52" s="97">
        <v>0</v>
      </c>
      <c r="CN52" s="97">
        <v>1754438</v>
      </c>
      <c r="CO52" s="97">
        <v>1754438</v>
      </c>
      <c r="CP52" s="97">
        <v>0</v>
      </c>
      <c r="CQ52" s="97">
        <v>0</v>
      </c>
      <c r="CR52" s="97">
        <v>0</v>
      </c>
      <c r="CS52" s="97">
        <v>0</v>
      </c>
      <c r="CT52" s="97">
        <v>0</v>
      </c>
      <c r="CU52" s="97">
        <v>0</v>
      </c>
      <c r="CV52" s="97">
        <v>13826779</v>
      </c>
      <c r="CW52" s="97">
        <v>5107632</v>
      </c>
      <c r="CX52" s="97">
        <v>9462</v>
      </c>
      <c r="CY52" s="97">
        <v>5310</v>
      </c>
      <c r="CZ52" s="97">
        <v>1624275</v>
      </c>
      <c r="DA52" s="97">
        <f>SUM(CV52:CZ52)</f>
        <v>20573458</v>
      </c>
      <c r="DB52" s="97">
        <v>0</v>
      </c>
      <c r="DC52" s="97">
        <v>0</v>
      </c>
      <c r="DD52" s="97">
        <v>0</v>
      </c>
      <c r="DE52" s="97">
        <v>0</v>
      </c>
      <c r="DF52" s="97">
        <v>2100000</v>
      </c>
      <c r="DG52" s="97">
        <v>2100000</v>
      </c>
      <c r="DH52" s="97">
        <v>559516</v>
      </c>
      <c r="DI52" s="97">
        <v>61539</v>
      </c>
      <c r="DJ52" s="97">
        <v>11254</v>
      </c>
      <c r="DK52" s="97">
        <v>137725</v>
      </c>
      <c r="DL52" s="97">
        <v>14853</v>
      </c>
      <c r="DM52" s="97">
        <f>SUM(DH52:DL52)</f>
        <v>784887</v>
      </c>
      <c r="DN52" s="97">
        <v>0</v>
      </c>
      <c r="DO52" s="97">
        <v>0</v>
      </c>
      <c r="DP52" s="97">
        <v>0</v>
      </c>
      <c r="DQ52" s="97">
        <v>0</v>
      </c>
      <c r="DR52" s="97">
        <v>813853</v>
      </c>
      <c r="DS52" s="97">
        <v>813853</v>
      </c>
      <c r="DT52" s="97">
        <v>0</v>
      </c>
      <c r="DU52" s="97">
        <v>0</v>
      </c>
      <c r="DV52" s="97">
        <v>0</v>
      </c>
      <c r="DW52" s="97">
        <v>0</v>
      </c>
      <c r="DX52" s="97">
        <v>0</v>
      </c>
      <c r="DY52" s="97">
        <v>0</v>
      </c>
      <c r="DZ52" s="97">
        <v>18098</v>
      </c>
      <c r="EA52" s="97">
        <v>0</v>
      </c>
      <c r="EB52" s="97">
        <v>0</v>
      </c>
      <c r="EC52" s="97">
        <v>20041</v>
      </c>
      <c r="ED52" s="97">
        <v>20223</v>
      </c>
      <c r="EE52" s="97">
        <f>SUM(DZ52:ED52)</f>
        <v>58362</v>
      </c>
      <c r="EF52" s="97">
        <v>30807</v>
      </c>
      <c r="EG52" s="97">
        <v>0</v>
      </c>
      <c r="EH52" s="97">
        <v>0</v>
      </c>
      <c r="EI52" s="97">
        <v>24410</v>
      </c>
      <c r="EJ52" s="97">
        <v>347825</v>
      </c>
      <c r="EK52" s="97">
        <f>SUM(EF52:EJ52)</f>
        <v>403042</v>
      </c>
      <c r="EL52" s="97">
        <v>30000988</v>
      </c>
      <c r="EM52" s="97">
        <v>7020515</v>
      </c>
      <c r="EN52" s="97">
        <v>192373</v>
      </c>
      <c r="EO52" s="97">
        <v>1534002</v>
      </c>
      <c r="EP52" s="97">
        <v>13111115</v>
      </c>
      <c r="EQ52" s="97">
        <f>SUM(EL52:EP52)</f>
        <v>51858993</v>
      </c>
      <c r="ER52" s="97">
        <v>2213659</v>
      </c>
      <c r="ES52" s="97">
        <v>335090</v>
      </c>
      <c r="ET52" s="97">
        <v>399488</v>
      </c>
      <c r="EU52" s="97">
        <v>3161337</v>
      </c>
      <c r="EV52" s="97">
        <v>388508</v>
      </c>
      <c r="EW52" s="97">
        <f>SUM(ER52:EV52)</f>
        <v>6498082</v>
      </c>
      <c r="EX52" s="97">
        <v>2100000</v>
      </c>
      <c r="EY52" s="97">
        <v>301974</v>
      </c>
      <c r="EZ52" s="97">
        <v>95240</v>
      </c>
      <c r="FA52" s="97">
        <v>68445</v>
      </c>
      <c r="FB52" s="97">
        <v>0</v>
      </c>
      <c r="FC52" s="97">
        <v>2565659</v>
      </c>
      <c r="FD52" s="97">
        <v>4985407</v>
      </c>
      <c r="FE52" s="97">
        <v>1872919</v>
      </c>
      <c r="FF52" s="97">
        <v>814214</v>
      </c>
      <c r="FG52" s="97">
        <v>3361106</v>
      </c>
      <c r="FH52" s="97">
        <v>0</v>
      </c>
      <c r="FI52" s="97">
        <f>SUM(FD52:FH52)</f>
        <v>11033646</v>
      </c>
      <c r="FJ52" s="97">
        <v>0</v>
      </c>
      <c r="FK52" s="97">
        <v>0</v>
      </c>
      <c r="FL52" s="97">
        <v>0</v>
      </c>
      <c r="FM52" s="97">
        <v>0</v>
      </c>
      <c r="FN52" s="97">
        <v>0</v>
      </c>
      <c r="FO52" s="97">
        <v>0</v>
      </c>
      <c r="FP52" s="97">
        <v>1284655</v>
      </c>
      <c r="FQ52" s="97">
        <v>264588</v>
      </c>
      <c r="FR52" s="97">
        <v>265045</v>
      </c>
      <c r="FS52" s="97">
        <v>715115</v>
      </c>
      <c r="FT52" s="97">
        <v>6786937</v>
      </c>
      <c r="FU52" s="97">
        <f>SUM(FP52:FT52)</f>
        <v>9316340</v>
      </c>
      <c r="FV52" s="97">
        <v>0</v>
      </c>
      <c r="FW52" s="97">
        <v>0</v>
      </c>
      <c r="FX52" s="97">
        <v>0</v>
      </c>
      <c r="FY52" s="97">
        <v>0</v>
      </c>
      <c r="FZ52" s="97">
        <v>0</v>
      </c>
      <c r="GA52" s="97">
        <v>0</v>
      </c>
      <c r="GB52" s="97">
        <v>1409693</v>
      </c>
      <c r="GC52" s="97">
        <v>0</v>
      </c>
      <c r="GD52" s="97">
        <v>47151</v>
      </c>
      <c r="GE52" s="97">
        <v>12278</v>
      </c>
      <c r="GF52" s="97">
        <v>0</v>
      </c>
      <c r="GG52" s="97">
        <v>1469122</v>
      </c>
      <c r="GH52" s="97">
        <v>388697</v>
      </c>
      <c r="GI52" s="97">
        <v>136183</v>
      </c>
      <c r="GJ52" s="97">
        <v>107779</v>
      </c>
      <c r="GK52" s="97">
        <v>385545</v>
      </c>
      <c r="GL52" s="97">
        <v>0</v>
      </c>
      <c r="GM52" s="97">
        <f>SUM(GH52:GL52)</f>
        <v>1018204</v>
      </c>
      <c r="GN52" s="97">
        <v>1091064</v>
      </c>
      <c r="GO52" s="97">
        <v>557382</v>
      </c>
      <c r="GP52" s="97">
        <v>438443</v>
      </c>
      <c r="GQ52" s="97">
        <v>1695366</v>
      </c>
      <c r="GR52" s="97">
        <v>0</v>
      </c>
      <c r="GS52" s="97">
        <f>SUM(GN52:GR52)</f>
        <v>3782255</v>
      </c>
      <c r="GT52" s="97">
        <v>401645</v>
      </c>
      <c r="GU52" s="97">
        <v>87265</v>
      </c>
      <c r="GV52" s="97">
        <v>93286</v>
      </c>
      <c r="GW52" s="97">
        <v>712428</v>
      </c>
      <c r="GX52" s="97">
        <v>59608</v>
      </c>
      <c r="GY52" s="97">
        <v>1354232</v>
      </c>
      <c r="GZ52" s="97">
        <v>713751</v>
      </c>
      <c r="HA52" s="97">
        <v>252552</v>
      </c>
      <c r="HB52" s="97">
        <v>185279</v>
      </c>
      <c r="HC52" s="97">
        <v>436231</v>
      </c>
      <c r="HD52" s="97">
        <v>553163</v>
      </c>
      <c r="HE52" s="97">
        <f>SUM(GZ52:HD52)</f>
        <v>2140976</v>
      </c>
      <c r="HF52" s="97">
        <v>9254</v>
      </c>
      <c r="HG52" s="97">
        <v>7324</v>
      </c>
      <c r="HH52" s="97">
        <v>3766</v>
      </c>
      <c r="HI52" s="97">
        <v>43096</v>
      </c>
      <c r="HJ52" s="97">
        <v>274814</v>
      </c>
      <c r="HK52" s="97">
        <v>338254</v>
      </c>
      <c r="HL52" s="97">
        <v>0</v>
      </c>
      <c r="HM52" s="97">
        <v>0</v>
      </c>
      <c r="HN52" s="97">
        <v>0</v>
      </c>
      <c r="HO52" s="97">
        <v>0</v>
      </c>
      <c r="HP52" s="97">
        <v>0</v>
      </c>
      <c r="HQ52" s="97">
        <v>0</v>
      </c>
      <c r="HR52" s="97">
        <v>4032434</v>
      </c>
      <c r="HS52" s="97">
        <v>205602</v>
      </c>
      <c r="HT52" s="97">
        <v>206822</v>
      </c>
      <c r="HU52" s="97">
        <v>1425791</v>
      </c>
      <c r="HV52" s="97">
        <v>3059230</v>
      </c>
      <c r="HW52" s="97">
        <f>SUM(HR52:HV52)</f>
        <v>8929879</v>
      </c>
      <c r="HX52" s="97">
        <v>0</v>
      </c>
      <c r="HY52" s="97">
        <v>0</v>
      </c>
      <c r="HZ52" s="97">
        <v>0</v>
      </c>
      <c r="IA52" s="97">
        <v>0</v>
      </c>
      <c r="IB52" s="97">
        <v>151933</v>
      </c>
      <c r="IC52" s="97">
        <v>151933</v>
      </c>
      <c r="ID52" s="97">
        <v>0</v>
      </c>
      <c r="IE52" s="97">
        <v>0</v>
      </c>
      <c r="IF52" s="97">
        <v>0</v>
      </c>
      <c r="IG52" s="97">
        <v>0</v>
      </c>
      <c r="IH52" s="97">
        <v>0</v>
      </c>
      <c r="II52" s="97">
        <v>0</v>
      </c>
      <c r="IJ52" s="97">
        <v>0</v>
      </c>
      <c r="IK52" s="97">
        <v>0</v>
      </c>
      <c r="IL52" s="97">
        <v>0</v>
      </c>
      <c r="IM52" s="97">
        <v>0</v>
      </c>
      <c r="IN52" s="97">
        <v>787555</v>
      </c>
      <c r="IO52" s="97">
        <v>787555</v>
      </c>
      <c r="IP52" s="97">
        <v>1920</v>
      </c>
      <c r="IQ52" s="97">
        <v>180</v>
      </c>
      <c r="IR52" s="97">
        <v>700</v>
      </c>
      <c r="IS52" s="97">
        <v>4929</v>
      </c>
      <c r="IT52" s="97">
        <v>12234</v>
      </c>
      <c r="IU52" s="97">
        <f>SUM(IP52:IT52)</f>
        <v>19963</v>
      </c>
      <c r="IV52" s="97">
        <v>107505</v>
      </c>
      <c r="IW52" s="97">
        <v>72504</v>
      </c>
      <c r="IX52" s="97">
        <v>68552</v>
      </c>
      <c r="IY52" s="97">
        <v>250360</v>
      </c>
      <c r="IZ52" s="97">
        <v>1803043</v>
      </c>
      <c r="JA52" s="97">
        <f>SUM(IV52:IZ52)</f>
        <v>2301964</v>
      </c>
      <c r="JB52" s="97">
        <v>18739684</v>
      </c>
      <c r="JC52" s="97">
        <v>4093563</v>
      </c>
      <c r="JD52" s="97">
        <v>2725765</v>
      </c>
      <c r="JE52" s="97">
        <v>12272027</v>
      </c>
      <c r="JF52" s="97">
        <v>13877025</v>
      </c>
      <c r="JG52" s="97">
        <f>SUM(JB52:JF52)</f>
        <v>51708064</v>
      </c>
      <c r="JH52" s="97">
        <v>0</v>
      </c>
      <c r="JI52" s="97">
        <v>0</v>
      </c>
      <c r="JJ52" s="97">
        <v>0</v>
      </c>
      <c r="JK52" s="97">
        <v>0</v>
      </c>
      <c r="JL52" s="97">
        <v>150929</v>
      </c>
      <c r="JM52" s="97">
        <v>150929</v>
      </c>
      <c r="JN52" s="97">
        <v>18739684</v>
      </c>
      <c r="JO52" s="97">
        <v>4093563</v>
      </c>
      <c r="JP52" s="97">
        <v>2725765</v>
      </c>
      <c r="JQ52" s="97">
        <v>12272027</v>
      </c>
      <c r="JR52" s="97">
        <v>14027954</v>
      </c>
      <c r="JS52" s="97">
        <v>51858993</v>
      </c>
      <c r="JU52" s="5">
        <f t="shared" si="78"/>
        <v>13449035</v>
      </c>
      <c r="JV52" s="29">
        <f t="shared" si="79"/>
        <v>0</v>
      </c>
      <c r="JW52" s="5">
        <f t="shared" si="80"/>
        <v>411778</v>
      </c>
      <c r="JX52" s="29">
        <f t="shared" si="81"/>
        <v>0</v>
      </c>
      <c r="JY52" s="5">
        <f t="shared" si="82"/>
        <v>577048</v>
      </c>
      <c r="JZ52" s="29">
        <f t="shared" si="83"/>
        <v>0</v>
      </c>
      <c r="KA52" s="5">
        <f t="shared" si="84"/>
        <v>10933092</v>
      </c>
      <c r="KB52" s="29">
        <f t="shared" si="85"/>
        <v>0</v>
      </c>
      <c r="KC52" s="5">
        <f t="shared" si="86"/>
        <v>0</v>
      </c>
      <c r="KD52" s="29">
        <f t="shared" si="87"/>
        <v>0</v>
      </c>
      <c r="KE52" s="5">
        <f t="shared" si="88"/>
        <v>0</v>
      </c>
      <c r="KF52" s="29">
        <f t="shared" si="89"/>
        <v>0</v>
      </c>
      <c r="KG52" s="5">
        <f t="shared" si="90"/>
        <v>1754438</v>
      </c>
      <c r="KH52" s="29">
        <f t="shared" si="91"/>
        <v>0</v>
      </c>
      <c r="KI52" s="5">
        <f t="shared" si="92"/>
        <v>0</v>
      </c>
      <c r="KJ52" s="29">
        <f t="shared" si="93"/>
        <v>0</v>
      </c>
      <c r="KK52" s="5">
        <f t="shared" si="94"/>
        <v>20573458</v>
      </c>
      <c r="KL52" s="29">
        <f t="shared" si="95"/>
        <v>0</v>
      </c>
      <c r="KM52" s="5">
        <f t="shared" si="96"/>
        <v>2100000</v>
      </c>
      <c r="KN52" s="29">
        <f t="shared" si="97"/>
        <v>0</v>
      </c>
      <c r="KO52" s="5">
        <f t="shared" si="98"/>
        <v>784887</v>
      </c>
      <c r="KP52" s="29">
        <f t="shared" si="99"/>
        <v>0</v>
      </c>
      <c r="KQ52" s="5">
        <f t="shared" si="100"/>
        <v>813853</v>
      </c>
      <c r="KR52" s="29">
        <f t="shared" si="101"/>
        <v>0</v>
      </c>
      <c r="KS52" s="5">
        <f t="shared" si="102"/>
        <v>0</v>
      </c>
      <c r="KT52" s="29">
        <f t="shared" si="103"/>
        <v>0</v>
      </c>
      <c r="KU52" s="5">
        <f t="shared" si="104"/>
        <v>58362</v>
      </c>
      <c r="KV52" s="29">
        <f t="shared" si="105"/>
        <v>0</v>
      </c>
      <c r="KW52" s="5">
        <f t="shared" si="106"/>
        <v>403042</v>
      </c>
      <c r="KX52" s="29">
        <f t="shared" si="107"/>
        <v>0</v>
      </c>
      <c r="KY52" s="5">
        <f t="shared" si="108"/>
        <v>51858993</v>
      </c>
      <c r="KZ52" s="29">
        <f t="shared" si="109"/>
        <v>0</v>
      </c>
      <c r="LA52" s="5">
        <f t="shared" si="110"/>
        <v>6498082</v>
      </c>
      <c r="LB52" s="29">
        <f t="shared" si="111"/>
        <v>0</v>
      </c>
      <c r="LC52" s="5">
        <f t="shared" si="112"/>
        <v>2565659</v>
      </c>
      <c r="LD52" s="29">
        <f t="shared" si="113"/>
        <v>0</v>
      </c>
      <c r="LE52" s="5">
        <f t="shared" si="114"/>
        <v>11033646</v>
      </c>
      <c r="LF52" s="29">
        <f t="shared" si="115"/>
        <v>0</v>
      </c>
      <c r="LG52" s="5">
        <f t="shared" si="116"/>
        <v>0</v>
      </c>
      <c r="LH52" s="29">
        <f t="shared" si="117"/>
        <v>0</v>
      </c>
      <c r="LI52" s="5">
        <f t="shared" si="118"/>
        <v>9316340</v>
      </c>
      <c r="LJ52" s="29">
        <f t="shared" si="119"/>
        <v>0</v>
      </c>
      <c r="LK52" s="5">
        <f t="shared" si="120"/>
        <v>0</v>
      </c>
      <c r="LL52" s="29">
        <f t="shared" si="121"/>
        <v>0</v>
      </c>
      <c r="LM52" s="5">
        <f t="shared" si="122"/>
        <v>1469122</v>
      </c>
      <c r="LN52" s="29">
        <f t="shared" si="123"/>
        <v>0</v>
      </c>
      <c r="LO52" s="5">
        <f t="shared" si="124"/>
        <v>1018204</v>
      </c>
      <c r="LP52" s="29">
        <f t="shared" si="125"/>
        <v>0</v>
      </c>
      <c r="LQ52" s="5">
        <f t="shared" si="126"/>
        <v>3782255</v>
      </c>
      <c r="LR52" s="29">
        <f t="shared" si="127"/>
        <v>0</v>
      </c>
      <c r="LS52" s="5">
        <f t="shared" si="128"/>
        <v>1354232</v>
      </c>
      <c r="LT52" s="29">
        <f t="shared" si="129"/>
        <v>0</v>
      </c>
      <c r="LU52" s="5">
        <f t="shared" si="130"/>
        <v>2140976</v>
      </c>
      <c r="LV52" s="29">
        <f t="shared" si="131"/>
        <v>0</v>
      </c>
      <c r="LW52" s="5">
        <f t="shared" si="132"/>
        <v>338254</v>
      </c>
      <c r="LX52" s="29">
        <f t="shared" si="133"/>
        <v>0</v>
      </c>
      <c r="LY52" s="5">
        <f t="shared" si="134"/>
        <v>0</v>
      </c>
      <c r="LZ52" s="29">
        <f t="shared" si="135"/>
        <v>0</v>
      </c>
      <c r="MA52" s="5">
        <f t="shared" si="136"/>
        <v>8929879</v>
      </c>
      <c r="MB52" s="29">
        <f t="shared" si="137"/>
        <v>0</v>
      </c>
      <c r="MC52" s="5">
        <f t="shared" si="138"/>
        <v>151933</v>
      </c>
      <c r="MD52" s="29">
        <f t="shared" si="139"/>
        <v>0</v>
      </c>
      <c r="ME52" s="5">
        <f t="shared" si="140"/>
        <v>0</v>
      </c>
      <c r="MF52" s="29">
        <f t="shared" si="141"/>
        <v>0</v>
      </c>
      <c r="MG52" s="5">
        <f t="shared" si="142"/>
        <v>787555</v>
      </c>
      <c r="MH52" s="29">
        <f t="shared" si="143"/>
        <v>0</v>
      </c>
      <c r="MI52" s="5">
        <f t="shared" si="144"/>
        <v>19963</v>
      </c>
      <c r="MJ52" s="29">
        <f t="shared" si="145"/>
        <v>0</v>
      </c>
      <c r="MK52" s="5">
        <f t="shared" si="146"/>
        <v>2301964</v>
      </c>
      <c r="ML52" s="29">
        <f t="shared" si="147"/>
        <v>0</v>
      </c>
      <c r="MM52" s="5">
        <f t="shared" si="148"/>
        <v>51708064</v>
      </c>
      <c r="MN52" s="29">
        <f t="shared" si="149"/>
        <v>0</v>
      </c>
      <c r="MO52" s="5">
        <f t="shared" si="150"/>
        <v>150929</v>
      </c>
      <c r="MP52" s="29">
        <f t="shared" si="151"/>
        <v>0</v>
      </c>
      <c r="MQ52" s="5">
        <f t="shared" si="152"/>
        <v>51858993</v>
      </c>
      <c r="MR52" s="29">
        <f t="shared" si="153"/>
        <v>0</v>
      </c>
      <c r="MT52" s="5">
        <f t="shared" si="76"/>
        <v>0</v>
      </c>
      <c r="MV52" s="4">
        <f t="shared" si="77"/>
        <v>0</v>
      </c>
    </row>
    <row r="53" spans="1:360" x14ac:dyDescent="0.15">
      <c r="A53" s="156" t="s">
        <v>321</v>
      </c>
      <c r="B53" s="28" t="s">
        <v>461</v>
      </c>
      <c r="C53" s="48">
        <v>174066</v>
      </c>
      <c r="D53" s="48">
        <v>2012</v>
      </c>
      <c r="E53" s="49">
        <v>1</v>
      </c>
      <c r="F53" s="49">
        <v>5</v>
      </c>
      <c r="G53" s="53">
        <v>7788</v>
      </c>
      <c r="H53" s="53">
        <v>7110</v>
      </c>
      <c r="I53" s="51">
        <v>600605082</v>
      </c>
      <c r="J53" s="54"/>
      <c r="K53" s="51">
        <v>2518331</v>
      </c>
      <c r="L53" s="51"/>
      <c r="M53" s="54">
        <v>13948895</v>
      </c>
      <c r="N53" s="54"/>
      <c r="O53" s="54">
        <v>30713318</v>
      </c>
      <c r="P53" s="51"/>
      <c r="Q53" s="54">
        <v>195420000</v>
      </c>
      <c r="R53" s="51"/>
      <c r="S53" s="54">
        <v>340086136</v>
      </c>
      <c r="T53" s="51"/>
      <c r="U53" s="54">
        <v>14367</v>
      </c>
      <c r="V53" s="51"/>
      <c r="W53" s="54">
        <v>23232</v>
      </c>
      <c r="X53" s="51"/>
      <c r="Y53" s="54">
        <v>19975</v>
      </c>
      <c r="Z53" s="51"/>
      <c r="AA53" s="54">
        <v>28840</v>
      </c>
      <c r="AB53" s="51"/>
      <c r="AC53" s="85">
        <v>8</v>
      </c>
      <c r="AD53" s="72">
        <v>9</v>
      </c>
      <c r="AE53" s="85">
        <v>0</v>
      </c>
      <c r="AF53" s="76">
        <v>3569010</v>
      </c>
      <c r="AG53" s="76">
        <v>2655540</v>
      </c>
      <c r="AH53" s="76">
        <v>748917</v>
      </c>
      <c r="AI53" s="76">
        <v>296726</v>
      </c>
      <c r="AJ53" s="76">
        <v>880812.91</v>
      </c>
      <c r="AK53" s="78">
        <v>5.5</v>
      </c>
      <c r="AL53" s="76">
        <v>807411.83</v>
      </c>
      <c r="AM53" s="73">
        <v>6</v>
      </c>
      <c r="AN53" s="76">
        <v>134422.92000000001</v>
      </c>
      <c r="AO53" s="78">
        <v>6.5</v>
      </c>
      <c r="AP53" s="76">
        <v>124821.29</v>
      </c>
      <c r="AQ53" s="78">
        <v>7</v>
      </c>
      <c r="AR53" s="76">
        <v>208644.16</v>
      </c>
      <c r="AS53" s="78">
        <v>19</v>
      </c>
      <c r="AT53" s="76">
        <v>208644.16</v>
      </c>
      <c r="AU53" s="78">
        <v>19</v>
      </c>
      <c r="AV53" s="76">
        <v>67466.31</v>
      </c>
      <c r="AW53" s="78">
        <v>13</v>
      </c>
      <c r="AX53" s="76">
        <v>67466.31</v>
      </c>
      <c r="AY53" s="78">
        <v>13</v>
      </c>
      <c r="AZ53" s="100">
        <v>8724850</v>
      </c>
      <c r="BA53" s="100">
        <v>1622109</v>
      </c>
      <c r="BB53" s="100">
        <v>40749</v>
      </c>
      <c r="BC53" s="100">
        <v>925832</v>
      </c>
      <c r="BD53" s="100">
        <v>16602</v>
      </c>
      <c r="BE53" s="100">
        <v>11330142</v>
      </c>
      <c r="BF53" s="100">
        <v>0</v>
      </c>
      <c r="BG53" s="100">
        <v>0</v>
      </c>
      <c r="BH53" s="100">
        <v>0</v>
      </c>
      <c r="BI53" s="100">
        <v>0</v>
      </c>
      <c r="BJ53" s="100">
        <v>4000000</v>
      </c>
      <c r="BK53" s="100">
        <v>4000000</v>
      </c>
      <c r="BL53" s="100">
        <v>400000</v>
      </c>
      <c r="BM53" s="100">
        <v>25000</v>
      </c>
      <c r="BN53" s="100">
        <v>2500</v>
      </c>
      <c r="BO53" s="100">
        <v>45500</v>
      </c>
      <c r="BP53" s="100">
        <v>0</v>
      </c>
      <c r="BQ53" s="100">
        <v>473000</v>
      </c>
      <c r="BR53" s="100">
        <v>0</v>
      </c>
      <c r="BS53" s="100">
        <v>30175</v>
      </c>
      <c r="BT53" s="100">
        <v>6010</v>
      </c>
      <c r="BU53" s="100">
        <v>71886</v>
      </c>
      <c r="BV53" s="100">
        <v>23922570</v>
      </c>
      <c r="BW53" s="100">
        <v>24030641</v>
      </c>
      <c r="BX53" s="100">
        <v>2100</v>
      </c>
      <c r="BY53" s="100">
        <v>0</v>
      </c>
      <c r="BZ53" s="100">
        <v>0</v>
      </c>
      <c r="CA53" s="100">
        <v>131020</v>
      </c>
      <c r="CB53" s="100">
        <v>0</v>
      </c>
      <c r="CC53" s="100">
        <v>133120</v>
      </c>
      <c r="CD53" s="100">
        <v>0</v>
      </c>
      <c r="CE53" s="100">
        <v>0</v>
      </c>
      <c r="CF53" s="100">
        <v>0</v>
      </c>
      <c r="CG53" s="100">
        <v>0</v>
      </c>
      <c r="CH53" s="100">
        <v>0</v>
      </c>
      <c r="CI53" s="100">
        <v>0</v>
      </c>
      <c r="CJ53" s="100">
        <v>0</v>
      </c>
      <c r="CK53" s="100">
        <v>0</v>
      </c>
      <c r="CL53" s="100">
        <v>0</v>
      </c>
      <c r="CM53" s="100">
        <v>0</v>
      </c>
      <c r="CN53" s="100">
        <v>0</v>
      </c>
      <c r="CO53" s="100">
        <v>0</v>
      </c>
      <c r="CP53" s="100">
        <v>0</v>
      </c>
      <c r="CQ53" s="100">
        <v>0</v>
      </c>
      <c r="CR53" s="100">
        <v>0</v>
      </c>
      <c r="CS53" s="100">
        <v>0</v>
      </c>
      <c r="CT53" s="100">
        <v>0</v>
      </c>
      <c r="CU53" s="100">
        <v>0</v>
      </c>
      <c r="CV53" s="100">
        <v>15117868</v>
      </c>
      <c r="CW53" s="100">
        <v>5104920</v>
      </c>
      <c r="CX53" s="100">
        <v>9462</v>
      </c>
      <c r="CY53" s="100">
        <v>5310</v>
      </c>
      <c r="CZ53" s="100">
        <v>1262306</v>
      </c>
      <c r="DA53" s="100">
        <v>21499866</v>
      </c>
      <c r="DB53" s="100">
        <v>0</v>
      </c>
      <c r="DC53" s="100">
        <v>0</v>
      </c>
      <c r="DD53" s="100">
        <v>0</v>
      </c>
      <c r="DE53" s="100">
        <v>0</v>
      </c>
      <c r="DF53" s="100">
        <v>3937800</v>
      </c>
      <c r="DG53" s="100">
        <v>3937800</v>
      </c>
      <c r="DH53" s="100">
        <v>913539</v>
      </c>
      <c r="DI53" s="100">
        <v>101507</v>
      </c>
      <c r="DJ53" s="100">
        <v>0</v>
      </c>
      <c r="DK53" s="100">
        <v>40381</v>
      </c>
      <c r="DL53" s="100">
        <v>310537</v>
      </c>
      <c r="DM53" s="100">
        <v>1365964</v>
      </c>
      <c r="DN53" s="100">
        <v>0</v>
      </c>
      <c r="DO53" s="100">
        <v>0</v>
      </c>
      <c r="DP53" s="100">
        <v>0</v>
      </c>
      <c r="DQ53" s="100">
        <v>0</v>
      </c>
      <c r="DR53" s="100">
        <v>337896</v>
      </c>
      <c r="DS53" s="100">
        <v>337896</v>
      </c>
      <c r="DT53" s="100">
        <v>63205</v>
      </c>
      <c r="DU53" s="100">
        <v>70225</v>
      </c>
      <c r="DV53" s="100">
        <v>16734</v>
      </c>
      <c r="DW53" s="100">
        <v>607716</v>
      </c>
      <c r="DX53" s="100">
        <v>12412</v>
      </c>
      <c r="DY53" s="100">
        <v>770292</v>
      </c>
      <c r="DZ53" s="100">
        <v>0</v>
      </c>
      <c r="EA53" s="100">
        <v>0</v>
      </c>
      <c r="EB53" s="100">
        <v>0</v>
      </c>
      <c r="EC53" s="100">
        <v>0</v>
      </c>
      <c r="ED53" s="100">
        <v>798222</v>
      </c>
      <c r="EE53" s="100">
        <v>798222</v>
      </c>
      <c r="EF53" s="100">
        <v>119683</v>
      </c>
      <c r="EG53" s="100">
        <v>49027</v>
      </c>
      <c r="EH53" s="100">
        <v>1070</v>
      </c>
      <c r="EI53" s="100">
        <v>186990</v>
      </c>
      <c r="EJ53" s="100">
        <v>795167</v>
      </c>
      <c r="EK53" s="100">
        <v>1151937</v>
      </c>
      <c r="EL53" s="100">
        <v>25341245</v>
      </c>
      <c r="EM53" s="100">
        <v>7002963</v>
      </c>
      <c r="EN53" s="100">
        <v>76525</v>
      </c>
      <c r="EO53" s="100">
        <v>2014635</v>
      </c>
      <c r="EP53" s="100">
        <v>35393512</v>
      </c>
      <c r="EQ53" s="100">
        <v>69828880</v>
      </c>
      <c r="ER53" s="100">
        <v>2196216</v>
      </c>
      <c r="ES53" s="100">
        <v>377935</v>
      </c>
      <c r="ET53" s="100">
        <v>498980</v>
      </c>
      <c r="EU53" s="100">
        <v>3151419</v>
      </c>
      <c r="EV53" s="100">
        <v>245284</v>
      </c>
      <c r="EW53" s="100">
        <v>6469834</v>
      </c>
      <c r="EX53" s="100">
        <v>1250000</v>
      </c>
      <c r="EY53" s="100">
        <v>819548</v>
      </c>
      <c r="EZ53" s="100">
        <v>80950</v>
      </c>
      <c r="FA53" s="100">
        <v>72263</v>
      </c>
      <c r="FB53" s="100">
        <v>0</v>
      </c>
      <c r="FC53" s="100">
        <v>2222761</v>
      </c>
      <c r="FD53" s="100">
        <v>4874825</v>
      </c>
      <c r="FE53" s="100">
        <v>2318643</v>
      </c>
      <c r="FF53" s="100">
        <v>593751</v>
      </c>
      <c r="FG53" s="100">
        <v>2772302</v>
      </c>
      <c r="FH53" s="100">
        <v>0</v>
      </c>
      <c r="FI53" s="100">
        <v>10559521</v>
      </c>
      <c r="FJ53" s="100">
        <v>2100</v>
      </c>
      <c r="FK53" s="100">
        <v>0</v>
      </c>
      <c r="FL53" s="100">
        <v>0</v>
      </c>
      <c r="FM53" s="100">
        <v>119020</v>
      </c>
      <c r="FN53" s="100">
        <v>0</v>
      </c>
      <c r="FO53" s="100">
        <v>121120</v>
      </c>
      <c r="FP53" s="100">
        <v>820605</v>
      </c>
      <c r="FQ53" s="100">
        <v>112670</v>
      </c>
      <c r="FR53" s="100">
        <v>101933</v>
      </c>
      <c r="FS53" s="100">
        <v>397566</v>
      </c>
      <c r="FT53" s="100">
        <v>5776025</v>
      </c>
      <c r="FU53" s="100">
        <v>7208799</v>
      </c>
      <c r="FV53" s="97">
        <v>0</v>
      </c>
      <c r="FW53" s="97">
        <v>0</v>
      </c>
      <c r="FX53" s="97">
        <v>0</v>
      </c>
      <c r="FY53" s="97">
        <v>12000</v>
      </c>
      <c r="FZ53" s="97">
        <v>0</v>
      </c>
      <c r="GA53" s="97">
        <v>12000</v>
      </c>
      <c r="GB53" s="97">
        <v>0</v>
      </c>
      <c r="GC53" s="97">
        <v>0</v>
      </c>
      <c r="GD53" s="97">
        <v>0</v>
      </c>
      <c r="GE53" s="97">
        <v>0</v>
      </c>
      <c r="GF53" s="97">
        <v>2641079</v>
      </c>
      <c r="GG53" s="97">
        <v>2641079</v>
      </c>
      <c r="GH53" s="97">
        <v>477288</v>
      </c>
      <c r="GI53" s="97">
        <v>124776</v>
      </c>
      <c r="GJ53" s="97">
        <v>109630</v>
      </c>
      <c r="GK53" s="97">
        <v>333949</v>
      </c>
      <c r="GL53" s="97">
        <v>0</v>
      </c>
      <c r="GM53" s="97">
        <v>1045643</v>
      </c>
      <c r="GN53" s="97">
        <v>850881</v>
      </c>
      <c r="GO53" s="97">
        <v>694452</v>
      </c>
      <c r="GP53" s="97">
        <v>378898</v>
      </c>
      <c r="GQ53" s="97">
        <v>1182308</v>
      </c>
      <c r="GR53" s="97">
        <v>0</v>
      </c>
      <c r="GS53" s="97">
        <v>3106539</v>
      </c>
      <c r="GT53" s="97">
        <v>522780</v>
      </c>
      <c r="GU53" s="97">
        <v>52363</v>
      </c>
      <c r="GV53" s="97">
        <v>56825</v>
      </c>
      <c r="GW53" s="97">
        <v>403282</v>
      </c>
      <c r="GX53" s="97">
        <v>25860</v>
      </c>
      <c r="GY53" s="97">
        <v>1061110</v>
      </c>
      <c r="GZ53" s="97">
        <v>1327123</v>
      </c>
      <c r="HA53" s="97">
        <v>381168</v>
      </c>
      <c r="HB53" s="97">
        <v>114480</v>
      </c>
      <c r="HC53" s="97">
        <v>390114</v>
      </c>
      <c r="HD53" s="97">
        <v>449109</v>
      </c>
      <c r="HE53" s="97">
        <v>2661994</v>
      </c>
      <c r="HF53" s="97">
        <v>51623</v>
      </c>
      <c r="HG53" s="97">
        <v>17841</v>
      </c>
      <c r="HH53" s="97">
        <v>0</v>
      </c>
      <c r="HI53" s="97">
        <v>7612</v>
      </c>
      <c r="HJ53" s="97">
        <v>2150238</v>
      </c>
      <c r="HK53" s="97">
        <v>2227314</v>
      </c>
      <c r="HL53" s="97">
        <v>98744</v>
      </c>
      <c r="HM53" s="97">
        <v>105960</v>
      </c>
      <c r="HN53" s="97">
        <v>36056</v>
      </c>
      <c r="HO53" s="97">
        <v>215394</v>
      </c>
      <c r="HP53" s="97">
        <v>16341</v>
      </c>
      <c r="HQ53" s="97">
        <v>472495</v>
      </c>
      <c r="HR53" s="97">
        <v>224521</v>
      </c>
      <c r="HS53" s="97">
        <v>21970</v>
      </c>
      <c r="HT53" s="97">
        <v>21306</v>
      </c>
      <c r="HU53" s="97">
        <v>70897</v>
      </c>
      <c r="HV53" s="97">
        <v>23357907</v>
      </c>
      <c r="HW53" s="97">
        <v>23696601</v>
      </c>
      <c r="HX53" s="97">
        <v>0</v>
      </c>
      <c r="HY53" s="97">
        <v>0</v>
      </c>
      <c r="HZ53" s="97">
        <v>0</v>
      </c>
      <c r="IA53" s="97">
        <v>0</v>
      </c>
      <c r="IB53" s="97">
        <v>118686</v>
      </c>
      <c r="IC53" s="97">
        <v>118686</v>
      </c>
      <c r="ID53" s="97">
        <v>0</v>
      </c>
      <c r="IE53" s="97">
        <v>0</v>
      </c>
      <c r="IF53" s="97">
        <v>0</v>
      </c>
      <c r="IG53" s="97">
        <v>0</v>
      </c>
      <c r="IH53" s="97">
        <v>0</v>
      </c>
      <c r="II53" s="97">
        <v>0</v>
      </c>
      <c r="IJ53" s="97">
        <v>193333</v>
      </c>
      <c r="IK53" s="97">
        <v>19883</v>
      </c>
      <c r="IL53" s="97">
        <v>28996</v>
      </c>
      <c r="IM53" s="97">
        <v>202665</v>
      </c>
      <c r="IN53" s="97">
        <v>247755</v>
      </c>
      <c r="IO53" s="97">
        <v>692632</v>
      </c>
      <c r="IP53" s="97">
        <v>1732</v>
      </c>
      <c r="IQ53" s="97">
        <v>585</v>
      </c>
      <c r="IR53" s="97">
        <v>3155</v>
      </c>
      <c r="IS53" s="97">
        <v>10938</v>
      </c>
      <c r="IT53" s="97">
        <v>22997</v>
      </c>
      <c r="IU53" s="97">
        <v>39407</v>
      </c>
      <c r="IV53" s="97">
        <v>702683</v>
      </c>
      <c r="IW53" s="97">
        <v>403068</v>
      </c>
      <c r="IX53" s="97">
        <v>258898</v>
      </c>
      <c r="IY53" s="97">
        <v>464596</v>
      </c>
      <c r="IZ53" s="97">
        <v>1739380</v>
      </c>
      <c r="JA53" s="97">
        <v>3568625</v>
      </c>
      <c r="JB53" s="97">
        <v>13594454</v>
      </c>
      <c r="JC53" s="97">
        <v>5450862</v>
      </c>
      <c r="JD53" s="97">
        <v>2283858</v>
      </c>
      <c r="JE53" s="97">
        <v>9806325</v>
      </c>
      <c r="JF53" s="97">
        <v>36790661</v>
      </c>
      <c r="JG53" s="97">
        <v>67926160</v>
      </c>
      <c r="JH53" s="97">
        <v>0</v>
      </c>
      <c r="JI53" s="97">
        <v>0</v>
      </c>
      <c r="JJ53" s="97">
        <v>0</v>
      </c>
      <c r="JK53" s="97">
        <v>0</v>
      </c>
      <c r="JL53" s="97">
        <v>1050000</v>
      </c>
      <c r="JM53" s="97">
        <v>1050000</v>
      </c>
      <c r="JN53" s="97">
        <v>13594454</v>
      </c>
      <c r="JO53" s="97">
        <v>5450862</v>
      </c>
      <c r="JP53" s="97">
        <v>2283858</v>
      </c>
      <c r="JQ53" s="97">
        <v>9806325</v>
      </c>
      <c r="JR53" s="97">
        <v>37840661</v>
      </c>
      <c r="JS53" s="97">
        <v>68976160</v>
      </c>
      <c r="JU53" s="5">
        <f t="shared" si="78"/>
        <v>11330142</v>
      </c>
      <c r="JV53" s="29">
        <f t="shared" si="79"/>
        <v>0</v>
      </c>
      <c r="JW53" s="5">
        <f t="shared" si="80"/>
        <v>4000000</v>
      </c>
      <c r="JX53" s="29">
        <f t="shared" si="81"/>
        <v>0</v>
      </c>
      <c r="JY53" s="5">
        <f t="shared" si="82"/>
        <v>473000</v>
      </c>
      <c r="JZ53" s="29">
        <f t="shared" si="83"/>
        <v>0</v>
      </c>
      <c r="KA53" s="5">
        <f t="shared" si="84"/>
        <v>24030641</v>
      </c>
      <c r="KB53" s="29">
        <f t="shared" si="85"/>
        <v>0</v>
      </c>
      <c r="KC53" s="5">
        <f t="shared" si="86"/>
        <v>133120</v>
      </c>
      <c r="KD53" s="29">
        <f t="shared" si="87"/>
        <v>0</v>
      </c>
      <c r="KE53" s="5">
        <f t="shared" si="88"/>
        <v>0</v>
      </c>
      <c r="KF53" s="29">
        <f t="shared" si="89"/>
        <v>0</v>
      </c>
      <c r="KG53" s="5">
        <f t="shared" si="90"/>
        <v>0</v>
      </c>
      <c r="KH53" s="29">
        <f t="shared" si="91"/>
        <v>0</v>
      </c>
      <c r="KI53" s="5">
        <f t="shared" si="92"/>
        <v>0</v>
      </c>
      <c r="KJ53" s="29">
        <f t="shared" si="93"/>
        <v>0</v>
      </c>
      <c r="KK53" s="5">
        <f t="shared" si="94"/>
        <v>21499866</v>
      </c>
      <c r="KL53" s="29">
        <f t="shared" si="95"/>
        <v>0</v>
      </c>
      <c r="KM53" s="5">
        <f t="shared" si="96"/>
        <v>3937800</v>
      </c>
      <c r="KN53" s="29">
        <f t="shared" si="97"/>
        <v>0</v>
      </c>
      <c r="KO53" s="5">
        <f t="shared" si="98"/>
        <v>1365964</v>
      </c>
      <c r="KP53" s="29">
        <f t="shared" si="99"/>
        <v>0</v>
      </c>
      <c r="KQ53" s="5">
        <f t="shared" si="100"/>
        <v>337896</v>
      </c>
      <c r="KR53" s="29">
        <f t="shared" si="101"/>
        <v>0</v>
      </c>
      <c r="KS53" s="5">
        <f t="shared" si="102"/>
        <v>770292</v>
      </c>
      <c r="KT53" s="29">
        <f t="shared" si="103"/>
        <v>0</v>
      </c>
      <c r="KU53" s="5">
        <f t="shared" si="104"/>
        <v>798222</v>
      </c>
      <c r="KV53" s="29">
        <f t="shared" si="105"/>
        <v>0</v>
      </c>
      <c r="KW53" s="5">
        <f t="shared" si="106"/>
        <v>1151937</v>
      </c>
      <c r="KX53" s="29">
        <f t="shared" si="107"/>
        <v>0</v>
      </c>
      <c r="KY53" s="5">
        <f t="shared" si="108"/>
        <v>69828880</v>
      </c>
      <c r="KZ53" s="29">
        <f t="shared" si="109"/>
        <v>0</v>
      </c>
      <c r="LA53" s="5">
        <f t="shared" si="110"/>
        <v>6469834</v>
      </c>
      <c r="LB53" s="29">
        <f t="shared" si="111"/>
        <v>0</v>
      </c>
      <c r="LC53" s="5">
        <f t="shared" si="112"/>
        <v>2222761</v>
      </c>
      <c r="LD53" s="29">
        <f t="shared" si="113"/>
        <v>0</v>
      </c>
      <c r="LE53" s="5">
        <f t="shared" si="114"/>
        <v>10559521</v>
      </c>
      <c r="LF53" s="29">
        <f t="shared" si="115"/>
        <v>0</v>
      </c>
      <c r="LG53" s="5">
        <f t="shared" si="116"/>
        <v>121120</v>
      </c>
      <c r="LH53" s="29">
        <f t="shared" si="117"/>
        <v>0</v>
      </c>
      <c r="LI53" s="5">
        <f t="shared" si="118"/>
        <v>7208799</v>
      </c>
      <c r="LJ53" s="29">
        <f t="shared" si="119"/>
        <v>0</v>
      </c>
      <c r="LK53" s="5">
        <f t="shared" si="120"/>
        <v>12000</v>
      </c>
      <c r="LL53" s="29">
        <f t="shared" si="121"/>
        <v>0</v>
      </c>
      <c r="LM53" s="5">
        <f t="shared" si="122"/>
        <v>2641079</v>
      </c>
      <c r="LN53" s="29">
        <f t="shared" si="123"/>
        <v>0</v>
      </c>
      <c r="LO53" s="5">
        <f t="shared" si="124"/>
        <v>1045643</v>
      </c>
      <c r="LP53" s="29">
        <f t="shared" si="125"/>
        <v>0</v>
      </c>
      <c r="LQ53" s="5">
        <f t="shared" si="126"/>
        <v>3106539</v>
      </c>
      <c r="LR53" s="29">
        <f t="shared" si="127"/>
        <v>0</v>
      </c>
      <c r="LS53" s="5">
        <f t="shared" si="128"/>
        <v>1061110</v>
      </c>
      <c r="LT53" s="29">
        <f t="shared" si="129"/>
        <v>0</v>
      </c>
      <c r="LU53" s="5">
        <f t="shared" si="130"/>
        <v>2661994</v>
      </c>
      <c r="LV53" s="29">
        <f t="shared" si="131"/>
        <v>0</v>
      </c>
      <c r="LW53" s="5">
        <f t="shared" si="132"/>
        <v>2227314</v>
      </c>
      <c r="LX53" s="29">
        <f t="shared" si="133"/>
        <v>0</v>
      </c>
      <c r="LY53" s="5">
        <f t="shared" si="134"/>
        <v>472495</v>
      </c>
      <c r="LZ53" s="29">
        <f t="shared" si="135"/>
        <v>0</v>
      </c>
      <c r="MA53" s="5">
        <f t="shared" si="136"/>
        <v>23696601</v>
      </c>
      <c r="MB53" s="29">
        <f t="shared" si="137"/>
        <v>0</v>
      </c>
      <c r="MC53" s="5">
        <f t="shared" si="138"/>
        <v>118686</v>
      </c>
      <c r="MD53" s="29">
        <f t="shared" si="139"/>
        <v>0</v>
      </c>
      <c r="ME53" s="5">
        <f t="shared" si="140"/>
        <v>0</v>
      </c>
      <c r="MF53" s="29">
        <f t="shared" si="141"/>
        <v>0</v>
      </c>
      <c r="MG53" s="5">
        <f t="shared" si="142"/>
        <v>692632</v>
      </c>
      <c r="MH53" s="29">
        <f t="shared" si="143"/>
        <v>0</v>
      </c>
      <c r="MI53" s="5">
        <f t="shared" si="144"/>
        <v>39407</v>
      </c>
      <c r="MJ53" s="29">
        <f t="shared" si="145"/>
        <v>0</v>
      </c>
      <c r="MK53" s="5">
        <f t="shared" si="146"/>
        <v>3568625</v>
      </c>
      <c r="ML53" s="29">
        <f t="shared" si="147"/>
        <v>0</v>
      </c>
      <c r="MM53" s="5">
        <f t="shared" si="148"/>
        <v>67926160</v>
      </c>
      <c r="MN53" s="29">
        <f t="shared" si="149"/>
        <v>0</v>
      </c>
      <c r="MO53" s="5">
        <f t="shared" si="150"/>
        <v>1050000</v>
      </c>
      <c r="MP53" s="29">
        <f t="shared" si="151"/>
        <v>0</v>
      </c>
      <c r="MQ53" s="5">
        <f t="shared" si="152"/>
        <v>68976160</v>
      </c>
      <c r="MR53" s="29">
        <f t="shared" si="153"/>
        <v>0</v>
      </c>
      <c r="MT53" s="5">
        <f t="shared" si="76"/>
        <v>0</v>
      </c>
      <c r="MV53" s="4">
        <f t="shared" si="77"/>
        <v>0</v>
      </c>
    </row>
    <row r="54" spans="1:360" x14ac:dyDescent="0.15">
      <c r="A54" s="41" t="s">
        <v>322</v>
      </c>
      <c r="B54" s="28" t="s">
        <v>462</v>
      </c>
      <c r="C54" s="47">
        <v>178396</v>
      </c>
      <c r="D54" s="48">
        <v>2012</v>
      </c>
      <c r="E54" s="49">
        <v>1</v>
      </c>
      <c r="F54" s="49">
        <v>5</v>
      </c>
      <c r="G54" s="50">
        <v>11617</v>
      </c>
      <c r="H54" s="50">
        <v>12681</v>
      </c>
      <c r="I54" s="51">
        <v>1175534370</v>
      </c>
      <c r="J54" s="51"/>
      <c r="K54" s="51">
        <v>3123454</v>
      </c>
      <c r="L54" s="51"/>
      <c r="M54" s="51">
        <v>39543475</v>
      </c>
      <c r="N54" s="51"/>
      <c r="O54" s="51">
        <v>25312268</v>
      </c>
      <c r="P54" s="51"/>
      <c r="Q54" s="51">
        <v>633532454</v>
      </c>
      <c r="R54" s="51"/>
      <c r="S54" s="51"/>
      <c r="T54" s="51"/>
      <c r="U54" s="51">
        <v>19294</v>
      </c>
      <c r="V54" s="51"/>
      <c r="W54" s="51">
        <v>32462</v>
      </c>
      <c r="X54" s="51"/>
      <c r="Y54" s="51">
        <v>22354</v>
      </c>
      <c r="Z54" s="51"/>
      <c r="AA54" s="51">
        <v>35522</v>
      </c>
      <c r="AB54" s="51"/>
      <c r="AC54" s="74">
        <v>9</v>
      </c>
      <c r="AD54" s="74">
        <v>11</v>
      </c>
      <c r="AE54" s="74">
        <v>0</v>
      </c>
      <c r="AF54" s="29">
        <v>4407281</v>
      </c>
      <c r="AG54" s="29">
        <v>3690247</v>
      </c>
      <c r="AH54" s="29">
        <v>769325</v>
      </c>
      <c r="AI54" s="29">
        <v>296208</v>
      </c>
      <c r="AJ54" s="29">
        <v>944543.5</v>
      </c>
      <c r="AK54" s="73">
        <v>6</v>
      </c>
      <c r="AL54" s="29">
        <v>809608.71428571432</v>
      </c>
      <c r="AM54" s="73">
        <v>7</v>
      </c>
      <c r="AN54" s="29">
        <v>204657.75</v>
      </c>
      <c r="AO54" s="73">
        <v>8</v>
      </c>
      <c r="AP54" s="29">
        <v>181918</v>
      </c>
      <c r="AQ54" s="73">
        <v>9</v>
      </c>
      <c r="AR54" s="29">
        <v>237162.85</v>
      </c>
      <c r="AS54" s="73">
        <v>20</v>
      </c>
      <c r="AT54" s="29">
        <v>197635.70833333334</v>
      </c>
      <c r="AU54" s="73">
        <v>24</v>
      </c>
      <c r="AV54" s="29">
        <v>97381.5625</v>
      </c>
      <c r="AW54" s="73">
        <v>16</v>
      </c>
      <c r="AX54" s="29">
        <v>74195.476190476184</v>
      </c>
      <c r="AY54" s="73">
        <v>21</v>
      </c>
      <c r="AZ54" s="97">
        <v>12255691</v>
      </c>
      <c r="BA54" s="97">
        <v>4850291</v>
      </c>
      <c r="BB54" s="97">
        <v>40825</v>
      </c>
      <c r="BC54" s="97">
        <v>119441</v>
      </c>
      <c r="BD54" s="97">
        <v>1666008</v>
      </c>
      <c r="BE54" s="97">
        <v>18932256</v>
      </c>
      <c r="BF54" s="97">
        <v>0</v>
      </c>
      <c r="BG54" s="97">
        <v>0</v>
      </c>
      <c r="BH54" s="97">
        <v>0</v>
      </c>
      <c r="BI54" s="97">
        <v>0</v>
      </c>
      <c r="BJ54" s="97">
        <v>0</v>
      </c>
      <c r="BK54" s="97">
        <v>0</v>
      </c>
      <c r="BL54" s="97">
        <v>300000</v>
      </c>
      <c r="BM54" s="97">
        <v>75000</v>
      </c>
      <c r="BN54" s="97">
        <v>0</v>
      </c>
      <c r="BO54" s="97">
        <v>23500</v>
      </c>
      <c r="BP54" s="97">
        <v>0</v>
      </c>
      <c r="BQ54" s="97">
        <v>398500</v>
      </c>
      <c r="BR54" s="97">
        <v>1293282</v>
      </c>
      <c r="BS54" s="97">
        <v>885080</v>
      </c>
      <c r="BT54" s="97">
        <v>31848</v>
      </c>
      <c r="BU54" s="97">
        <v>170094</v>
      </c>
      <c r="BV54" s="97">
        <v>11395367</v>
      </c>
      <c r="BW54" s="97">
        <v>13775671</v>
      </c>
      <c r="BX54" s="97">
        <v>0</v>
      </c>
      <c r="BY54" s="97">
        <v>0</v>
      </c>
      <c r="BZ54" s="97">
        <v>0</v>
      </c>
      <c r="CA54" s="97">
        <v>0</v>
      </c>
      <c r="CB54" s="97">
        <v>0</v>
      </c>
      <c r="CC54" s="97">
        <v>0</v>
      </c>
      <c r="CD54" s="97">
        <v>0</v>
      </c>
      <c r="CE54" s="97">
        <v>0</v>
      </c>
      <c r="CF54" s="97">
        <v>0</v>
      </c>
      <c r="CG54" s="97">
        <v>0</v>
      </c>
      <c r="CH54" s="97">
        <v>0</v>
      </c>
      <c r="CI54" s="97">
        <v>0</v>
      </c>
      <c r="CJ54" s="97">
        <v>0</v>
      </c>
      <c r="CK54" s="97">
        <v>0</v>
      </c>
      <c r="CL54" s="97">
        <v>0</v>
      </c>
      <c r="CM54" s="97">
        <v>0</v>
      </c>
      <c r="CN54" s="97">
        <v>1935944</v>
      </c>
      <c r="CO54" s="97">
        <v>1935944</v>
      </c>
      <c r="CP54" s="97">
        <v>0</v>
      </c>
      <c r="CQ54" s="97">
        <v>0</v>
      </c>
      <c r="CR54" s="97">
        <v>0</v>
      </c>
      <c r="CS54" s="97">
        <v>0</v>
      </c>
      <c r="CT54" s="97">
        <v>0</v>
      </c>
      <c r="CU54" s="97">
        <v>0</v>
      </c>
      <c r="CV54" s="97">
        <v>505579</v>
      </c>
      <c r="CW54" s="97">
        <v>0</v>
      </c>
      <c r="CX54" s="97">
        <v>0</v>
      </c>
      <c r="CY54" s="97">
        <v>63896</v>
      </c>
      <c r="CZ54" s="97">
        <v>1246263</v>
      </c>
      <c r="DA54" s="97">
        <v>1815738</v>
      </c>
      <c r="DB54" s="97">
        <v>0</v>
      </c>
      <c r="DC54" s="97">
        <v>0</v>
      </c>
      <c r="DD54" s="97">
        <v>0</v>
      </c>
      <c r="DE54" s="97">
        <v>0</v>
      </c>
      <c r="DF54" s="97">
        <v>4215555</v>
      </c>
      <c r="DG54" s="97">
        <v>4215555</v>
      </c>
      <c r="DH54" s="97">
        <v>1328933</v>
      </c>
      <c r="DI54" s="97">
        <v>409770</v>
      </c>
      <c r="DJ54" s="97">
        <v>10467</v>
      </c>
      <c r="DK54" s="97">
        <v>30859</v>
      </c>
      <c r="DL54" s="97">
        <v>570995</v>
      </c>
      <c r="DM54" s="97">
        <v>2351024</v>
      </c>
      <c r="DN54" s="97">
        <v>0</v>
      </c>
      <c r="DO54" s="97">
        <v>0</v>
      </c>
      <c r="DP54" s="97">
        <v>0</v>
      </c>
      <c r="DQ54" s="97">
        <v>0</v>
      </c>
      <c r="DR54" s="97">
        <v>2025000</v>
      </c>
      <c r="DS54" s="97">
        <v>2025000</v>
      </c>
      <c r="DT54" s="97">
        <v>266248</v>
      </c>
      <c r="DU54" s="97">
        <v>417176</v>
      </c>
      <c r="DV54" s="97">
        <v>120956</v>
      </c>
      <c r="DW54" s="97">
        <v>1260600</v>
      </c>
      <c r="DX54" s="97">
        <v>6175</v>
      </c>
      <c r="DY54" s="97">
        <v>2071155</v>
      </c>
      <c r="DZ54" s="97">
        <v>0</v>
      </c>
      <c r="EA54" s="97">
        <v>0</v>
      </c>
      <c r="EB54" s="97">
        <v>0</v>
      </c>
      <c r="EC54" s="97">
        <v>0</v>
      </c>
      <c r="ED54" s="97">
        <v>1488932</v>
      </c>
      <c r="EE54" s="97">
        <v>1488932</v>
      </c>
      <c r="EF54" s="97">
        <v>10938</v>
      </c>
      <c r="EG54" s="97">
        <v>71255</v>
      </c>
      <c r="EH54" s="97">
        <v>9071</v>
      </c>
      <c r="EI54" s="97">
        <v>225409</v>
      </c>
      <c r="EJ54" s="97">
        <v>1393217</v>
      </c>
      <c r="EK54" s="97">
        <v>1709890</v>
      </c>
      <c r="EL54" s="97">
        <v>15960671</v>
      </c>
      <c r="EM54" s="97">
        <v>6708572</v>
      </c>
      <c r="EN54" s="97">
        <v>213167</v>
      </c>
      <c r="EO54" s="97">
        <v>1893799</v>
      </c>
      <c r="EP54" s="97">
        <v>25943456</v>
      </c>
      <c r="EQ54" s="97">
        <v>50719665</v>
      </c>
      <c r="ER54" s="97">
        <v>2470417</v>
      </c>
      <c r="ES54" s="97">
        <v>382553</v>
      </c>
      <c r="ET54" s="97">
        <v>470328</v>
      </c>
      <c r="EU54" s="97">
        <v>4774230</v>
      </c>
      <c r="EV54" s="97">
        <v>182916</v>
      </c>
      <c r="EW54" s="97">
        <v>8280444</v>
      </c>
      <c r="EX54" s="97">
        <v>1000000</v>
      </c>
      <c r="EY54" s="97">
        <v>545000</v>
      </c>
      <c r="EZ54" s="97">
        <v>79000</v>
      </c>
      <c r="FA54" s="97">
        <v>68661</v>
      </c>
      <c r="FB54" s="97">
        <v>639098</v>
      </c>
      <c r="FC54" s="97">
        <v>2331759</v>
      </c>
      <c r="FD54" s="97">
        <v>6124709</v>
      </c>
      <c r="FE54" s="97">
        <v>2833241</v>
      </c>
      <c r="FF54" s="97">
        <v>987459</v>
      </c>
      <c r="FG54" s="97">
        <v>3660476</v>
      </c>
      <c r="FH54" s="97">
        <v>0</v>
      </c>
      <c r="FI54" s="97">
        <v>13605885</v>
      </c>
      <c r="FJ54" s="97">
        <v>0</v>
      </c>
      <c r="FK54" s="97">
        <v>0</v>
      </c>
      <c r="FL54" s="97">
        <v>0</v>
      </c>
      <c r="FM54" s="97">
        <v>0</v>
      </c>
      <c r="FN54" s="97">
        <v>0</v>
      </c>
      <c r="FO54" s="97">
        <v>0</v>
      </c>
      <c r="FP54" s="97">
        <v>724434</v>
      </c>
      <c r="FQ54" s="97">
        <v>617799</v>
      </c>
      <c r="FR54" s="97">
        <v>194156</v>
      </c>
      <c r="FS54" s="97">
        <v>322279</v>
      </c>
      <c r="FT54" s="97">
        <v>11030071</v>
      </c>
      <c r="FU54" s="97">
        <v>12888739</v>
      </c>
      <c r="FV54" s="97">
        <v>0</v>
      </c>
      <c r="FW54" s="97">
        <v>0</v>
      </c>
      <c r="FX54" s="97">
        <v>0</v>
      </c>
      <c r="FY54" s="97">
        <v>0</v>
      </c>
      <c r="FZ54" s="97">
        <v>0</v>
      </c>
      <c r="GA54" s="97">
        <v>0</v>
      </c>
      <c r="GB54" s="97">
        <v>0</v>
      </c>
      <c r="GC54" s="97">
        <v>0</v>
      </c>
      <c r="GD54" s="97">
        <v>0</v>
      </c>
      <c r="GE54" s="97">
        <v>0</v>
      </c>
      <c r="GF54" s="97">
        <v>0</v>
      </c>
      <c r="GG54" s="97">
        <v>0</v>
      </c>
      <c r="GH54" s="97">
        <v>458518</v>
      </c>
      <c r="GI54" s="97">
        <v>165635</v>
      </c>
      <c r="GJ54" s="97">
        <v>71239</v>
      </c>
      <c r="GK54" s="97">
        <v>370141</v>
      </c>
      <c r="GL54" s="97">
        <v>0</v>
      </c>
      <c r="GM54" s="97">
        <v>1065533</v>
      </c>
      <c r="GN54" s="97">
        <v>1711576</v>
      </c>
      <c r="GO54" s="97">
        <v>649711</v>
      </c>
      <c r="GP54" s="97">
        <v>296897</v>
      </c>
      <c r="GQ54" s="97">
        <v>1719003</v>
      </c>
      <c r="GR54" s="97">
        <v>54614</v>
      </c>
      <c r="GS54" s="97">
        <v>4431801</v>
      </c>
      <c r="GT54" s="97">
        <v>1097544</v>
      </c>
      <c r="GU54" s="97">
        <v>102689</v>
      </c>
      <c r="GV54" s="97">
        <v>55280</v>
      </c>
      <c r="GW54" s="97">
        <v>733242</v>
      </c>
      <c r="GX54" s="97">
        <v>1585058</v>
      </c>
      <c r="GY54" s="97">
        <v>3573813</v>
      </c>
      <c r="GZ54" s="97">
        <v>786600</v>
      </c>
      <c r="HA54" s="97">
        <v>351170</v>
      </c>
      <c r="HB54" s="97">
        <v>39410</v>
      </c>
      <c r="HC54" s="97">
        <v>273824</v>
      </c>
      <c r="HD54" s="97">
        <v>634213</v>
      </c>
      <c r="HE54" s="97">
        <v>2085217</v>
      </c>
      <c r="HF54" s="97">
        <v>367</v>
      </c>
      <c r="HG54" s="97">
        <v>175</v>
      </c>
      <c r="HH54" s="97">
        <v>3893</v>
      </c>
      <c r="HI54" s="97">
        <v>21313</v>
      </c>
      <c r="HJ54" s="97">
        <v>1242382</v>
      </c>
      <c r="HK54" s="97">
        <v>1268130</v>
      </c>
      <c r="HL54" s="97">
        <v>170936</v>
      </c>
      <c r="HM54" s="97">
        <v>320037</v>
      </c>
      <c r="HN54" s="97">
        <v>98670</v>
      </c>
      <c r="HO54" s="97">
        <v>536317</v>
      </c>
      <c r="HP54" s="97">
        <v>1763</v>
      </c>
      <c r="HQ54" s="97">
        <v>1127723</v>
      </c>
      <c r="HR54" s="97">
        <v>214950</v>
      </c>
      <c r="HS54" s="97">
        <v>943</v>
      </c>
      <c r="HT54" s="97">
        <v>53935</v>
      </c>
      <c r="HU54" s="97">
        <v>192723</v>
      </c>
      <c r="HV54" s="97">
        <v>10034677</v>
      </c>
      <c r="HW54" s="97">
        <v>10497228</v>
      </c>
      <c r="HX54" s="97">
        <v>750</v>
      </c>
      <c r="HY54" s="97">
        <v>0</v>
      </c>
      <c r="HZ54" s="97">
        <v>0</v>
      </c>
      <c r="IA54" s="97">
        <v>0</v>
      </c>
      <c r="IB54" s="97">
        <v>218744</v>
      </c>
      <c r="IC54" s="97">
        <v>219494</v>
      </c>
      <c r="ID54" s="97">
        <v>0</v>
      </c>
      <c r="IE54" s="97">
        <v>0</v>
      </c>
      <c r="IF54" s="97">
        <v>0</v>
      </c>
      <c r="IG54" s="97">
        <v>0</v>
      </c>
      <c r="IH54" s="97">
        <v>0</v>
      </c>
      <c r="II54" s="97">
        <v>0</v>
      </c>
      <c r="IJ54" s="97">
        <v>0</v>
      </c>
      <c r="IK54" s="97">
        <v>0</v>
      </c>
      <c r="IL54" s="97">
        <v>0</v>
      </c>
      <c r="IM54" s="97">
        <v>0</v>
      </c>
      <c r="IN54" s="97">
        <v>878340</v>
      </c>
      <c r="IO54" s="97">
        <v>878340</v>
      </c>
      <c r="IP54" s="97">
        <v>3020</v>
      </c>
      <c r="IQ54" s="97">
        <v>440</v>
      </c>
      <c r="IR54" s="97">
        <v>960</v>
      </c>
      <c r="IS54" s="97">
        <v>6857</v>
      </c>
      <c r="IT54" s="97">
        <v>38886</v>
      </c>
      <c r="IU54" s="97">
        <v>50163</v>
      </c>
      <c r="IV54" s="97">
        <v>534365</v>
      </c>
      <c r="IW54" s="97">
        <v>152632</v>
      </c>
      <c r="IX54" s="97">
        <v>64612</v>
      </c>
      <c r="IY54" s="97">
        <v>295364</v>
      </c>
      <c r="IZ54" s="97">
        <v>3629647</v>
      </c>
      <c r="JA54" s="97">
        <v>4676620</v>
      </c>
      <c r="JB54" s="97">
        <v>15298186</v>
      </c>
      <c r="JC54" s="97">
        <v>6122025</v>
      </c>
      <c r="JD54" s="97">
        <v>2415839</v>
      </c>
      <c r="JE54" s="97">
        <v>12974430</v>
      </c>
      <c r="JF54" s="97">
        <v>30170409</v>
      </c>
      <c r="JG54" s="97">
        <v>66980889</v>
      </c>
      <c r="JH54" s="97">
        <v>0</v>
      </c>
      <c r="JI54" s="97">
        <v>0</v>
      </c>
      <c r="JJ54" s="97">
        <v>0</v>
      </c>
      <c r="JK54" s="97">
        <v>0</v>
      </c>
      <c r="JL54" s="97">
        <v>1438114</v>
      </c>
      <c r="JM54" s="97">
        <v>1438114</v>
      </c>
      <c r="JN54" s="97">
        <v>15298186</v>
      </c>
      <c r="JO54" s="97">
        <v>6122025</v>
      </c>
      <c r="JP54" s="97">
        <v>2415839</v>
      </c>
      <c r="JQ54" s="97">
        <v>12974430</v>
      </c>
      <c r="JR54" s="97">
        <v>31608523</v>
      </c>
      <c r="JS54" s="97">
        <v>68419003</v>
      </c>
      <c r="JU54" s="5">
        <f t="shared" si="78"/>
        <v>18932256</v>
      </c>
      <c r="JV54" s="29">
        <f t="shared" si="79"/>
        <v>0</v>
      </c>
      <c r="JW54" s="5">
        <f t="shared" si="80"/>
        <v>0</v>
      </c>
      <c r="JX54" s="29">
        <f t="shared" si="81"/>
        <v>0</v>
      </c>
      <c r="JY54" s="5">
        <f t="shared" si="82"/>
        <v>398500</v>
      </c>
      <c r="JZ54" s="29">
        <f t="shared" si="83"/>
        <v>0</v>
      </c>
      <c r="KA54" s="5">
        <f t="shared" si="84"/>
        <v>13775671</v>
      </c>
      <c r="KB54" s="29">
        <f t="shared" si="85"/>
        <v>0</v>
      </c>
      <c r="KC54" s="5">
        <f t="shared" si="86"/>
        <v>0</v>
      </c>
      <c r="KD54" s="29">
        <f t="shared" si="87"/>
        <v>0</v>
      </c>
      <c r="KE54" s="5">
        <f t="shared" si="88"/>
        <v>0</v>
      </c>
      <c r="KF54" s="29">
        <f t="shared" si="89"/>
        <v>0</v>
      </c>
      <c r="KG54" s="5">
        <f t="shared" si="90"/>
        <v>1935944</v>
      </c>
      <c r="KH54" s="29">
        <f t="shared" si="91"/>
        <v>0</v>
      </c>
      <c r="KI54" s="5">
        <f t="shared" si="92"/>
        <v>0</v>
      </c>
      <c r="KJ54" s="29">
        <f t="shared" si="93"/>
        <v>0</v>
      </c>
      <c r="KK54" s="5">
        <f t="shared" si="94"/>
        <v>1815738</v>
      </c>
      <c r="KL54" s="29">
        <f t="shared" si="95"/>
        <v>0</v>
      </c>
      <c r="KM54" s="5">
        <f t="shared" si="96"/>
        <v>4215555</v>
      </c>
      <c r="KN54" s="29">
        <f t="shared" si="97"/>
        <v>0</v>
      </c>
      <c r="KO54" s="5">
        <f t="shared" si="98"/>
        <v>2351024</v>
      </c>
      <c r="KP54" s="29">
        <f t="shared" si="99"/>
        <v>0</v>
      </c>
      <c r="KQ54" s="5">
        <f t="shared" si="100"/>
        <v>2025000</v>
      </c>
      <c r="KR54" s="29">
        <f t="shared" si="101"/>
        <v>0</v>
      </c>
      <c r="KS54" s="5">
        <f t="shared" si="102"/>
        <v>2071155</v>
      </c>
      <c r="KT54" s="29">
        <f t="shared" si="103"/>
        <v>0</v>
      </c>
      <c r="KU54" s="5">
        <f t="shared" si="104"/>
        <v>1488932</v>
      </c>
      <c r="KV54" s="29">
        <f t="shared" si="105"/>
        <v>0</v>
      </c>
      <c r="KW54" s="5">
        <f t="shared" si="106"/>
        <v>1709890</v>
      </c>
      <c r="KX54" s="29">
        <f t="shared" si="107"/>
        <v>0</v>
      </c>
      <c r="KY54" s="5">
        <f t="shared" si="108"/>
        <v>50719665</v>
      </c>
      <c r="KZ54" s="29">
        <f t="shared" si="109"/>
        <v>0</v>
      </c>
      <c r="LA54" s="5">
        <f t="shared" si="110"/>
        <v>8280444</v>
      </c>
      <c r="LB54" s="29">
        <f t="shared" si="111"/>
        <v>0</v>
      </c>
      <c r="LC54" s="5">
        <f t="shared" si="112"/>
        <v>2331759</v>
      </c>
      <c r="LD54" s="29">
        <f t="shared" si="113"/>
        <v>0</v>
      </c>
      <c r="LE54" s="5">
        <f t="shared" si="114"/>
        <v>13605885</v>
      </c>
      <c r="LF54" s="29">
        <f t="shared" si="115"/>
        <v>0</v>
      </c>
      <c r="LG54" s="5">
        <f t="shared" si="116"/>
        <v>0</v>
      </c>
      <c r="LH54" s="29">
        <f t="shared" si="117"/>
        <v>0</v>
      </c>
      <c r="LI54" s="5">
        <f t="shared" si="118"/>
        <v>12888739</v>
      </c>
      <c r="LJ54" s="29">
        <f t="shared" si="119"/>
        <v>0</v>
      </c>
      <c r="LK54" s="5">
        <f t="shared" si="120"/>
        <v>0</v>
      </c>
      <c r="LL54" s="29">
        <f t="shared" si="121"/>
        <v>0</v>
      </c>
      <c r="LM54" s="5">
        <f t="shared" si="122"/>
        <v>0</v>
      </c>
      <c r="LN54" s="29">
        <f t="shared" si="123"/>
        <v>0</v>
      </c>
      <c r="LO54" s="5">
        <f t="shared" si="124"/>
        <v>1065533</v>
      </c>
      <c r="LP54" s="29">
        <f t="shared" si="125"/>
        <v>0</v>
      </c>
      <c r="LQ54" s="5">
        <f t="shared" si="126"/>
        <v>4431801</v>
      </c>
      <c r="LR54" s="29">
        <f t="shared" si="127"/>
        <v>0</v>
      </c>
      <c r="LS54" s="5">
        <f t="shared" si="128"/>
        <v>3573813</v>
      </c>
      <c r="LT54" s="29">
        <f t="shared" si="129"/>
        <v>0</v>
      </c>
      <c r="LU54" s="5">
        <f t="shared" si="130"/>
        <v>2085217</v>
      </c>
      <c r="LV54" s="29">
        <f t="shared" si="131"/>
        <v>0</v>
      </c>
      <c r="LW54" s="5">
        <f t="shared" si="132"/>
        <v>1268130</v>
      </c>
      <c r="LX54" s="29">
        <f t="shared" si="133"/>
        <v>0</v>
      </c>
      <c r="LY54" s="5">
        <f t="shared" si="134"/>
        <v>1127723</v>
      </c>
      <c r="LZ54" s="29">
        <f t="shared" si="135"/>
        <v>0</v>
      </c>
      <c r="MA54" s="5">
        <f t="shared" si="136"/>
        <v>10497228</v>
      </c>
      <c r="MB54" s="29">
        <f t="shared" si="137"/>
        <v>0</v>
      </c>
      <c r="MC54" s="5">
        <f t="shared" si="138"/>
        <v>219494</v>
      </c>
      <c r="MD54" s="29">
        <f t="shared" si="139"/>
        <v>0</v>
      </c>
      <c r="ME54" s="5">
        <f t="shared" si="140"/>
        <v>0</v>
      </c>
      <c r="MF54" s="29">
        <f t="shared" si="141"/>
        <v>0</v>
      </c>
      <c r="MG54" s="5">
        <f t="shared" si="142"/>
        <v>878340</v>
      </c>
      <c r="MH54" s="29">
        <f t="shared" si="143"/>
        <v>0</v>
      </c>
      <c r="MI54" s="5">
        <f t="shared" si="144"/>
        <v>50163</v>
      </c>
      <c r="MJ54" s="29">
        <f t="shared" si="145"/>
        <v>0</v>
      </c>
      <c r="MK54" s="5">
        <f t="shared" si="146"/>
        <v>4676620</v>
      </c>
      <c r="ML54" s="29">
        <f t="shared" si="147"/>
        <v>0</v>
      </c>
      <c r="MM54" s="5">
        <f t="shared" si="148"/>
        <v>66980889</v>
      </c>
      <c r="MN54" s="29">
        <f t="shared" si="149"/>
        <v>0</v>
      </c>
      <c r="MO54" s="5">
        <f t="shared" si="150"/>
        <v>1438114</v>
      </c>
      <c r="MP54" s="29">
        <f t="shared" si="151"/>
        <v>0</v>
      </c>
      <c r="MQ54" s="5">
        <f t="shared" si="152"/>
        <v>68419003</v>
      </c>
      <c r="MR54" s="29">
        <f t="shared" si="153"/>
        <v>0</v>
      </c>
      <c r="MT54" s="5">
        <f t="shared" si="76"/>
        <v>0</v>
      </c>
      <c r="MV54" s="4">
        <f t="shared" si="77"/>
        <v>0</v>
      </c>
    </row>
    <row r="55" spans="1:360" x14ac:dyDescent="0.15">
      <c r="A55" s="24" t="s">
        <v>323</v>
      </c>
      <c r="B55" s="28" t="s">
        <v>462</v>
      </c>
      <c r="C55" s="47">
        <v>181464</v>
      </c>
      <c r="D55" s="48">
        <v>2012</v>
      </c>
      <c r="E55" s="49">
        <v>1</v>
      </c>
      <c r="F55" s="49">
        <v>3</v>
      </c>
      <c r="G55" s="50">
        <v>9677</v>
      </c>
      <c r="H55" s="50">
        <v>8362</v>
      </c>
      <c r="I55" s="51">
        <v>882187673</v>
      </c>
      <c r="J55" s="51"/>
      <c r="K55" s="51">
        <v>3359543</v>
      </c>
      <c r="L55" s="51"/>
      <c r="M55" s="51">
        <v>21749218</v>
      </c>
      <c r="N55" s="51"/>
      <c r="O55" s="51">
        <v>30245000</v>
      </c>
      <c r="P55" s="51"/>
      <c r="Q55" s="51">
        <v>327942838</v>
      </c>
      <c r="R55" s="51"/>
      <c r="S55" s="51">
        <v>653796474</v>
      </c>
      <c r="T55" s="51"/>
      <c r="U55" s="51">
        <v>16597</v>
      </c>
      <c r="V55" s="51"/>
      <c r="W55" s="51">
        <v>28882</v>
      </c>
      <c r="X55" s="51"/>
      <c r="Y55" s="51">
        <v>20738</v>
      </c>
      <c r="Z55" s="51"/>
      <c r="AA55" s="51">
        <v>33023</v>
      </c>
      <c r="AB55" s="51"/>
      <c r="AC55" s="74">
        <v>10</v>
      </c>
      <c r="AD55" s="74">
        <v>13</v>
      </c>
      <c r="AE55" s="74">
        <v>0</v>
      </c>
      <c r="AF55" s="29">
        <v>5310913</v>
      </c>
      <c r="AG55" s="29">
        <v>4105464</v>
      </c>
      <c r="AH55" s="29">
        <v>1167323</v>
      </c>
      <c r="AI55" s="29">
        <v>400037</v>
      </c>
      <c r="AJ55" s="29">
        <v>659851.73333333328</v>
      </c>
      <c r="AK55" s="73">
        <v>7.5</v>
      </c>
      <c r="AL55" s="29">
        <v>618611</v>
      </c>
      <c r="AM55" s="73">
        <v>8</v>
      </c>
      <c r="AN55" s="29">
        <v>223550.95238095237</v>
      </c>
      <c r="AO55" s="73">
        <v>10.5</v>
      </c>
      <c r="AP55" s="29">
        <v>213389.54545454544</v>
      </c>
      <c r="AQ55" s="73">
        <v>11</v>
      </c>
      <c r="AR55" s="29">
        <v>190494.34306569342</v>
      </c>
      <c r="AS55" s="73">
        <v>21.92</v>
      </c>
      <c r="AT55" s="29">
        <v>167025.44</v>
      </c>
      <c r="AU55" s="73">
        <v>25</v>
      </c>
      <c r="AV55" s="29">
        <v>100917.22222222222</v>
      </c>
      <c r="AW55" s="73">
        <v>18</v>
      </c>
      <c r="AX55" s="29">
        <v>86500.476190476184</v>
      </c>
      <c r="AY55" s="73">
        <v>21</v>
      </c>
      <c r="AZ55" s="97">
        <v>28184432</v>
      </c>
      <c r="BA55" s="97">
        <v>2077895</v>
      </c>
      <c r="BB55" s="97">
        <v>326685</v>
      </c>
      <c r="BC55" s="97">
        <v>1861868</v>
      </c>
      <c r="BD55" s="97">
        <v>0</v>
      </c>
      <c r="BE55" s="97">
        <v>32450880</v>
      </c>
      <c r="BF55" s="97">
        <v>0</v>
      </c>
      <c r="BG55" s="97">
        <v>0</v>
      </c>
      <c r="BH55" s="97">
        <v>0</v>
      </c>
      <c r="BI55" s="97">
        <v>0</v>
      </c>
      <c r="BJ55" s="97">
        <v>0</v>
      </c>
      <c r="BK55" s="97">
        <v>0</v>
      </c>
      <c r="BL55" s="97">
        <v>300000</v>
      </c>
      <c r="BM55" s="97">
        <v>2000</v>
      </c>
      <c r="BN55" s="97">
        <v>0</v>
      </c>
      <c r="BO55" s="97">
        <v>17500</v>
      </c>
      <c r="BP55" s="97">
        <v>0</v>
      </c>
      <c r="BQ55" s="97">
        <v>319500</v>
      </c>
      <c r="BR55" s="97">
        <v>2888751</v>
      </c>
      <c r="BS55" s="97">
        <v>3695584</v>
      </c>
      <c r="BT55" s="97">
        <v>50979</v>
      </c>
      <c r="BU55" s="97">
        <v>359650</v>
      </c>
      <c r="BV55" s="97">
        <v>2788571</v>
      </c>
      <c r="BW55" s="97">
        <v>9783535</v>
      </c>
      <c r="BX55" s="97">
        <v>0</v>
      </c>
      <c r="BY55" s="97">
        <v>0</v>
      </c>
      <c r="BZ55" s="97">
        <v>0</v>
      </c>
      <c r="CA55" s="97">
        <v>0</v>
      </c>
      <c r="CB55" s="97">
        <v>0</v>
      </c>
      <c r="CC55" s="97">
        <v>0</v>
      </c>
      <c r="CD55" s="97">
        <v>0</v>
      </c>
      <c r="CE55" s="97">
        <v>0</v>
      </c>
      <c r="CF55" s="97">
        <v>0</v>
      </c>
      <c r="CG55" s="97">
        <v>0</v>
      </c>
      <c r="CH55" s="97">
        <v>0</v>
      </c>
      <c r="CI55" s="97">
        <v>0</v>
      </c>
      <c r="CJ55" s="97">
        <v>0</v>
      </c>
      <c r="CK55" s="97">
        <v>0</v>
      </c>
      <c r="CL55" s="97">
        <v>0</v>
      </c>
      <c r="CM55" s="97">
        <v>0</v>
      </c>
      <c r="CN55" s="97">
        <v>0</v>
      </c>
      <c r="CO55" s="97">
        <v>0</v>
      </c>
      <c r="CP55" s="97">
        <v>0</v>
      </c>
      <c r="CQ55" s="97">
        <v>0</v>
      </c>
      <c r="CR55" s="97">
        <v>0</v>
      </c>
      <c r="CS55" s="97">
        <v>0</v>
      </c>
      <c r="CT55" s="97">
        <v>0</v>
      </c>
      <c r="CU55" s="97">
        <v>0</v>
      </c>
      <c r="CV55" s="97">
        <v>11501323</v>
      </c>
      <c r="CW55" s="97">
        <v>3580343</v>
      </c>
      <c r="CX55" s="97">
        <v>49983</v>
      </c>
      <c r="CY55" s="97">
        <v>810335</v>
      </c>
      <c r="CZ55" s="97">
        <v>62011</v>
      </c>
      <c r="DA55" s="97">
        <v>16003995</v>
      </c>
      <c r="DB55" s="97">
        <v>2082500</v>
      </c>
      <c r="DC55" s="97">
        <v>183750</v>
      </c>
      <c r="DD55" s="97">
        <v>61250</v>
      </c>
      <c r="DE55" s="97">
        <v>122500</v>
      </c>
      <c r="DF55" s="97">
        <v>0</v>
      </c>
      <c r="DG55" s="97">
        <v>2450000</v>
      </c>
      <c r="DH55" s="97">
        <v>3664159</v>
      </c>
      <c r="DI55" s="97">
        <v>350065</v>
      </c>
      <c r="DJ55" s="97">
        <v>153284</v>
      </c>
      <c r="DK55" s="97">
        <v>286883</v>
      </c>
      <c r="DL55" s="97">
        <v>2189898</v>
      </c>
      <c r="DM55" s="97">
        <v>6644289</v>
      </c>
      <c r="DN55" s="97">
        <v>6209677</v>
      </c>
      <c r="DO55" s="97">
        <v>809612</v>
      </c>
      <c r="DP55" s="97">
        <v>253852</v>
      </c>
      <c r="DQ55" s="97">
        <v>561336</v>
      </c>
      <c r="DR55" s="97">
        <v>3986899</v>
      </c>
      <c r="DS55" s="97">
        <v>11821376</v>
      </c>
      <c r="DT55" s="97">
        <v>0</v>
      </c>
      <c r="DU55" s="97">
        <v>0</v>
      </c>
      <c r="DV55" s="97">
        <v>0</v>
      </c>
      <c r="DW55" s="97">
        <v>0</v>
      </c>
      <c r="DX55" s="97">
        <v>0</v>
      </c>
      <c r="DY55" s="97">
        <v>0</v>
      </c>
      <c r="DZ55" s="97">
        <v>0</v>
      </c>
      <c r="EA55" s="97">
        <v>0</v>
      </c>
      <c r="EB55" s="97">
        <v>0</v>
      </c>
      <c r="EC55" s="97">
        <v>0</v>
      </c>
      <c r="ED55" s="97">
        <v>113921</v>
      </c>
      <c r="EE55" s="97">
        <v>113921</v>
      </c>
      <c r="EF55" s="97">
        <v>232595</v>
      </c>
      <c r="EG55" s="97">
        <v>6086</v>
      </c>
      <c r="EH55" s="97">
        <v>12623</v>
      </c>
      <c r="EI55" s="97">
        <v>190712</v>
      </c>
      <c r="EJ55" s="97">
        <v>1601740</v>
      </c>
      <c r="EK55" s="97">
        <v>2043756</v>
      </c>
      <c r="EL55" s="97">
        <v>55063437</v>
      </c>
      <c r="EM55" s="97">
        <v>10703335</v>
      </c>
      <c r="EN55" s="97">
        <v>908656</v>
      </c>
      <c r="EO55" s="97">
        <v>4212784</v>
      </c>
      <c r="EP55" s="97">
        <v>10743040</v>
      </c>
      <c r="EQ55" s="97">
        <v>81631252</v>
      </c>
      <c r="ER55" s="97">
        <v>2849489</v>
      </c>
      <c r="ES55" s="97">
        <v>496775</v>
      </c>
      <c r="ET55" s="97">
        <v>486316</v>
      </c>
      <c r="EU55" s="97">
        <v>5583797</v>
      </c>
      <c r="EV55" s="97">
        <v>0</v>
      </c>
      <c r="EW55" s="97">
        <v>9416377</v>
      </c>
      <c r="EX55" s="97">
        <v>1075000</v>
      </c>
      <c r="EY55" s="97">
        <v>495927</v>
      </c>
      <c r="EZ55" s="97">
        <v>103659</v>
      </c>
      <c r="FA55" s="97">
        <v>147804</v>
      </c>
      <c r="FB55" s="97">
        <v>0</v>
      </c>
      <c r="FC55" s="97">
        <v>1822390</v>
      </c>
      <c r="FD55" s="97">
        <v>5785364</v>
      </c>
      <c r="FE55" s="97">
        <v>1617154</v>
      </c>
      <c r="FF55" s="97">
        <v>1319025</v>
      </c>
      <c r="FG55" s="97">
        <v>4566776</v>
      </c>
      <c r="FH55" s="97">
        <v>0</v>
      </c>
      <c r="FI55" s="97">
        <v>13288319</v>
      </c>
      <c r="FJ55" s="97">
        <v>0</v>
      </c>
      <c r="FK55" s="97">
        <v>0</v>
      </c>
      <c r="FL55" s="97">
        <v>0</v>
      </c>
      <c r="FM55" s="97">
        <v>0</v>
      </c>
      <c r="FN55" s="97">
        <v>0</v>
      </c>
      <c r="FO55" s="97">
        <v>0</v>
      </c>
      <c r="FP55" s="97">
        <v>1601552</v>
      </c>
      <c r="FQ55" s="97">
        <v>619772</v>
      </c>
      <c r="FR55" s="97">
        <v>297917</v>
      </c>
      <c r="FS55" s="97">
        <v>1598150</v>
      </c>
      <c r="FT55" s="97">
        <v>11526109</v>
      </c>
      <c r="FU55" s="97">
        <v>15643500</v>
      </c>
      <c r="FV55" s="97">
        <v>0</v>
      </c>
      <c r="FW55" s="97">
        <v>0</v>
      </c>
      <c r="FX55" s="97">
        <v>0</v>
      </c>
      <c r="FY55" s="97">
        <v>0</v>
      </c>
      <c r="FZ55" s="97">
        <v>0</v>
      </c>
      <c r="GA55" s="97">
        <v>0</v>
      </c>
      <c r="GB55" s="97">
        <v>0</v>
      </c>
      <c r="GC55" s="97">
        <v>3187852</v>
      </c>
      <c r="GD55" s="97">
        <v>0</v>
      </c>
      <c r="GE55" s="97">
        <v>0</v>
      </c>
      <c r="GF55" s="97">
        <v>0</v>
      </c>
      <c r="GG55" s="97">
        <v>3187852</v>
      </c>
      <c r="GH55" s="97">
        <v>752681</v>
      </c>
      <c r="GI55" s="97">
        <v>216441</v>
      </c>
      <c r="GJ55" s="97">
        <v>118117</v>
      </c>
      <c r="GK55" s="97">
        <v>480121</v>
      </c>
      <c r="GL55" s="97">
        <v>0</v>
      </c>
      <c r="GM55" s="97">
        <v>1567360</v>
      </c>
      <c r="GN55" s="97">
        <v>1935257</v>
      </c>
      <c r="GO55" s="97">
        <v>576657</v>
      </c>
      <c r="GP55" s="97">
        <v>536341</v>
      </c>
      <c r="GQ55" s="97">
        <v>2216215</v>
      </c>
      <c r="GR55" s="97">
        <v>170175</v>
      </c>
      <c r="GS55" s="97">
        <v>5434645</v>
      </c>
      <c r="GT55" s="97">
        <v>313280</v>
      </c>
      <c r="GU55" s="97">
        <v>12747</v>
      </c>
      <c r="GV55" s="97">
        <v>6605</v>
      </c>
      <c r="GW55" s="97">
        <v>312822</v>
      </c>
      <c r="GX55" s="97">
        <v>248357</v>
      </c>
      <c r="GY55" s="97">
        <v>893811</v>
      </c>
      <c r="GZ55" s="97">
        <v>1584964</v>
      </c>
      <c r="HA55" s="97">
        <v>317650</v>
      </c>
      <c r="HB55" s="97">
        <v>215342</v>
      </c>
      <c r="HC55" s="97">
        <v>545236</v>
      </c>
      <c r="HD55" s="97">
        <v>804248</v>
      </c>
      <c r="HE55" s="97">
        <v>3467440</v>
      </c>
      <c r="HF55" s="97">
        <v>39415</v>
      </c>
      <c r="HG55" s="97">
        <v>3691</v>
      </c>
      <c r="HH55" s="97">
        <v>0</v>
      </c>
      <c r="HI55" s="97">
        <v>2366</v>
      </c>
      <c r="HJ55" s="97">
        <v>207662</v>
      </c>
      <c r="HK55" s="97">
        <v>253134</v>
      </c>
      <c r="HL55" s="97">
        <v>0</v>
      </c>
      <c r="HM55" s="97">
        <v>0</v>
      </c>
      <c r="HN55" s="97">
        <v>0</v>
      </c>
      <c r="HO55" s="97">
        <v>0</v>
      </c>
      <c r="HP55" s="97">
        <v>0</v>
      </c>
      <c r="HQ55" s="97">
        <v>0</v>
      </c>
      <c r="HR55" s="97">
        <v>98593</v>
      </c>
      <c r="HS55" s="97">
        <v>915</v>
      </c>
      <c r="HT55" s="97">
        <v>423</v>
      </c>
      <c r="HU55" s="97">
        <v>535420</v>
      </c>
      <c r="HV55" s="97">
        <v>8629020</v>
      </c>
      <c r="HW55" s="97">
        <v>9264371</v>
      </c>
      <c r="HX55" s="97">
        <v>0</v>
      </c>
      <c r="HY55" s="97">
        <v>0</v>
      </c>
      <c r="HZ55" s="97">
        <v>0</v>
      </c>
      <c r="IA55" s="97">
        <v>0</v>
      </c>
      <c r="IB55" s="97">
        <v>413510</v>
      </c>
      <c r="IC55" s="97">
        <v>413510</v>
      </c>
      <c r="ID55" s="97">
        <v>0</v>
      </c>
      <c r="IE55" s="97">
        <v>0</v>
      </c>
      <c r="IF55" s="97">
        <v>0</v>
      </c>
      <c r="IG55" s="97">
        <v>0</v>
      </c>
      <c r="IH55" s="97">
        <v>0</v>
      </c>
      <c r="II55" s="97">
        <v>0</v>
      </c>
      <c r="IJ55" s="97">
        <v>6189</v>
      </c>
      <c r="IK55" s="97">
        <v>923</v>
      </c>
      <c r="IL55" s="97">
        <v>872</v>
      </c>
      <c r="IM55" s="97">
        <v>14126</v>
      </c>
      <c r="IN55" s="97">
        <v>852202</v>
      </c>
      <c r="IO55" s="97">
        <v>874312</v>
      </c>
      <c r="IP55" s="97">
        <v>2940</v>
      </c>
      <c r="IQ55" s="97">
        <v>1104</v>
      </c>
      <c r="IR55" s="97">
        <v>1540</v>
      </c>
      <c r="IS55" s="97">
        <v>13617</v>
      </c>
      <c r="IT55" s="97">
        <v>121793</v>
      </c>
      <c r="IU55" s="97">
        <v>140994</v>
      </c>
      <c r="IV55" s="97">
        <v>2605224</v>
      </c>
      <c r="IW55" s="97">
        <v>813977</v>
      </c>
      <c r="IX55" s="97">
        <v>225653</v>
      </c>
      <c r="IY55" s="97">
        <v>1332819</v>
      </c>
      <c r="IZ55" s="97">
        <v>6391594</v>
      </c>
      <c r="JA55" s="97">
        <v>11369267</v>
      </c>
      <c r="JB55" s="97">
        <v>18649948</v>
      </c>
      <c r="JC55" s="97">
        <v>8361585</v>
      </c>
      <c r="JD55" s="97">
        <v>3311810</v>
      </c>
      <c r="JE55" s="97">
        <v>17349269</v>
      </c>
      <c r="JF55" s="97">
        <v>29364670</v>
      </c>
      <c r="JG55" s="97">
        <v>77037282</v>
      </c>
      <c r="JH55" s="97">
        <v>0</v>
      </c>
      <c r="JI55" s="97">
        <v>0</v>
      </c>
      <c r="JJ55" s="97">
        <v>0</v>
      </c>
      <c r="JK55" s="97">
        <v>0</v>
      </c>
      <c r="JL55" s="97">
        <v>2700781</v>
      </c>
      <c r="JM55" s="97">
        <v>2700781</v>
      </c>
      <c r="JN55" s="97">
        <v>18649948</v>
      </c>
      <c r="JO55" s="97">
        <v>8361585</v>
      </c>
      <c r="JP55" s="97">
        <v>3311810</v>
      </c>
      <c r="JQ55" s="97">
        <v>17349269</v>
      </c>
      <c r="JR55" s="97">
        <v>32065451</v>
      </c>
      <c r="JS55" s="97">
        <v>79738063</v>
      </c>
      <c r="JU55" s="5">
        <f t="shared" si="78"/>
        <v>32450880</v>
      </c>
      <c r="JV55" s="29">
        <f t="shared" si="79"/>
        <v>0</v>
      </c>
      <c r="JW55" s="5">
        <f t="shared" si="80"/>
        <v>0</v>
      </c>
      <c r="JX55" s="29">
        <f t="shared" si="81"/>
        <v>0</v>
      </c>
      <c r="JY55" s="5">
        <f t="shared" si="82"/>
        <v>319500</v>
      </c>
      <c r="JZ55" s="29">
        <f t="shared" si="83"/>
        <v>0</v>
      </c>
      <c r="KA55" s="5">
        <f t="shared" si="84"/>
        <v>9783535</v>
      </c>
      <c r="KB55" s="29">
        <f t="shared" si="85"/>
        <v>0</v>
      </c>
      <c r="KC55" s="5">
        <f t="shared" si="86"/>
        <v>0</v>
      </c>
      <c r="KD55" s="29">
        <f t="shared" si="87"/>
        <v>0</v>
      </c>
      <c r="KE55" s="5">
        <f t="shared" si="88"/>
        <v>0</v>
      </c>
      <c r="KF55" s="29">
        <f t="shared" si="89"/>
        <v>0</v>
      </c>
      <c r="KG55" s="5">
        <f t="shared" si="90"/>
        <v>0</v>
      </c>
      <c r="KH55" s="29">
        <f t="shared" si="91"/>
        <v>0</v>
      </c>
      <c r="KI55" s="5">
        <f t="shared" si="92"/>
        <v>0</v>
      </c>
      <c r="KJ55" s="29">
        <f t="shared" si="93"/>
        <v>0</v>
      </c>
      <c r="KK55" s="5">
        <f t="shared" si="94"/>
        <v>16003995</v>
      </c>
      <c r="KL55" s="29">
        <f t="shared" si="95"/>
        <v>0</v>
      </c>
      <c r="KM55" s="5">
        <f t="shared" si="96"/>
        <v>2450000</v>
      </c>
      <c r="KN55" s="29">
        <f t="shared" si="97"/>
        <v>0</v>
      </c>
      <c r="KO55" s="5">
        <f t="shared" si="98"/>
        <v>6644289</v>
      </c>
      <c r="KP55" s="29">
        <f t="shared" si="99"/>
        <v>0</v>
      </c>
      <c r="KQ55" s="5">
        <f t="shared" si="100"/>
        <v>11821376</v>
      </c>
      <c r="KR55" s="29">
        <f t="shared" si="101"/>
        <v>0</v>
      </c>
      <c r="KS55" s="5">
        <f t="shared" si="102"/>
        <v>0</v>
      </c>
      <c r="KT55" s="29">
        <f t="shared" si="103"/>
        <v>0</v>
      </c>
      <c r="KU55" s="5">
        <f t="shared" si="104"/>
        <v>113921</v>
      </c>
      <c r="KV55" s="29">
        <f t="shared" si="105"/>
        <v>0</v>
      </c>
      <c r="KW55" s="5">
        <f t="shared" si="106"/>
        <v>2043756</v>
      </c>
      <c r="KX55" s="29">
        <f t="shared" si="107"/>
        <v>0</v>
      </c>
      <c r="KY55" s="5">
        <f t="shared" si="108"/>
        <v>81631252</v>
      </c>
      <c r="KZ55" s="29">
        <f t="shared" si="109"/>
        <v>0</v>
      </c>
      <c r="LA55" s="5">
        <f t="shared" si="110"/>
        <v>9416377</v>
      </c>
      <c r="LB55" s="29">
        <f t="shared" si="111"/>
        <v>0</v>
      </c>
      <c r="LC55" s="5">
        <f t="shared" si="112"/>
        <v>1822390</v>
      </c>
      <c r="LD55" s="29">
        <f t="shared" si="113"/>
        <v>0</v>
      </c>
      <c r="LE55" s="5">
        <f t="shared" si="114"/>
        <v>13288319</v>
      </c>
      <c r="LF55" s="29">
        <f t="shared" si="115"/>
        <v>0</v>
      </c>
      <c r="LG55" s="5">
        <f t="shared" si="116"/>
        <v>0</v>
      </c>
      <c r="LH55" s="29">
        <f t="shared" si="117"/>
        <v>0</v>
      </c>
      <c r="LI55" s="5">
        <f t="shared" si="118"/>
        <v>15643500</v>
      </c>
      <c r="LJ55" s="29">
        <f t="shared" si="119"/>
        <v>0</v>
      </c>
      <c r="LK55" s="5">
        <f t="shared" si="120"/>
        <v>0</v>
      </c>
      <c r="LL55" s="29">
        <f t="shared" si="121"/>
        <v>0</v>
      </c>
      <c r="LM55" s="5">
        <f t="shared" si="122"/>
        <v>3187852</v>
      </c>
      <c r="LN55" s="29">
        <f t="shared" si="123"/>
        <v>0</v>
      </c>
      <c r="LO55" s="5">
        <f t="shared" si="124"/>
        <v>1567360</v>
      </c>
      <c r="LP55" s="29">
        <f t="shared" si="125"/>
        <v>0</v>
      </c>
      <c r="LQ55" s="5">
        <f t="shared" si="126"/>
        <v>5434645</v>
      </c>
      <c r="LR55" s="29">
        <f t="shared" si="127"/>
        <v>0</v>
      </c>
      <c r="LS55" s="5">
        <f t="shared" si="128"/>
        <v>893811</v>
      </c>
      <c r="LT55" s="29">
        <f t="shared" si="129"/>
        <v>0</v>
      </c>
      <c r="LU55" s="5">
        <f t="shared" si="130"/>
        <v>3467440</v>
      </c>
      <c r="LV55" s="29">
        <f t="shared" si="131"/>
        <v>0</v>
      </c>
      <c r="LW55" s="5">
        <f t="shared" si="132"/>
        <v>253134</v>
      </c>
      <c r="LX55" s="29">
        <f t="shared" si="133"/>
        <v>0</v>
      </c>
      <c r="LY55" s="5">
        <f t="shared" si="134"/>
        <v>0</v>
      </c>
      <c r="LZ55" s="29">
        <f t="shared" si="135"/>
        <v>0</v>
      </c>
      <c r="MA55" s="5">
        <f t="shared" si="136"/>
        <v>9264371</v>
      </c>
      <c r="MB55" s="29">
        <f t="shared" si="137"/>
        <v>0</v>
      </c>
      <c r="MC55" s="5">
        <f t="shared" si="138"/>
        <v>413510</v>
      </c>
      <c r="MD55" s="29">
        <f t="shared" si="139"/>
        <v>0</v>
      </c>
      <c r="ME55" s="5">
        <f t="shared" si="140"/>
        <v>0</v>
      </c>
      <c r="MF55" s="29">
        <f t="shared" si="141"/>
        <v>0</v>
      </c>
      <c r="MG55" s="5">
        <f t="shared" si="142"/>
        <v>874312</v>
      </c>
      <c r="MH55" s="29">
        <f t="shared" si="143"/>
        <v>0</v>
      </c>
      <c r="MI55" s="5">
        <f t="shared" si="144"/>
        <v>140994</v>
      </c>
      <c r="MJ55" s="29">
        <f t="shared" si="145"/>
        <v>0</v>
      </c>
      <c r="MK55" s="5">
        <f t="shared" si="146"/>
        <v>11369267</v>
      </c>
      <c r="ML55" s="29">
        <f t="shared" si="147"/>
        <v>0</v>
      </c>
      <c r="MM55" s="5">
        <f t="shared" si="148"/>
        <v>77037282</v>
      </c>
      <c r="MN55" s="29">
        <f t="shared" si="149"/>
        <v>0</v>
      </c>
      <c r="MO55" s="5">
        <f t="shared" si="150"/>
        <v>2700781</v>
      </c>
      <c r="MP55" s="29">
        <f t="shared" si="151"/>
        <v>0</v>
      </c>
      <c r="MQ55" s="5">
        <f t="shared" si="152"/>
        <v>79738063</v>
      </c>
      <c r="MR55" s="29">
        <f t="shared" si="153"/>
        <v>0</v>
      </c>
      <c r="MT55" s="5">
        <f t="shared" si="76"/>
        <v>0</v>
      </c>
      <c r="MV55" s="4">
        <f t="shared" si="77"/>
        <v>0</v>
      </c>
    </row>
    <row r="56" spans="1:360" x14ac:dyDescent="0.15">
      <c r="A56" s="156" t="s">
        <v>324</v>
      </c>
      <c r="B56" s="28" t="s">
        <v>461</v>
      </c>
      <c r="C56" s="47">
        <v>199193</v>
      </c>
      <c r="D56" s="48">
        <v>2012</v>
      </c>
      <c r="E56" s="49">
        <v>1</v>
      </c>
      <c r="F56" s="49">
        <v>10</v>
      </c>
      <c r="G56" s="50">
        <v>5652</v>
      </c>
      <c r="H56" s="50">
        <v>6328</v>
      </c>
      <c r="I56" s="51">
        <v>496366000</v>
      </c>
      <c r="J56" s="51"/>
      <c r="K56" s="51">
        <v>3682236</v>
      </c>
      <c r="L56" s="51"/>
      <c r="M56" s="51">
        <v>72629209</v>
      </c>
      <c r="N56" s="51"/>
      <c r="O56" s="51">
        <v>2590980</v>
      </c>
      <c r="P56" s="51"/>
      <c r="Q56" s="51">
        <v>261998157</v>
      </c>
      <c r="R56" s="51"/>
      <c r="S56" s="51">
        <v>462293000</v>
      </c>
      <c r="T56" s="51"/>
      <c r="U56" s="51">
        <v>15604</v>
      </c>
      <c r="V56" s="51"/>
      <c r="W56" s="51">
        <v>29199</v>
      </c>
      <c r="X56" s="51"/>
      <c r="Y56" s="51">
        <v>21802</v>
      </c>
      <c r="Z56" s="51"/>
      <c r="AA56" s="51">
        <v>35398</v>
      </c>
      <c r="AB56" s="51"/>
      <c r="AC56" s="72">
        <v>5</v>
      </c>
      <c r="AD56" s="72">
        <v>10</v>
      </c>
      <c r="AE56" s="72">
        <v>1</v>
      </c>
      <c r="AF56" s="29">
        <v>2776876</v>
      </c>
      <c r="AG56" s="29">
        <v>2263828</v>
      </c>
      <c r="AH56" s="29">
        <v>234318</v>
      </c>
      <c r="AI56" s="29">
        <v>122748</v>
      </c>
      <c r="AJ56" s="29">
        <v>226359.09</v>
      </c>
      <c r="AK56" s="73">
        <v>5.0599999999999996</v>
      </c>
      <c r="AL56" s="29">
        <v>163625.29</v>
      </c>
      <c r="AM56" s="73">
        <v>7</v>
      </c>
      <c r="AN56" s="29">
        <v>93814.76</v>
      </c>
      <c r="AO56" s="73">
        <v>8.06</v>
      </c>
      <c r="AP56" s="29">
        <v>84016.33</v>
      </c>
      <c r="AQ56" s="73">
        <v>9</v>
      </c>
      <c r="AR56" s="29">
        <v>125815.14</v>
      </c>
      <c r="AS56" s="73">
        <v>14</v>
      </c>
      <c r="AT56" s="29">
        <v>125815.14</v>
      </c>
      <c r="AU56" s="73">
        <v>14</v>
      </c>
      <c r="AV56" s="29">
        <v>57730.85</v>
      </c>
      <c r="AW56" s="73">
        <v>13</v>
      </c>
      <c r="AX56" s="29">
        <v>57730.85</v>
      </c>
      <c r="AY56" s="73">
        <v>13</v>
      </c>
      <c r="AZ56" s="97">
        <v>1805045</v>
      </c>
      <c r="BA56" s="97">
        <v>1859505</v>
      </c>
      <c r="BB56" s="97">
        <v>23500</v>
      </c>
      <c r="BC56" s="97">
        <v>56785</v>
      </c>
      <c r="BD56" s="97">
        <v>0</v>
      </c>
      <c r="BE56" s="97">
        <v>3744835</v>
      </c>
      <c r="BF56" s="97">
        <v>0</v>
      </c>
      <c r="BG56" s="97">
        <v>0</v>
      </c>
      <c r="BH56" s="97">
        <v>0</v>
      </c>
      <c r="BI56" s="97">
        <v>0</v>
      </c>
      <c r="BJ56" s="97">
        <v>2424570</v>
      </c>
      <c r="BK56" s="97">
        <v>2424570</v>
      </c>
      <c r="BL56" s="97">
        <v>1050000</v>
      </c>
      <c r="BM56" s="97">
        <v>30000</v>
      </c>
      <c r="BN56" s="97">
        <v>6000</v>
      </c>
      <c r="BO56" s="97">
        <v>13500</v>
      </c>
      <c r="BP56" s="97">
        <v>0</v>
      </c>
      <c r="BQ56" s="97">
        <v>1099500</v>
      </c>
      <c r="BR56" s="97">
        <v>513079</v>
      </c>
      <c r="BS56" s="97">
        <v>1429895</v>
      </c>
      <c r="BT56" s="97">
        <v>262523</v>
      </c>
      <c r="BU56" s="97">
        <v>315020</v>
      </c>
      <c r="BV56" s="97">
        <v>1160994</v>
      </c>
      <c r="BW56" s="97">
        <v>3681511</v>
      </c>
      <c r="BX56" s="97">
        <v>0</v>
      </c>
      <c r="BY56" s="97">
        <v>0</v>
      </c>
      <c r="BZ56" s="97">
        <v>0</v>
      </c>
      <c r="CA56" s="97">
        <v>0</v>
      </c>
      <c r="CB56" s="97">
        <v>0</v>
      </c>
      <c r="CC56" s="97">
        <v>0</v>
      </c>
      <c r="CD56" s="97">
        <v>163340</v>
      </c>
      <c r="CE56" s="97">
        <v>0</v>
      </c>
      <c r="CF56" s="97">
        <v>0</v>
      </c>
      <c r="CG56" s="97">
        <v>445030</v>
      </c>
      <c r="CH56" s="97">
        <v>2966360</v>
      </c>
      <c r="CI56" s="97">
        <v>3574730</v>
      </c>
      <c r="CJ56" s="97">
        <v>0</v>
      </c>
      <c r="CK56" s="97">
        <v>0</v>
      </c>
      <c r="CL56" s="97">
        <v>0</v>
      </c>
      <c r="CM56" s="97">
        <v>0</v>
      </c>
      <c r="CN56" s="97">
        <v>970145</v>
      </c>
      <c r="CO56" s="97">
        <v>970145</v>
      </c>
      <c r="CP56" s="97">
        <v>0</v>
      </c>
      <c r="CQ56" s="97">
        <v>0</v>
      </c>
      <c r="CR56" s="97">
        <v>0</v>
      </c>
      <c r="CS56" s="97">
        <v>0</v>
      </c>
      <c r="CT56" s="97">
        <v>1880140</v>
      </c>
      <c r="CU56" s="97">
        <v>1880140</v>
      </c>
      <c r="CV56" s="97">
        <v>323595</v>
      </c>
      <c r="CW56" s="97">
        <v>278610</v>
      </c>
      <c r="CX56" s="97">
        <v>0</v>
      </c>
      <c r="CY56" s="97">
        <v>0</v>
      </c>
      <c r="CZ56" s="97">
        <v>815745</v>
      </c>
      <c r="DA56" s="97">
        <v>1417950</v>
      </c>
      <c r="DB56" s="97">
        <v>187500</v>
      </c>
      <c r="DC56" s="97">
        <v>187500</v>
      </c>
      <c r="DD56" s="97">
        <v>0</v>
      </c>
      <c r="DE56" s="97">
        <v>0</v>
      </c>
      <c r="DF56" s="97">
        <v>0</v>
      </c>
      <c r="DG56" s="97">
        <v>375000</v>
      </c>
      <c r="DH56" s="97">
        <v>234970</v>
      </c>
      <c r="DI56" s="97">
        <v>0</v>
      </c>
      <c r="DJ56" s="97">
        <v>0</v>
      </c>
      <c r="DK56" s="97">
        <v>8180</v>
      </c>
      <c r="DL56" s="97">
        <v>0</v>
      </c>
      <c r="DM56" s="97">
        <v>243150</v>
      </c>
      <c r="DN56" s="97">
        <v>0</v>
      </c>
      <c r="DO56" s="97">
        <v>0</v>
      </c>
      <c r="DP56" s="97">
        <v>0</v>
      </c>
      <c r="DQ56" s="97">
        <v>0</v>
      </c>
      <c r="DR56" s="97">
        <v>1086085</v>
      </c>
      <c r="DS56" s="97">
        <v>1086085</v>
      </c>
      <c r="DT56" s="97">
        <v>0</v>
      </c>
      <c r="DU56" s="97">
        <v>0</v>
      </c>
      <c r="DV56" s="97">
        <v>0</v>
      </c>
      <c r="DW56" s="97">
        <v>0</v>
      </c>
      <c r="DX56" s="97">
        <v>0</v>
      </c>
      <c r="DY56" s="97">
        <v>0</v>
      </c>
      <c r="DZ56" s="97">
        <v>0</v>
      </c>
      <c r="EA56" s="97">
        <v>0</v>
      </c>
      <c r="EB56" s="97">
        <v>0</v>
      </c>
      <c r="EC56" s="97">
        <v>0</v>
      </c>
      <c r="ED56" s="97">
        <v>240000</v>
      </c>
      <c r="EE56" s="97">
        <v>240000</v>
      </c>
      <c r="EF56" s="97">
        <v>396980</v>
      </c>
      <c r="EG56" s="97">
        <v>68315</v>
      </c>
      <c r="EH56" s="97">
        <v>20065</v>
      </c>
      <c r="EI56" s="97">
        <v>59220</v>
      </c>
      <c r="EJ56" s="97">
        <v>249730</v>
      </c>
      <c r="EK56" s="97">
        <v>794310</v>
      </c>
      <c r="EL56" s="97">
        <v>4674509</v>
      </c>
      <c r="EM56" s="97">
        <v>3853825</v>
      </c>
      <c r="EN56" s="97">
        <v>312088</v>
      </c>
      <c r="EO56" s="97">
        <v>897735</v>
      </c>
      <c r="EP56" s="97">
        <v>11793769</v>
      </c>
      <c r="EQ56" s="97">
        <v>21531926</v>
      </c>
      <c r="ER56" s="97">
        <v>1898461</v>
      </c>
      <c r="ES56" s="97">
        <v>314330</v>
      </c>
      <c r="ET56" s="97">
        <v>251848</v>
      </c>
      <c r="EU56" s="97">
        <v>2660206</v>
      </c>
      <c r="EV56" s="97">
        <v>139321</v>
      </c>
      <c r="EW56" s="97">
        <v>5264166</v>
      </c>
      <c r="EX56" s="97">
        <v>100000</v>
      </c>
      <c r="EY56" s="97">
        <v>218250</v>
      </c>
      <c r="EZ56" s="97">
        <v>36345</v>
      </c>
      <c r="FA56" s="97">
        <v>3439</v>
      </c>
      <c r="FB56" s="97">
        <v>0</v>
      </c>
      <c r="FC56" s="97">
        <v>358034</v>
      </c>
      <c r="FD56" s="97">
        <v>1809565</v>
      </c>
      <c r="FE56" s="97">
        <v>714485</v>
      </c>
      <c r="FF56" s="97">
        <v>444656</v>
      </c>
      <c r="FG56" s="97">
        <v>1444731</v>
      </c>
      <c r="FH56" s="97">
        <v>0</v>
      </c>
      <c r="FI56" s="97">
        <v>4413437</v>
      </c>
      <c r="FJ56" s="97">
        <v>0</v>
      </c>
      <c r="FK56" s="97">
        <v>0</v>
      </c>
      <c r="FL56" s="97">
        <v>0</v>
      </c>
      <c r="FM56" s="97">
        <v>0</v>
      </c>
      <c r="FN56" s="97">
        <v>0</v>
      </c>
      <c r="FO56" s="97">
        <v>0</v>
      </c>
      <c r="FP56" s="97">
        <v>0</v>
      </c>
      <c r="FQ56" s="97">
        <v>0</v>
      </c>
      <c r="FR56" s="97">
        <v>0</v>
      </c>
      <c r="FS56" s="97">
        <v>0</v>
      </c>
      <c r="FT56" s="97">
        <v>3353283</v>
      </c>
      <c r="FU56" s="97">
        <v>3353283</v>
      </c>
      <c r="FV56" s="97">
        <v>0</v>
      </c>
      <c r="FW56" s="97">
        <v>0</v>
      </c>
      <c r="FX56" s="97">
        <v>0</v>
      </c>
      <c r="FY56" s="97">
        <v>0</v>
      </c>
      <c r="FZ56" s="97">
        <v>0</v>
      </c>
      <c r="GA56" s="97">
        <v>0</v>
      </c>
      <c r="GB56" s="97">
        <v>0</v>
      </c>
      <c r="GC56" s="97">
        <v>0</v>
      </c>
      <c r="GD56" s="97">
        <v>0</v>
      </c>
      <c r="GE56" s="97">
        <v>0</v>
      </c>
      <c r="GF56" s="97">
        <v>0</v>
      </c>
      <c r="GG56" s="97">
        <v>0</v>
      </c>
      <c r="GH56" s="97">
        <v>129119</v>
      </c>
      <c r="GI56" s="97">
        <v>87325</v>
      </c>
      <c r="GJ56" s="97">
        <v>51248</v>
      </c>
      <c r="GK56" s="97">
        <v>89374</v>
      </c>
      <c r="GL56" s="97">
        <v>1152</v>
      </c>
      <c r="GM56" s="97">
        <v>358218</v>
      </c>
      <c r="GN56" s="97">
        <v>767502</v>
      </c>
      <c r="GO56" s="97">
        <v>294443</v>
      </c>
      <c r="GP56" s="97">
        <v>228073</v>
      </c>
      <c r="GQ56" s="97">
        <v>916993</v>
      </c>
      <c r="GR56" s="97">
        <v>18732</v>
      </c>
      <c r="GS56" s="97">
        <v>2225743</v>
      </c>
      <c r="GT56" s="97">
        <v>267170</v>
      </c>
      <c r="GU56" s="97">
        <v>43143</v>
      </c>
      <c r="GV56" s="97">
        <v>50786</v>
      </c>
      <c r="GW56" s="97">
        <v>181281</v>
      </c>
      <c r="GX56" s="97">
        <v>135214</v>
      </c>
      <c r="GY56" s="97">
        <v>677594</v>
      </c>
      <c r="GZ56" s="97">
        <v>447638</v>
      </c>
      <c r="HA56" s="97">
        <v>147268</v>
      </c>
      <c r="HB56" s="97">
        <v>95632</v>
      </c>
      <c r="HC56" s="97">
        <v>126073</v>
      </c>
      <c r="HD56" s="97">
        <v>0</v>
      </c>
      <c r="HE56" s="97">
        <v>816611</v>
      </c>
      <c r="HF56" s="97">
        <v>0</v>
      </c>
      <c r="HG56" s="97">
        <v>0</v>
      </c>
      <c r="HH56" s="97">
        <v>0</v>
      </c>
      <c r="HI56" s="97">
        <v>475</v>
      </c>
      <c r="HJ56" s="97">
        <v>444558</v>
      </c>
      <c r="HK56" s="97">
        <v>445033</v>
      </c>
      <c r="HL56" s="97">
        <v>0</v>
      </c>
      <c r="HM56" s="97">
        <v>0</v>
      </c>
      <c r="HN56" s="97">
        <v>0</v>
      </c>
      <c r="HO56" s="97">
        <v>0</v>
      </c>
      <c r="HP56" s="97">
        <v>0</v>
      </c>
      <c r="HQ56" s="97">
        <v>0</v>
      </c>
      <c r="HR56" s="97">
        <v>0</v>
      </c>
      <c r="HS56" s="97">
        <v>0</v>
      </c>
      <c r="HT56" s="97">
        <v>0</v>
      </c>
      <c r="HU56" s="97">
        <v>0</v>
      </c>
      <c r="HV56" s="97">
        <v>0</v>
      </c>
      <c r="HW56" s="97">
        <v>0</v>
      </c>
      <c r="HX56" s="97">
        <v>0</v>
      </c>
      <c r="HY56" s="97">
        <v>0</v>
      </c>
      <c r="HZ56" s="97">
        <v>0</v>
      </c>
      <c r="IA56" s="97">
        <v>0</v>
      </c>
      <c r="IB56" s="97">
        <v>106181</v>
      </c>
      <c r="IC56" s="97">
        <v>106181</v>
      </c>
      <c r="ID56" s="97">
        <v>0</v>
      </c>
      <c r="IE56" s="97">
        <v>0</v>
      </c>
      <c r="IF56" s="97">
        <v>0</v>
      </c>
      <c r="IG56" s="97">
        <v>0</v>
      </c>
      <c r="IH56" s="97">
        <v>1880140</v>
      </c>
      <c r="II56" s="97">
        <v>1880140</v>
      </c>
      <c r="IJ56" s="97">
        <v>0</v>
      </c>
      <c r="IK56" s="97">
        <v>0</v>
      </c>
      <c r="IL56" s="97">
        <v>0</v>
      </c>
      <c r="IM56" s="97">
        <v>0</v>
      </c>
      <c r="IN56" s="97">
        <v>333671</v>
      </c>
      <c r="IO56" s="97">
        <v>333671</v>
      </c>
      <c r="IP56" s="97">
        <v>0</v>
      </c>
      <c r="IQ56" s="97">
        <v>375</v>
      </c>
      <c r="IR56" s="97">
        <v>1242</v>
      </c>
      <c r="IS56" s="97">
        <v>4280</v>
      </c>
      <c r="IT56" s="97">
        <v>602519</v>
      </c>
      <c r="IU56" s="97">
        <v>608416</v>
      </c>
      <c r="IV56" s="97">
        <v>154401</v>
      </c>
      <c r="IW56" s="97">
        <v>69322</v>
      </c>
      <c r="IX56" s="97">
        <v>53817</v>
      </c>
      <c r="IY56" s="97">
        <v>131440</v>
      </c>
      <c r="IZ56" s="97">
        <v>928002</v>
      </c>
      <c r="JA56" s="97">
        <v>1336982</v>
      </c>
      <c r="JB56" s="97">
        <v>5573856</v>
      </c>
      <c r="JC56" s="97">
        <v>1888941</v>
      </c>
      <c r="JD56" s="97">
        <v>1213647</v>
      </c>
      <c r="JE56" s="97">
        <v>5558292</v>
      </c>
      <c r="JF56" s="97">
        <v>7942773</v>
      </c>
      <c r="JG56" s="97">
        <v>22177509</v>
      </c>
      <c r="JH56" s="97">
        <v>0</v>
      </c>
      <c r="JI56" s="97">
        <v>0</v>
      </c>
      <c r="JJ56" s="97">
        <v>0</v>
      </c>
      <c r="JK56" s="97">
        <v>0</v>
      </c>
      <c r="JL56" s="97">
        <v>0</v>
      </c>
      <c r="JM56" s="97">
        <v>0</v>
      </c>
      <c r="JN56" s="97">
        <v>5573856</v>
      </c>
      <c r="JO56" s="97">
        <v>1888941</v>
      </c>
      <c r="JP56" s="97">
        <v>1213647</v>
      </c>
      <c r="JQ56" s="97">
        <v>5558292</v>
      </c>
      <c r="JR56" s="97">
        <v>7942773</v>
      </c>
      <c r="JS56" s="97">
        <v>22177509</v>
      </c>
      <c r="JU56" s="5">
        <f t="shared" si="78"/>
        <v>3744835</v>
      </c>
      <c r="JV56" s="29">
        <f t="shared" si="79"/>
        <v>0</v>
      </c>
      <c r="JW56" s="5">
        <f t="shared" si="80"/>
        <v>2424570</v>
      </c>
      <c r="JX56" s="29">
        <f t="shared" si="81"/>
        <v>0</v>
      </c>
      <c r="JY56" s="5">
        <f t="shared" si="82"/>
        <v>1099500</v>
      </c>
      <c r="JZ56" s="29">
        <f t="shared" si="83"/>
        <v>0</v>
      </c>
      <c r="KA56" s="5">
        <f t="shared" si="84"/>
        <v>3681511</v>
      </c>
      <c r="KB56" s="29">
        <f t="shared" si="85"/>
        <v>0</v>
      </c>
      <c r="KC56" s="5">
        <f t="shared" si="86"/>
        <v>0</v>
      </c>
      <c r="KD56" s="29">
        <f t="shared" si="87"/>
        <v>0</v>
      </c>
      <c r="KE56" s="5">
        <f t="shared" si="88"/>
        <v>3574730</v>
      </c>
      <c r="KF56" s="29">
        <f t="shared" si="89"/>
        <v>0</v>
      </c>
      <c r="KG56" s="5">
        <f t="shared" si="90"/>
        <v>970145</v>
      </c>
      <c r="KH56" s="29">
        <f t="shared" si="91"/>
        <v>0</v>
      </c>
      <c r="KI56" s="5">
        <f t="shared" si="92"/>
        <v>1880140</v>
      </c>
      <c r="KJ56" s="29">
        <f t="shared" si="93"/>
        <v>0</v>
      </c>
      <c r="KK56" s="5">
        <f t="shared" si="94"/>
        <v>1417950</v>
      </c>
      <c r="KL56" s="29">
        <f t="shared" si="95"/>
        <v>0</v>
      </c>
      <c r="KM56" s="5">
        <f t="shared" si="96"/>
        <v>375000</v>
      </c>
      <c r="KN56" s="29">
        <f t="shared" si="97"/>
        <v>0</v>
      </c>
      <c r="KO56" s="5">
        <f t="shared" si="98"/>
        <v>243150</v>
      </c>
      <c r="KP56" s="29">
        <f t="shared" si="99"/>
        <v>0</v>
      </c>
      <c r="KQ56" s="5">
        <f t="shared" si="100"/>
        <v>1086085</v>
      </c>
      <c r="KR56" s="29">
        <f t="shared" si="101"/>
        <v>0</v>
      </c>
      <c r="KS56" s="5">
        <f t="shared" si="102"/>
        <v>0</v>
      </c>
      <c r="KT56" s="29">
        <f t="shared" si="103"/>
        <v>0</v>
      </c>
      <c r="KU56" s="5">
        <f t="shared" si="104"/>
        <v>240000</v>
      </c>
      <c r="KV56" s="29">
        <f t="shared" si="105"/>
        <v>0</v>
      </c>
      <c r="KW56" s="5">
        <f t="shared" si="106"/>
        <v>794310</v>
      </c>
      <c r="KX56" s="29">
        <f t="shared" si="107"/>
        <v>0</v>
      </c>
      <c r="KY56" s="5">
        <f t="shared" si="108"/>
        <v>21531926</v>
      </c>
      <c r="KZ56" s="29">
        <f t="shared" si="109"/>
        <v>0</v>
      </c>
      <c r="LA56" s="5">
        <f t="shared" si="110"/>
        <v>5264166</v>
      </c>
      <c r="LB56" s="29">
        <f t="shared" si="111"/>
        <v>0</v>
      </c>
      <c r="LC56" s="5">
        <f t="shared" si="112"/>
        <v>358034</v>
      </c>
      <c r="LD56" s="29">
        <f t="shared" si="113"/>
        <v>0</v>
      </c>
      <c r="LE56" s="5">
        <f t="shared" si="114"/>
        <v>4413437</v>
      </c>
      <c r="LF56" s="29">
        <f t="shared" si="115"/>
        <v>0</v>
      </c>
      <c r="LG56" s="5">
        <f t="shared" si="116"/>
        <v>0</v>
      </c>
      <c r="LH56" s="29">
        <f t="shared" si="117"/>
        <v>0</v>
      </c>
      <c r="LI56" s="5">
        <f t="shared" si="118"/>
        <v>3353283</v>
      </c>
      <c r="LJ56" s="29">
        <f t="shared" si="119"/>
        <v>0</v>
      </c>
      <c r="LK56" s="5">
        <f t="shared" si="120"/>
        <v>0</v>
      </c>
      <c r="LL56" s="29">
        <f t="shared" si="121"/>
        <v>0</v>
      </c>
      <c r="LM56" s="5">
        <f t="shared" si="122"/>
        <v>0</v>
      </c>
      <c r="LN56" s="29">
        <f t="shared" si="123"/>
        <v>0</v>
      </c>
      <c r="LO56" s="5">
        <f t="shared" si="124"/>
        <v>358218</v>
      </c>
      <c r="LP56" s="29">
        <f t="shared" si="125"/>
        <v>0</v>
      </c>
      <c r="LQ56" s="5">
        <f t="shared" si="126"/>
        <v>2225743</v>
      </c>
      <c r="LR56" s="29">
        <f t="shared" si="127"/>
        <v>0</v>
      </c>
      <c r="LS56" s="5">
        <f t="shared" si="128"/>
        <v>677594</v>
      </c>
      <c r="LT56" s="29">
        <f t="shared" si="129"/>
        <v>0</v>
      </c>
      <c r="LU56" s="5">
        <f t="shared" si="130"/>
        <v>816611</v>
      </c>
      <c r="LV56" s="29">
        <f t="shared" si="131"/>
        <v>0</v>
      </c>
      <c r="LW56" s="5">
        <f t="shared" si="132"/>
        <v>445033</v>
      </c>
      <c r="LX56" s="29">
        <f t="shared" si="133"/>
        <v>0</v>
      </c>
      <c r="LY56" s="5">
        <f t="shared" si="134"/>
        <v>0</v>
      </c>
      <c r="LZ56" s="29">
        <f t="shared" si="135"/>
        <v>0</v>
      </c>
      <c r="MA56" s="5">
        <f t="shared" si="136"/>
        <v>0</v>
      </c>
      <c r="MB56" s="29">
        <f t="shared" si="137"/>
        <v>0</v>
      </c>
      <c r="MC56" s="5">
        <f t="shared" si="138"/>
        <v>106181</v>
      </c>
      <c r="MD56" s="29">
        <f t="shared" si="139"/>
        <v>0</v>
      </c>
      <c r="ME56" s="5">
        <f t="shared" si="140"/>
        <v>1880140</v>
      </c>
      <c r="MF56" s="29">
        <f t="shared" si="141"/>
        <v>0</v>
      </c>
      <c r="MG56" s="5">
        <f t="shared" si="142"/>
        <v>333671</v>
      </c>
      <c r="MH56" s="29">
        <f t="shared" si="143"/>
        <v>0</v>
      </c>
      <c r="MI56" s="5">
        <f t="shared" si="144"/>
        <v>608416</v>
      </c>
      <c r="MJ56" s="29">
        <f t="shared" si="145"/>
        <v>0</v>
      </c>
      <c r="MK56" s="5">
        <f t="shared" si="146"/>
        <v>1336982</v>
      </c>
      <c r="ML56" s="29">
        <f t="shared" si="147"/>
        <v>0</v>
      </c>
      <c r="MM56" s="5">
        <f t="shared" si="148"/>
        <v>22177509</v>
      </c>
      <c r="MN56" s="29">
        <f t="shared" si="149"/>
        <v>0</v>
      </c>
      <c r="MO56" s="5">
        <f t="shared" si="150"/>
        <v>0</v>
      </c>
      <c r="MP56" s="29">
        <f t="shared" si="151"/>
        <v>0</v>
      </c>
      <c r="MQ56" s="5">
        <f t="shared" si="152"/>
        <v>22177509</v>
      </c>
      <c r="MR56" s="29">
        <f t="shared" si="153"/>
        <v>0</v>
      </c>
      <c r="MT56" s="5">
        <f t="shared" si="76"/>
        <v>0</v>
      </c>
      <c r="MV56" s="4">
        <f t="shared" si="77"/>
        <v>0</v>
      </c>
    </row>
    <row r="57" spans="1:360" ht="9" customHeight="1" x14ac:dyDescent="0.15">
      <c r="A57" s="159" t="s">
        <v>325</v>
      </c>
      <c r="B57" s="25" t="s">
        <v>463</v>
      </c>
      <c r="C57" s="48">
        <v>187985</v>
      </c>
      <c r="D57" s="48">
        <v>2012</v>
      </c>
      <c r="E57" s="49">
        <v>1</v>
      </c>
      <c r="F57" s="49">
        <v>10</v>
      </c>
      <c r="G57" s="50">
        <v>9345</v>
      </c>
      <c r="H57" s="50">
        <v>11590</v>
      </c>
      <c r="I57" s="51">
        <v>1737050369</v>
      </c>
      <c r="J57" s="51"/>
      <c r="K57" s="51"/>
      <c r="L57" s="51"/>
      <c r="M57" s="51"/>
      <c r="N57" s="51"/>
      <c r="O57" s="51"/>
      <c r="P57" s="51"/>
      <c r="Q57" s="51"/>
      <c r="R57" s="51"/>
      <c r="S57" s="51">
        <v>850548832</v>
      </c>
      <c r="T57" s="51"/>
      <c r="U57" s="51">
        <v>14990</v>
      </c>
      <c r="V57" s="51"/>
      <c r="W57" s="51">
        <v>29100</v>
      </c>
      <c r="X57" s="51"/>
      <c r="Y57" s="51">
        <v>18407</v>
      </c>
      <c r="Z57" s="51"/>
      <c r="AA57" s="51">
        <v>32517</v>
      </c>
      <c r="AB57" s="51"/>
      <c r="AC57" s="74">
        <v>10</v>
      </c>
      <c r="AD57" s="74">
        <v>11</v>
      </c>
      <c r="AE57" s="74">
        <v>0</v>
      </c>
      <c r="AF57" s="29">
        <v>4159737</v>
      </c>
      <c r="AG57" s="29">
        <v>2826706</v>
      </c>
      <c r="AH57" s="29">
        <v>454736</v>
      </c>
      <c r="AI57" s="29">
        <v>167326</v>
      </c>
      <c r="AJ57" s="29">
        <f>3052914/AK57</f>
        <v>436130.57142857142</v>
      </c>
      <c r="AK57" s="73">
        <v>7</v>
      </c>
      <c r="AL57" s="29">
        <f>3052914/AM57</f>
        <v>381614.25</v>
      </c>
      <c r="AM57" s="73">
        <v>8</v>
      </c>
      <c r="AN57" s="29">
        <f>1087037/AO57</f>
        <v>128948.63582443654</v>
      </c>
      <c r="AO57" s="73">
        <v>8.43</v>
      </c>
      <c r="AP57" s="29">
        <f>1087037/AQ57</f>
        <v>120781.88888888889</v>
      </c>
      <c r="AQ57" s="73">
        <v>9</v>
      </c>
      <c r="AR57" s="29">
        <f>2876599/AS57</f>
        <v>133795.3023255814</v>
      </c>
      <c r="AS57" s="73">
        <v>21.5</v>
      </c>
      <c r="AT57" s="29">
        <f>2876599/AU57</f>
        <v>119858.29166666667</v>
      </c>
      <c r="AU57" s="73">
        <v>24</v>
      </c>
      <c r="AV57" s="29">
        <f>996371/AW57</f>
        <v>64282</v>
      </c>
      <c r="AW57" s="73">
        <v>15.5</v>
      </c>
      <c r="AX57" s="29">
        <f>996371/AY57</f>
        <v>55353.944444444445</v>
      </c>
      <c r="AY57" s="73">
        <v>18</v>
      </c>
      <c r="AZ57" s="97">
        <v>1336662</v>
      </c>
      <c r="BA57" s="97">
        <v>4412581</v>
      </c>
      <c r="BB57" s="97">
        <v>533348</v>
      </c>
      <c r="BC57" s="97">
        <v>131973</v>
      </c>
      <c r="BD57" s="97">
        <v>0</v>
      </c>
      <c r="BE57" s="97">
        <v>6414564</v>
      </c>
      <c r="BF57" s="97">
        <v>0</v>
      </c>
      <c r="BG57" s="97">
        <v>0</v>
      </c>
      <c r="BH57" s="97">
        <v>0</v>
      </c>
      <c r="BI57" s="97">
        <v>0</v>
      </c>
      <c r="BJ57" s="97">
        <v>1889722</v>
      </c>
      <c r="BK57" s="97">
        <v>1889722</v>
      </c>
      <c r="BL57" s="97">
        <v>1050000</v>
      </c>
      <c r="BM57" s="97">
        <v>95000</v>
      </c>
      <c r="BN57" s="97">
        <v>0</v>
      </c>
      <c r="BO57" s="97">
        <v>30661</v>
      </c>
      <c r="BP57" s="97">
        <v>0</v>
      </c>
      <c r="BQ57" s="97">
        <v>1175661</v>
      </c>
      <c r="BR57" s="97">
        <v>327169</v>
      </c>
      <c r="BS57" s="97">
        <v>142253</v>
      </c>
      <c r="BT57" s="97">
        <v>55057</v>
      </c>
      <c r="BU57" s="97">
        <v>534307</v>
      </c>
      <c r="BV57" s="97">
        <v>4268099</v>
      </c>
      <c r="BW57" s="97">
        <v>5326885</v>
      </c>
      <c r="BX57" s="97">
        <v>0</v>
      </c>
      <c r="BY57" s="97">
        <v>0</v>
      </c>
      <c r="BZ57" s="97">
        <v>0</v>
      </c>
      <c r="CA57" s="97">
        <v>0</v>
      </c>
      <c r="CB57" s="97">
        <v>0</v>
      </c>
      <c r="CC57" s="97">
        <v>0</v>
      </c>
      <c r="CD57" s="97">
        <v>0</v>
      </c>
      <c r="CE57" s="97">
        <v>0</v>
      </c>
      <c r="CF57" s="97">
        <v>0</v>
      </c>
      <c r="CG57" s="97">
        <v>0</v>
      </c>
      <c r="CH57" s="97">
        <v>2096300</v>
      </c>
      <c r="CI57" s="97">
        <v>2096300</v>
      </c>
      <c r="CJ57" s="97">
        <v>802833</v>
      </c>
      <c r="CK57" s="97">
        <v>155206</v>
      </c>
      <c r="CL57" s="97">
        <v>134041</v>
      </c>
      <c r="CM57" s="97">
        <v>1340760</v>
      </c>
      <c r="CN57" s="97">
        <v>2071386</v>
      </c>
      <c r="CO57" s="97">
        <v>4504226</v>
      </c>
      <c r="CP57" s="97">
        <v>0</v>
      </c>
      <c r="CQ57" s="97">
        <v>0</v>
      </c>
      <c r="CR57" s="97">
        <v>0</v>
      </c>
      <c r="CS57" s="97">
        <v>0</v>
      </c>
      <c r="CT57" s="97">
        <v>9592069</v>
      </c>
      <c r="CU57" s="97">
        <v>9592069</v>
      </c>
      <c r="CV57" s="97">
        <v>120979</v>
      </c>
      <c r="CW57" s="97">
        <v>80851</v>
      </c>
      <c r="CX57" s="97">
        <v>30017</v>
      </c>
      <c r="CY57" s="97">
        <v>145397</v>
      </c>
      <c r="CZ57" s="97">
        <v>3943795</v>
      </c>
      <c r="DA57" s="97">
        <v>4321039</v>
      </c>
      <c r="DB57" s="97">
        <v>0</v>
      </c>
      <c r="DC57" s="97">
        <v>0</v>
      </c>
      <c r="DD57" s="97">
        <v>0</v>
      </c>
      <c r="DE57" s="97">
        <v>0</v>
      </c>
      <c r="DF57" s="97">
        <v>15000</v>
      </c>
      <c r="DG57" s="97">
        <v>15000</v>
      </c>
      <c r="DH57" s="97">
        <v>0</v>
      </c>
      <c r="DI57" s="97">
        <v>0</v>
      </c>
      <c r="DJ57" s="97">
        <v>0</v>
      </c>
      <c r="DK57" s="97">
        <v>0</v>
      </c>
      <c r="DL57" s="97">
        <v>1871804</v>
      </c>
      <c r="DM57" s="97">
        <v>1871804</v>
      </c>
      <c r="DN57" s="97">
        <v>0</v>
      </c>
      <c r="DO57" s="97">
        <v>0</v>
      </c>
      <c r="DP57" s="97">
        <v>0</v>
      </c>
      <c r="DQ57" s="97">
        <v>0</v>
      </c>
      <c r="DR57" s="97">
        <v>5730019</v>
      </c>
      <c r="DS57" s="97">
        <v>5730019</v>
      </c>
      <c r="DT57" s="97">
        <v>0</v>
      </c>
      <c r="DU57" s="97">
        <v>0</v>
      </c>
      <c r="DV57" s="97">
        <v>0</v>
      </c>
      <c r="DW57" s="97">
        <v>0</v>
      </c>
      <c r="DX57" s="97">
        <v>0</v>
      </c>
      <c r="DY57" s="97">
        <v>0</v>
      </c>
      <c r="DZ57" s="97">
        <v>18077</v>
      </c>
      <c r="EA57" s="97">
        <v>814</v>
      </c>
      <c r="EB57" s="97">
        <v>1617</v>
      </c>
      <c r="EC57" s="97">
        <v>39095</v>
      </c>
      <c r="ED57" s="97">
        <v>55308</v>
      </c>
      <c r="EE57" s="97">
        <v>114911</v>
      </c>
      <c r="EF57" s="97">
        <v>0</v>
      </c>
      <c r="EG57" s="97">
        <v>0</v>
      </c>
      <c r="EH57" s="97">
        <v>0</v>
      </c>
      <c r="EI57" s="97">
        <v>0</v>
      </c>
      <c r="EJ57" s="97">
        <v>232373</v>
      </c>
      <c r="EK57" s="97">
        <v>232373</v>
      </c>
      <c r="EL57" s="97">
        <v>3655720</v>
      </c>
      <c r="EM57" s="97">
        <v>4886705</v>
      </c>
      <c r="EN57" s="97">
        <v>754080</v>
      </c>
      <c r="EO57" s="97">
        <v>2222193</v>
      </c>
      <c r="EP57" s="97">
        <v>31765875</v>
      </c>
      <c r="EQ57" s="97">
        <v>43284573</v>
      </c>
      <c r="ER57" s="97">
        <v>2299547</v>
      </c>
      <c r="ES57" s="97">
        <v>388240</v>
      </c>
      <c r="ET57" s="97">
        <v>390447</v>
      </c>
      <c r="EU57" s="97">
        <v>3505190</v>
      </c>
      <c r="EV57" s="97">
        <v>466494</v>
      </c>
      <c r="EW57" s="97">
        <v>7049918</v>
      </c>
      <c r="EX57" s="97">
        <v>380000</v>
      </c>
      <c r="EY57" s="97">
        <v>529500</v>
      </c>
      <c r="EZ57" s="97">
        <v>76000</v>
      </c>
      <c r="FA57" s="97">
        <v>79476</v>
      </c>
      <c r="FB57" s="97">
        <v>0</v>
      </c>
      <c r="FC57" s="97">
        <v>1064976</v>
      </c>
      <c r="FD57" s="97">
        <v>2349085</v>
      </c>
      <c r="FE57" s="97">
        <v>2454422</v>
      </c>
      <c r="FF57" s="97">
        <v>667563</v>
      </c>
      <c r="FG57" s="97">
        <v>2541851</v>
      </c>
      <c r="FH57" s="97">
        <v>0</v>
      </c>
      <c r="FI57" s="97">
        <v>8012921</v>
      </c>
      <c r="FJ57" s="97">
        <v>0</v>
      </c>
      <c r="FK57" s="97">
        <v>0</v>
      </c>
      <c r="FL57" s="97">
        <v>0</v>
      </c>
      <c r="FM57" s="97">
        <v>0</v>
      </c>
      <c r="FN57" s="97">
        <v>0</v>
      </c>
      <c r="FO57" s="97">
        <v>0</v>
      </c>
      <c r="FP57" s="97">
        <v>49021</v>
      </c>
      <c r="FQ57" s="97">
        <v>0</v>
      </c>
      <c r="FR57" s="97">
        <v>0</v>
      </c>
      <c r="FS57" s="97">
        <v>4079</v>
      </c>
      <c r="FT57" s="97">
        <v>4910450</v>
      </c>
      <c r="FU57" s="97">
        <v>4963550</v>
      </c>
      <c r="FV57" s="97">
        <v>0</v>
      </c>
      <c r="FW57" s="97">
        <v>0</v>
      </c>
      <c r="FX57" s="97">
        <v>0</v>
      </c>
      <c r="FY57" s="97">
        <v>0</v>
      </c>
      <c r="FZ57" s="97">
        <v>0</v>
      </c>
      <c r="GA57" s="97">
        <v>0</v>
      </c>
      <c r="GB57" s="97">
        <v>782061</v>
      </c>
      <c r="GC57" s="97">
        <v>0</v>
      </c>
      <c r="GD57" s="97">
        <v>0</v>
      </c>
      <c r="GE57" s="97">
        <v>0</v>
      </c>
      <c r="GF57" s="97">
        <v>0</v>
      </c>
      <c r="GG57" s="97">
        <v>782061</v>
      </c>
      <c r="GH57" s="97">
        <v>258939</v>
      </c>
      <c r="GI57" s="97">
        <v>97966</v>
      </c>
      <c r="GJ57" s="97">
        <v>85612</v>
      </c>
      <c r="GK57" s="97">
        <v>179545</v>
      </c>
      <c r="GL57" s="97">
        <v>0</v>
      </c>
      <c r="GM57" s="97">
        <v>622062</v>
      </c>
      <c r="GN57" s="97">
        <v>809813</v>
      </c>
      <c r="GO57" s="97">
        <v>313507</v>
      </c>
      <c r="GP57" s="97">
        <v>156195</v>
      </c>
      <c r="GQ57" s="97">
        <v>1442618</v>
      </c>
      <c r="GR57" s="97">
        <v>409325</v>
      </c>
      <c r="GS57" s="97">
        <v>3131458</v>
      </c>
      <c r="GT57" s="97">
        <v>190057</v>
      </c>
      <c r="GU57" s="97">
        <v>57663</v>
      </c>
      <c r="GV57" s="97">
        <v>4616</v>
      </c>
      <c r="GW57" s="97">
        <v>208228</v>
      </c>
      <c r="GX57" s="97">
        <v>1045</v>
      </c>
      <c r="GY57" s="97">
        <v>461609</v>
      </c>
      <c r="GZ57" s="97">
        <v>674655</v>
      </c>
      <c r="HA57" s="97">
        <v>441582</v>
      </c>
      <c r="HB57" s="97">
        <v>296816</v>
      </c>
      <c r="HC57" s="97">
        <v>255395</v>
      </c>
      <c r="HD57" s="97">
        <v>0</v>
      </c>
      <c r="HE57" s="97">
        <v>1668448</v>
      </c>
      <c r="HF57" s="97">
        <v>0</v>
      </c>
      <c r="HG57" s="97">
        <v>0</v>
      </c>
      <c r="HH57" s="97">
        <v>0</v>
      </c>
      <c r="HI57" s="97">
        <v>0</v>
      </c>
      <c r="HJ57" s="97">
        <v>143465</v>
      </c>
      <c r="HK57" s="97">
        <v>143465</v>
      </c>
      <c r="HL57" s="97">
        <v>0</v>
      </c>
      <c r="HM57" s="97">
        <v>0</v>
      </c>
      <c r="HN57" s="97">
        <v>0</v>
      </c>
      <c r="HO57" s="97">
        <v>0</v>
      </c>
      <c r="HP57" s="97">
        <v>0</v>
      </c>
      <c r="HQ57" s="97">
        <v>0</v>
      </c>
      <c r="HR57" s="97">
        <v>0</v>
      </c>
      <c r="HS57" s="97">
        <v>0</v>
      </c>
      <c r="HT57" s="97">
        <v>0</v>
      </c>
      <c r="HU57" s="97">
        <v>1850</v>
      </c>
      <c r="HV57" s="97">
        <v>557308</v>
      </c>
      <c r="HW57" s="97">
        <v>559158</v>
      </c>
      <c r="HX57" s="97">
        <v>0</v>
      </c>
      <c r="HY57" s="97">
        <v>0</v>
      </c>
      <c r="HZ57" s="97">
        <v>0</v>
      </c>
      <c r="IA57" s="97">
        <v>0</v>
      </c>
      <c r="IB57" s="97">
        <v>154454</v>
      </c>
      <c r="IC57" s="97">
        <v>154454</v>
      </c>
      <c r="ID57" s="97">
        <v>0</v>
      </c>
      <c r="IE57" s="97">
        <v>0</v>
      </c>
      <c r="IF57" s="97">
        <v>0</v>
      </c>
      <c r="IG57" s="97">
        <v>0</v>
      </c>
      <c r="IH57" s="97">
        <v>9592069</v>
      </c>
      <c r="II57" s="97">
        <v>9592069</v>
      </c>
      <c r="IJ57" s="97">
        <v>0</v>
      </c>
      <c r="IK57" s="97">
        <v>0</v>
      </c>
      <c r="IL57" s="97">
        <v>0</v>
      </c>
      <c r="IM57" s="97">
        <v>0</v>
      </c>
      <c r="IN57" s="97">
        <v>393756</v>
      </c>
      <c r="IO57" s="97">
        <v>393756</v>
      </c>
      <c r="IP57" s="97">
        <v>8447</v>
      </c>
      <c r="IQ57" s="97">
        <v>3070</v>
      </c>
      <c r="IR57" s="97">
        <v>1621</v>
      </c>
      <c r="IS57" s="97">
        <v>9527</v>
      </c>
      <c r="IT57" s="97">
        <v>0</v>
      </c>
      <c r="IU57" s="97">
        <v>22665</v>
      </c>
      <c r="IV57" s="97">
        <v>715788</v>
      </c>
      <c r="IW57" s="97">
        <v>327017</v>
      </c>
      <c r="IX57" s="97">
        <v>67051</v>
      </c>
      <c r="IY57" s="97">
        <v>479518</v>
      </c>
      <c r="IZ57" s="97">
        <v>4109835</v>
      </c>
      <c r="JA57" s="97">
        <v>5699209</v>
      </c>
      <c r="JB57" s="97">
        <v>8517413</v>
      </c>
      <c r="JC57" s="97">
        <v>4612967</v>
      </c>
      <c r="JD57" s="97">
        <v>1745921</v>
      </c>
      <c r="JE57" s="97">
        <v>8707277</v>
      </c>
      <c r="JF57" s="97">
        <v>20738201</v>
      </c>
      <c r="JG57" s="97">
        <v>44321779</v>
      </c>
      <c r="JH57" s="97">
        <v>0</v>
      </c>
      <c r="JI57" s="97">
        <v>0</v>
      </c>
      <c r="JJ57" s="97">
        <v>0</v>
      </c>
      <c r="JK57" s="97">
        <v>0</v>
      </c>
      <c r="JL57" s="97">
        <v>116085</v>
      </c>
      <c r="JM57" s="97">
        <v>116085</v>
      </c>
      <c r="JN57" s="97">
        <v>8517413</v>
      </c>
      <c r="JO57" s="97">
        <v>4612967</v>
      </c>
      <c r="JP57" s="97">
        <v>1745921</v>
      </c>
      <c r="JQ57" s="97">
        <v>8707277</v>
      </c>
      <c r="JR57" s="97">
        <v>20854286</v>
      </c>
      <c r="JS57" s="97">
        <v>44437864</v>
      </c>
      <c r="JU57" s="5">
        <f t="shared" si="78"/>
        <v>6414564</v>
      </c>
      <c r="JV57" s="29">
        <f t="shared" si="79"/>
        <v>0</v>
      </c>
      <c r="JW57" s="5">
        <f t="shared" si="80"/>
        <v>1889722</v>
      </c>
      <c r="JX57" s="29">
        <f t="shared" si="81"/>
        <v>0</v>
      </c>
      <c r="JY57" s="5">
        <f t="shared" si="82"/>
        <v>1175661</v>
      </c>
      <c r="JZ57" s="29">
        <f t="shared" si="83"/>
        <v>0</v>
      </c>
      <c r="KA57" s="5">
        <f t="shared" si="84"/>
        <v>5326885</v>
      </c>
      <c r="KB57" s="29">
        <f t="shared" si="85"/>
        <v>0</v>
      </c>
      <c r="KC57" s="5">
        <f t="shared" si="86"/>
        <v>0</v>
      </c>
      <c r="KD57" s="29">
        <f t="shared" si="87"/>
        <v>0</v>
      </c>
      <c r="KE57" s="5">
        <f t="shared" si="88"/>
        <v>2096300</v>
      </c>
      <c r="KF57" s="29">
        <f t="shared" si="89"/>
        <v>0</v>
      </c>
      <c r="KG57" s="5">
        <f t="shared" si="90"/>
        <v>4504226</v>
      </c>
      <c r="KH57" s="29">
        <f t="shared" si="91"/>
        <v>0</v>
      </c>
      <c r="KI57" s="5">
        <f t="shared" si="92"/>
        <v>9592069</v>
      </c>
      <c r="KJ57" s="29">
        <f t="shared" si="93"/>
        <v>0</v>
      </c>
      <c r="KK57" s="5">
        <f t="shared" si="94"/>
        <v>4321039</v>
      </c>
      <c r="KL57" s="29">
        <f t="shared" si="95"/>
        <v>0</v>
      </c>
      <c r="KM57" s="5">
        <f t="shared" si="96"/>
        <v>15000</v>
      </c>
      <c r="KN57" s="29">
        <f t="shared" si="97"/>
        <v>0</v>
      </c>
      <c r="KO57" s="5">
        <f t="shared" si="98"/>
        <v>1871804</v>
      </c>
      <c r="KP57" s="29">
        <f t="shared" si="99"/>
        <v>0</v>
      </c>
      <c r="KQ57" s="5">
        <f t="shared" si="100"/>
        <v>5730019</v>
      </c>
      <c r="KR57" s="29">
        <f t="shared" si="101"/>
        <v>0</v>
      </c>
      <c r="KS57" s="5">
        <f t="shared" si="102"/>
        <v>0</v>
      </c>
      <c r="KT57" s="29">
        <f t="shared" si="103"/>
        <v>0</v>
      </c>
      <c r="KU57" s="5">
        <f t="shared" si="104"/>
        <v>114911</v>
      </c>
      <c r="KV57" s="29">
        <f t="shared" si="105"/>
        <v>0</v>
      </c>
      <c r="KW57" s="5">
        <f t="shared" si="106"/>
        <v>232373</v>
      </c>
      <c r="KX57" s="29">
        <f t="shared" si="107"/>
        <v>0</v>
      </c>
      <c r="KY57" s="5">
        <f t="shared" si="108"/>
        <v>43284573</v>
      </c>
      <c r="KZ57" s="29">
        <f t="shared" si="109"/>
        <v>0</v>
      </c>
      <c r="LA57" s="5">
        <f t="shared" si="110"/>
        <v>7049918</v>
      </c>
      <c r="LB57" s="29">
        <f t="shared" si="111"/>
        <v>0</v>
      </c>
      <c r="LC57" s="5">
        <f t="shared" si="112"/>
        <v>1064976</v>
      </c>
      <c r="LD57" s="29">
        <f t="shared" si="113"/>
        <v>0</v>
      </c>
      <c r="LE57" s="5">
        <f t="shared" si="114"/>
        <v>8012921</v>
      </c>
      <c r="LF57" s="29">
        <f t="shared" si="115"/>
        <v>0</v>
      </c>
      <c r="LG57" s="5">
        <f t="shared" si="116"/>
        <v>0</v>
      </c>
      <c r="LH57" s="29">
        <f t="shared" si="117"/>
        <v>0</v>
      </c>
      <c r="LI57" s="5">
        <f t="shared" si="118"/>
        <v>4963550</v>
      </c>
      <c r="LJ57" s="29">
        <f t="shared" si="119"/>
        <v>0</v>
      </c>
      <c r="LK57" s="5">
        <f t="shared" si="120"/>
        <v>0</v>
      </c>
      <c r="LL57" s="29">
        <f t="shared" si="121"/>
        <v>0</v>
      </c>
      <c r="LM57" s="5">
        <f t="shared" si="122"/>
        <v>782061</v>
      </c>
      <c r="LN57" s="29">
        <f t="shared" si="123"/>
        <v>0</v>
      </c>
      <c r="LO57" s="5">
        <f t="shared" si="124"/>
        <v>622062</v>
      </c>
      <c r="LP57" s="29">
        <f t="shared" si="125"/>
        <v>0</v>
      </c>
      <c r="LQ57" s="5">
        <f t="shared" si="126"/>
        <v>3131458</v>
      </c>
      <c r="LR57" s="29">
        <f t="shared" si="127"/>
        <v>0</v>
      </c>
      <c r="LS57" s="5">
        <f t="shared" si="128"/>
        <v>461609</v>
      </c>
      <c r="LT57" s="29">
        <f t="shared" si="129"/>
        <v>0</v>
      </c>
      <c r="LU57" s="5">
        <f t="shared" si="130"/>
        <v>1668448</v>
      </c>
      <c r="LV57" s="29">
        <f t="shared" si="131"/>
        <v>0</v>
      </c>
      <c r="LW57" s="5">
        <f t="shared" si="132"/>
        <v>143465</v>
      </c>
      <c r="LX57" s="29">
        <f t="shared" si="133"/>
        <v>0</v>
      </c>
      <c r="LY57" s="5">
        <f t="shared" si="134"/>
        <v>0</v>
      </c>
      <c r="LZ57" s="29">
        <f t="shared" si="135"/>
        <v>0</v>
      </c>
      <c r="MA57" s="5">
        <f t="shared" si="136"/>
        <v>559158</v>
      </c>
      <c r="MB57" s="29">
        <f t="shared" si="137"/>
        <v>0</v>
      </c>
      <c r="MC57" s="5">
        <f t="shared" si="138"/>
        <v>154454</v>
      </c>
      <c r="MD57" s="29">
        <f t="shared" si="139"/>
        <v>0</v>
      </c>
      <c r="ME57" s="5">
        <f t="shared" si="140"/>
        <v>9592069</v>
      </c>
      <c r="MF57" s="29">
        <f t="shared" si="141"/>
        <v>0</v>
      </c>
      <c r="MG57" s="5">
        <f t="shared" si="142"/>
        <v>393756</v>
      </c>
      <c r="MH57" s="29">
        <f t="shared" si="143"/>
        <v>0</v>
      </c>
      <c r="MI57" s="5">
        <f t="shared" si="144"/>
        <v>22665</v>
      </c>
      <c r="MJ57" s="29">
        <f t="shared" si="145"/>
        <v>0</v>
      </c>
      <c r="MK57" s="5">
        <f t="shared" si="146"/>
        <v>5699209</v>
      </c>
      <c r="ML57" s="29">
        <f t="shared" si="147"/>
        <v>0</v>
      </c>
      <c r="MM57" s="5">
        <f t="shared" si="148"/>
        <v>44321779</v>
      </c>
      <c r="MN57" s="29">
        <f t="shared" si="149"/>
        <v>0</v>
      </c>
      <c r="MO57" s="5">
        <f t="shared" si="150"/>
        <v>116085</v>
      </c>
      <c r="MP57" s="29">
        <f t="shared" si="151"/>
        <v>0</v>
      </c>
      <c r="MQ57" s="5">
        <f t="shared" si="152"/>
        <v>44437864</v>
      </c>
      <c r="MR57" s="29">
        <f t="shared" si="153"/>
        <v>0</v>
      </c>
      <c r="MT57" s="5">
        <f t="shared" si="76"/>
        <v>0</v>
      </c>
      <c r="MV57" s="4">
        <f t="shared" si="77"/>
        <v>0</v>
      </c>
    </row>
    <row r="58" spans="1:360" x14ac:dyDescent="0.15">
      <c r="A58" s="155" t="s">
        <v>326</v>
      </c>
      <c r="B58" s="25" t="s">
        <v>463</v>
      </c>
      <c r="C58" s="48">
        <v>188030</v>
      </c>
      <c r="D58" s="48">
        <v>2012</v>
      </c>
      <c r="E58" s="49">
        <v>1</v>
      </c>
      <c r="F58" s="49">
        <v>12</v>
      </c>
      <c r="G58" s="50">
        <v>5279</v>
      </c>
      <c r="H58" s="50">
        <v>5837</v>
      </c>
      <c r="I58" s="51">
        <v>545615128</v>
      </c>
      <c r="J58" s="51"/>
      <c r="K58" s="51">
        <v>1324000</v>
      </c>
      <c r="L58" s="51"/>
      <c r="M58" s="51">
        <v>15714000</v>
      </c>
      <c r="N58" s="51"/>
      <c r="O58" s="51">
        <v>11620000</v>
      </c>
      <c r="P58" s="51"/>
      <c r="Q58" s="51">
        <v>135262000</v>
      </c>
      <c r="R58" s="51"/>
      <c r="S58" s="51">
        <v>414788414</v>
      </c>
      <c r="T58" s="51"/>
      <c r="U58" s="51">
        <v>13097</v>
      </c>
      <c r="V58" s="51"/>
      <c r="W58" s="51">
        <v>25539</v>
      </c>
      <c r="X58" s="51"/>
      <c r="Y58" s="51">
        <v>18891</v>
      </c>
      <c r="Z58" s="51"/>
      <c r="AA58" s="51">
        <v>31331</v>
      </c>
      <c r="AB58" s="51"/>
      <c r="AC58" s="74">
        <v>6</v>
      </c>
      <c r="AD58" s="74">
        <v>11</v>
      </c>
      <c r="AE58" s="74">
        <v>0</v>
      </c>
      <c r="AF58" s="29">
        <v>3168696</v>
      </c>
      <c r="AG58" s="29">
        <v>2892349</v>
      </c>
      <c r="AH58" s="29">
        <v>309074</v>
      </c>
      <c r="AI58" s="29">
        <v>164671</v>
      </c>
      <c r="AJ58" s="29">
        <v>261561.29</v>
      </c>
      <c r="AK58" s="73">
        <v>4.96</v>
      </c>
      <c r="AL58" s="29">
        <v>216224</v>
      </c>
      <c r="AM58" s="73">
        <v>6</v>
      </c>
      <c r="AN58" s="29">
        <v>95380.43</v>
      </c>
      <c r="AO58" s="73">
        <v>8.43</v>
      </c>
      <c r="AP58" s="29">
        <v>89339.67</v>
      </c>
      <c r="AQ58" s="73">
        <v>9</v>
      </c>
      <c r="AR58" s="29">
        <v>77073.63</v>
      </c>
      <c r="AS58" s="73">
        <v>15.13</v>
      </c>
      <c r="AT58" s="29">
        <v>68595.53</v>
      </c>
      <c r="AU58" s="73">
        <v>17</v>
      </c>
      <c r="AV58" s="29">
        <v>49552.11</v>
      </c>
      <c r="AW58" s="73">
        <v>15.37</v>
      </c>
      <c r="AX58" s="29">
        <v>47601</v>
      </c>
      <c r="AY58" s="73">
        <v>16</v>
      </c>
      <c r="AZ58" s="97">
        <v>801451</v>
      </c>
      <c r="BA58" s="97">
        <v>763937</v>
      </c>
      <c r="BB58" s="97">
        <v>45914</v>
      </c>
      <c r="BC58" s="97">
        <v>111387</v>
      </c>
      <c r="BD58" s="97">
        <v>0</v>
      </c>
      <c r="BE58" s="97">
        <v>1722689</v>
      </c>
      <c r="BF58" s="97">
        <v>0</v>
      </c>
      <c r="BG58" s="97">
        <v>0</v>
      </c>
      <c r="BH58" s="97">
        <v>0</v>
      </c>
      <c r="BI58" s="97">
        <v>0</v>
      </c>
      <c r="BJ58" s="97">
        <v>2995320</v>
      </c>
      <c r="BK58" s="97">
        <v>2995320</v>
      </c>
      <c r="BL58" s="97">
        <v>1925000</v>
      </c>
      <c r="BM58" s="97">
        <v>60000</v>
      </c>
      <c r="BN58" s="97">
        <v>0</v>
      </c>
      <c r="BO58" s="97">
        <v>27000</v>
      </c>
      <c r="BP58" s="97">
        <v>0</v>
      </c>
      <c r="BQ58" s="97">
        <v>2012000</v>
      </c>
      <c r="BR58" s="97">
        <v>136892</v>
      </c>
      <c r="BS58" s="97">
        <v>103578</v>
      </c>
      <c r="BT58" s="97">
        <v>24231</v>
      </c>
      <c r="BU58" s="97">
        <v>129591</v>
      </c>
      <c r="BV58" s="97">
        <v>958069</v>
      </c>
      <c r="BW58" s="97">
        <v>1352361</v>
      </c>
      <c r="BX58" s="97">
        <v>0</v>
      </c>
      <c r="BY58" s="97">
        <v>0</v>
      </c>
      <c r="BZ58" s="97">
        <v>0</v>
      </c>
      <c r="CA58" s="97">
        <v>0</v>
      </c>
      <c r="CB58" s="97">
        <v>0</v>
      </c>
      <c r="CC58" s="97">
        <v>0</v>
      </c>
      <c r="CD58" s="97">
        <v>0</v>
      </c>
      <c r="CE58" s="97">
        <v>0</v>
      </c>
      <c r="CF58" s="97">
        <v>0</v>
      </c>
      <c r="CG58" s="97">
        <v>0</v>
      </c>
      <c r="CH58" s="97">
        <v>3032700</v>
      </c>
      <c r="CI58" s="97">
        <v>3032700</v>
      </c>
      <c r="CJ58" s="97">
        <v>1506935</v>
      </c>
      <c r="CK58" s="97">
        <v>292915</v>
      </c>
      <c r="CL58" s="97">
        <v>305821</v>
      </c>
      <c r="CM58" s="97">
        <v>1992843</v>
      </c>
      <c r="CN58" s="97">
        <v>5444455</v>
      </c>
      <c r="CO58" s="97">
        <v>9542969</v>
      </c>
      <c r="CP58" s="97">
        <v>0</v>
      </c>
      <c r="CQ58" s="97">
        <v>0</v>
      </c>
      <c r="CR58" s="97">
        <v>0</v>
      </c>
      <c r="CS58" s="97">
        <v>0</v>
      </c>
      <c r="CT58" s="97">
        <v>3625830</v>
      </c>
      <c r="CU58" s="97">
        <v>3625830</v>
      </c>
      <c r="CV58" s="97">
        <v>0</v>
      </c>
      <c r="CW58" s="97">
        <v>0</v>
      </c>
      <c r="CX58" s="97">
        <v>0</v>
      </c>
      <c r="CY58" s="97">
        <v>0</v>
      </c>
      <c r="CZ58" s="97">
        <v>1933655</v>
      </c>
      <c r="DA58" s="97">
        <v>1933655</v>
      </c>
      <c r="DB58" s="97">
        <v>0</v>
      </c>
      <c r="DC58" s="97">
        <v>0</v>
      </c>
      <c r="DD58" s="97">
        <v>0</v>
      </c>
      <c r="DE58" s="97">
        <v>0</v>
      </c>
      <c r="DF58" s="97">
        <v>0</v>
      </c>
      <c r="DG58" s="97">
        <v>0</v>
      </c>
      <c r="DH58" s="97">
        <v>152</v>
      </c>
      <c r="DI58" s="97">
        <v>717</v>
      </c>
      <c r="DJ58" s="97">
        <v>1692</v>
      </c>
      <c r="DK58" s="97">
        <v>5604</v>
      </c>
      <c r="DL58" s="97">
        <v>73778</v>
      </c>
      <c r="DM58" s="97">
        <v>81943</v>
      </c>
      <c r="DN58" s="97">
        <v>0</v>
      </c>
      <c r="DO58" s="97">
        <v>0</v>
      </c>
      <c r="DP58" s="97">
        <v>0</v>
      </c>
      <c r="DQ58" s="97">
        <v>0</v>
      </c>
      <c r="DR58" s="97">
        <v>2049370</v>
      </c>
      <c r="DS58" s="97">
        <v>2049370</v>
      </c>
      <c r="DT58" s="97">
        <v>0</v>
      </c>
      <c r="DU58" s="97">
        <v>0</v>
      </c>
      <c r="DV58" s="97">
        <v>0</v>
      </c>
      <c r="DW58" s="97">
        <v>0</v>
      </c>
      <c r="DX58" s="97">
        <v>0</v>
      </c>
      <c r="DY58" s="97">
        <v>0</v>
      </c>
      <c r="DZ58" s="97">
        <v>2561</v>
      </c>
      <c r="EA58" s="97">
        <v>13714</v>
      </c>
      <c r="EB58" s="97">
        <v>466</v>
      </c>
      <c r="EC58" s="97">
        <v>8889</v>
      </c>
      <c r="ED58" s="97">
        <v>10681</v>
      </c>
      <c r="EE58" s="97">
        <v>36311</v>
      </c>
      <c r="EF58" s="97">
        <v>0</v>
      </c>
      <c r="EG58" s="97">
        <v>762</v>
      </c>
      <c r="EH58" s="97">
        <v>0</v>
      </c>
      <c r="EI58" s="97">
        <v>24625</v>
      </c>
      <c r="EJ58" s="97">
        <v>148959</v>
      </c>
      <c r="EK58" s="97">
        <v>174346</v>
      </c>
      <c r="EL58" s="97">
        <v>4372991</v>
      </c>
      <c r="EM58" s="97">
        <v>1235623</v>
      </c>
      <c r="EN58" s="97">
        <v>378124</v>
      </c>
      <c r="EO58" s="97">
        <v>2299939</v>
      </c>
      <c r="EP58" s="97">
        <v>20272817</v>
      </c>
      <c r="EQ58" s="97">
        <v>28559494</v>
      </c>
      <c r="ER58" s="97">
        <v>2179007</v>
      </c>
      <c r="ES58" s="97">
        <v>437728</v>
      </c>
      <c r="ET58" s="97">
        <v>454849</v>
      </c>
      <c r="EU58" s="97">
        <v>2989461</v>
      </c>
      <c r="EV58" s="97">
        <v>14920</v>
      </c>
      <c r="EW58" s="97">
        <v>6075965</v>
      </c>
      <c r="EX58" s="97">
        <v>175000</v>
      </c>
      <c r="EY58" s="97">
        <v>246139</v>
      </c>
      <c r="EZ58" s="97">
        <v>48551</v>
      </c>
      <c r="FA58" s="97">
        <v>173278</v>
      </c>
      <c r="FB58" s="97">
        <v>0</v>
      </c>
      <c r="FC58" s="97">
        <v>642968</v>
      </c>
      <c r="FD58" s="97">
        <v>1294607</v>
      </c>
      <c r="FE58" s="97">
        <v>826989</v>
      </c>
      <c r="FF58" s="97">
        <v>395040</v>
      </c>
      <c r="FG58" s="97">
        <v>1512505</v>
      </c>
      <c r="FH58" s="97">
        <v>0</v>
      </c>
      <c r="FI58" s="97">
        <v>4029141</v>
      </c>
      <c r="FJ58" s="97">
        <v>0</v>
      </c>
      <c r="FK58" s="97">
        <v>0</v>
      </c>
      <c r="FL58" s="97">
        <v>0</v>
      </c>
      <c r="FM58" s="97">
        <v>0</v>
      </c>
      <c r="FN58" s="97">
        <v>0</v>
      </c>
      <c r="FO58" s="97">
        <v>0</v>
      </c>
      <c r="FP58" s="97">
        <v>232526</v>
      </c>
      <c r="FQ58" s="97">
        <v>168481</v>
      </c>
      <c r="FR58" s="97">
        <v>70936</v>
      </c>
      <c r="FS58" s="97">
        <v>116609</v>
      </c>
      <c r="FT58" s="97">
        <v>2436516</v>
      </c>
      <c r="FU58" s="97">
        <v>3025068</v>
      </c>
      <c r="FV58" s="97">
        <v>0</v>
      </c>
      <c r="FW58" s="97">
        <v>0</v>
      </c>
      <c r="FX58" s="97">
        <v>0</v>
      </c>
      <c r="FY58" s="97">
        <v>0</v>
      </c>
      <c r="FZ58" s="97">
        <v>0</v>
      </c>
      <c r="GA58" s="97">
        <v>0</v>
      </c>
      <c r="GB58" s="97">
        <v>0</v>
      </c>
      <c r="GC58" s="97">
        <v>0</v>
      </c>
      <c r="GD58" s="97">
        <v>0</v>
      </c>
      <c r="GE58" s="97">
        <v>0</v>
      </c>
      <c r="GF58" s="97">
        <v>0</v>
      </c>
      <c r="GG58" s="97">
        <v>0</v>
      </c>
      <c r="GH58" s="97">
        <v>176579</v>
      </c>
      <c r="GI58" s="97">
        <v>100265</v>
      </c>
      <c r="GJ58" s="97">
        <v>72888</v>
      </c>
      <c r="GK58" s="97">
        <v>124013</v>
      </c>
      <c r="GL58" s="97">
        <v>0</v>
      </c>
      <c r="GM58" s="97">
        <v>473745</v>
      </c>
      <c r="GN58" s="97">
        <v>1018766</v>
      </c>
      <c r="GO58" s="97">
        <v>254275</v>
      </c>
      <c r="GP58" s="97">
        <v>156290</v>
      </c>
      <c r="GQ58" s="97">
        <v>1309553</v>
      </c>
      <c r="GR58" s="97">
        <v>8173</v>
      </c>
      <c r="GS58" s="97">
        <v>2747057</v>
      </c>
      <c r="GT58" s="97">
        <v>173582</v>
      </c>
      <c r="GU58" s="97">
        <v>16338</v>
      </c>
      <c r="GV58" s="97">
        <v>30883</v>
      </c>
      <c r="GW58" s="97">
        <v>199361</v>
      </c>
      <c r="GX58" s="97">
        <v>41762</v>
      </c>
      <c r="GY58" s="97">
        <v>461926</v>
      </c>
      <c r="GZ58" s="97">
        <v>442337</v>
      </c>
      <c r="HA58" s="97">
        <v>270397</v>
      </c>
      <c r="HB58" s="97">
        <v>140695</v>
      </c>
      <c r="HC58" s="97">
        <v>202020</v>
      </c>
      <c r="HD58" s="97">
        <v>0</v>
      </c>
      <c r="HE58" s="97">
        <v>1055449</v>
      </c>
      <c r="HF58" s="97">
        <v>13619</v>
      </c>
      <c r="HG58" s="97">
        <v>26030</v>
      </c>
      <c r="HH58" s="97">
        <v>6941</v>
      </c>
      <c r="HI58" s="97">
        <v>42643</v>
      </c>
      <c r="HJ58" s="97">
        <v>2211196</v>
      </c>
      <c r="HK58" s="97">
        <v>2300429</v>
      </c>
      <c r="HL58" s="97">
        <v>0</v>
      </c>
      <c r="HM58" s="97">
        <v>0</v>
      </c>
      <c r="HN58" s="97">
        <v>0</v>
      </c>
      <c r="HO58" s="97">
        <v>0</v>
      </c>
      <c r="HP58" s="97">
        <v>0</v>
      </c>
      <c r="HQ58" s="97">
        <v>0</v>
      </c>
      <c r="HR58" s="97">
        <v>268622</v>
      </c>
      <c r="HS58" s="97">
        <v>138769</v>
      </c>
      <c r="HT58" s="97">
        <v>131187</v>
      </c>
      <c r="HU58" s="97">
        <v>163730</v>
      </c>
      <c r="HV58" s="97">
        <v>126896</v>
      </c>
      <c r="HW58" s="97">
        <v>829204</v>
      </c>
      <c r="HX58" s="97">
        <v>0</v>
      </c>
      <c r="HY58" s="97">
        <v>0</v>
      </c>
      <c r="HZ58" s="97">
        <v>0</v>
      </c>
      <c r="IA58" s="97">
        <v>0</v>
      </c>
      <c r="IB58" s="97">
        <v>130529</v>
      </c>
      <c r="IC58" s="97">
        <v>130529</v>
      </c>
      <c r="ID58" s="97">
        <v>0</v>
      </c>
      <c r="IE58" s="97">
        <v>0</v>
      </c>
      <c r="IF58" s="97">
        <v>0</v>
      </c>
      <c r="IG58" s="97">
        <v>0</v>
      </c>
      <c r="IH58" s="97">
        <v>3625830</v>
      </c>
      <c r="II58" s="97">
        <v>3625830</v>
      </c>
      <c r="IJ58" s="97">
        <v>545</v>
      </c>
      <c r="IK58" s="97">
        <v>0</v>
      </c>
      <c r="IL58" s="97">
        <v>0</v>
      </c>
      <c r="IM58" s="97">
        <v>18808</v>
      </c>
      <c r="IN58" s="97">
        <v>458446</v>
      </c>
      <c r="IO58" s="97">
        <v>477799</v>
      </c>
      <c r="IP58" s="97">
        <v>1575</v>
      </c>
      <c r="IQ58" s="97">
        <v>905</v>
      </c>
      <c r="IR58" s="97">
        <v>748</v>
      </c>
      <c r="IS58" s="97">
        <v>7170</v>
      </c>
      <c r="IT58" s="97">
        <v>413418</v>
      </c>
      <c r="IU58" s="97">
        <v>423816</v>
      </c>
      <c r="IV58" s="97">
        <v>271958</v>
      </c>
      <c r="IW58" s="97">
        <v>152776</v>
      </c>
      <c r="IX58" s="97">
        <v>61827</v>
      </c>
      <c r="IY58" s="97">
        <v>229472</v>
      </c>
      <c r="IZ58" s="97">
        <v>411429</v>
      </c>
      <c r="JA58" s="97">
        <v>1127462</v>
      </c>
      <c r="JB58" s="97">
        <v>6248723</v>
      </c>
      <c r="JC58" s="97">
        <v>2639092</v>
      </c>
      <c r="JD58" s="97">
        <v>1570835</v>
      </c>
      <c r="JE58" s="97">
        <v>7088623</v>
      </c>
      <c r="JF58" s="97">
        <v>9879115</v>
      </c>
      <c r="JG58" s="97">
        <v>27426388</v>
      </c>
      <c r="JH58" s="97">
        <v>0</v>
      </c>
      <c r="JI58" s="97">
        <v>0</v>
      </c>
      <c r="JJ58" s="97">
        <v>0</v>
      </c>
      <c r="JK58" s="97">
        <v>0</v>
      </c>
      <c r="JL58" s="97">
        <v>0</v>
      </c>
      <c r="JM58" s="97">
        <v>0</v>
      </c>
      <c r="JN58" s="97">
        <v>6248723</v>
      </c>
      <c r="JO58" s="97">
        <v>2639092</v>
      </c>
      <c r="JP58" s="97">
        <v>1570835</v>
      </c>
      <c r="JQ58" s="97">
        <v>7088623</v>
      </c>
      <c r="JR58" s="97">
        <v>9879115</v>
      </c>
      <c r="JS58" s="97">
        <v>27426388</v>
      </c>
      <c r="JU58" s="5">
        <f t="shared" si="78"/>
        <v>1722689</v>
      </c>
      <c r="JV58" s="29">
        <f t="shared" si="79"/>
        <v>0</v>
      </c>
      <c r="JW58" s="5">
        <f t="shared" si="80"/>
        <v>2995320</v>
      </c>
      <c r="JX58" s="29">
        <f t="shared" si="81"/>
        <v>0</v>
      </c>
      <c r="JY58" s="5">
        <f t="shared" si="82"/>
        <v>2012000</v>
      </c>
      <c r="JZ58" s="29">
        <f t="shared" si="83"/>
        <v>0</v>
      </c>
      <c r="KA58" s="5">
        <f t="shared" si="84"/>
        <v>1352361</v>
      </c>
      <c r="KB58" s="29">
        <f t="shared" si="85"/>
        <v>0</v>
      </c>
      <c r="KC58" s="5">
        <f t="shared" si="86"/>
        <v>0</v>
      </c>
      <c r="KD58" s="29">
        <f t="shared" si="87"/>
        <v>0</v>
      </c>
      <c r="KE58" s="5">
        <f t="shared" si="88"/>
        <v>3032700</v>
      </c>
      <c r="KF58" s="29">
        <f t="shared" si="89"/>
        <v>0</v>
      </c>
      <c r="KG58" s="5">
        <f t="shared" si="90"/>
        <v>9542969</v>
      </c>
      <c r="KH58" s="29">
        <f t="shared" si="91"/>
        <v>0</v>
      </c>
      <c r="KI58" s="5">
        <f t="shared" si="92"/>
        <v>3625830</v>
      </c>
      <c r="KJ58" s="29">
        <f t="shared" si="93"/>
        <v>0</v>
      </c>
      <c r="KK58" s="5">
        <f t="shared" si="94"/>
        <v>1933655</v>
      </c>
      <c r="KL58" s="29">
        <f t="shared" si="95"/>
        <v>0</v>
      </c>
      <c r="KM58" s="5">
        <f t="shared" si="96"/>
        <v>0</v>
      </c>
      <c r="KN58" s="29">
        <f t="shared" si="97"/>
        <v>0</v>
      </c>
      <c r="KO58" s="5">
        <f t="shared" si="98"/>
        <v>81943</v>
      </c>
      <c r="KP58" s="29">
        <f t="shared" si="99"/>
        <v>0</v>
      </c>
      <c r="KQ58" s="5">
        <f t="shared" si="100"/>
        <v>2049370</v>
      </c>
      <c r="KR58" s="29">
        <f t="shared" si="101"/>
        <v>0</v>
      </c>
      <c r="KS58" s="5">
        <f t="shared" si="102"/>
        <v>0</v>
      </c>
      <c r="KT58" s="29">
        <f t="shared" si="103"/>
        <v>0</v>
      </c>
      <c r="KU58" s="5">
        <f t="shared" si="104"/>
        <v>36311</v>
      </c>
      <c r="KV58" s="29">
        <f t="shared" si="105"/>
        <v>0</v>
      </c>
      <c r="KW58" s="5">
        <f t="shared" si="106"/>
        <v>174346</v>
      </c>
      <c r="KX58" s="29">
        <f t="shared" si="107"/>
        <v>0</v>
      </c>
      <c r="KY58" s="5">
        <f t="shared" si="108"/>
        <v>28559494</v>
      </c>
      <c r="KZ58" s="29">
        <f t="shared" si="109"/>
        <v>0</v>
      </c>
      <c r="LA58" s="5">
        <f t="shared" si="110"/>
        <v>6075965</v>
      </c>
      <c r="LB58" s="29">
        <f t="shared" si="111"/>
        <v>0</v>
      </c>
      <c r="LC58" s="5">
        <f t="shared" si="112"/>
        <v>642968</v>
      </c>
      <c r="LD58" s="29">
        <f t="shared" si="113"/>
        <v>0</v>
      </c>
      <c r="LE58" s="5">
        <f t="shared" si="114"/>
        <v>4029141</v>
      </c>
      <c r="LF58" s="29">
        <f t="shared" si="115"/>
        <v>0</v>
      </c>
      <c r="LG58" s="5">
        <f t="shared" si="116"/>
        <v>0</v>
      </c>
      <c r="LH58" s="29">
        <f t="shared" si="117"/>
        <v>0</v>
      </c>
      <c r="LI58" s="5">
        <f t="shared" si="118"/>
        <v>3025068</v>
      </c>
      <c r="LJ58" s="29">
        <f t="shared" si="119"/>
        <v>0</v>
      </c>
      <c r="LK58" s="5">
        <f t="shared" si="120"/>
        <v>0</v>
      </c>
      <c r="LL58" s="29">
        <f t="shared" si="121"/>
        <v>0</v>
      </c>
      <c r="LM58" s="5">
        <f t="shared" si="122"/>
        <v>0</v>
      </c>
      <c r="LN58" s="29">
        <f t="shared" si="123"/>
        <v>0</v>
      </c>
      <c r="LO58" s="5">
        <f t="shared" si="124"/>
        <v>473745</v>
      </c>
      <c r="LP58" s="29">
        <f t="shared" si="125"/>
        <v>0</v>
      </c>
      <c r="LQ58" s="5">
        <f t="shared" si="126"/>
        <v>2747057</v>
      </c>
      <c r="LR58" s="29">
        <f t="shared" si="127"/>
        <v>0</v>
      </c>
      <c r="LS58" s="5">
        <f t="shared" si="128"/>
        <v>461926</v>
      </c>
      <c r="LT58" s="29">
        <f t="shared" si="129"/>
        <v>0</v>
      </c>
      <c r="LU58" s="5">
        <f t="shared" si="130"/>
        <v>1055449</v>
      </c>
      <c r="LV58" s="29">
        <f t="shared" si="131"/>
        <v>0</v>
      </c>
      <c r="LW58" s="5">
        <f t="shared" si="132"/>
        <v>2300429</v>
      </c>
      <c r="LX58" s="29">
        <f t="shared" si="133"/>
        <v>0</v>
      </c>
      <c r="LY58" s="5">
        <f t="shared" si="134"/>
        <v>0</v>
      </c>
      <c r="LZ58" s="29">
        <f t="shared" si="135"/>
        <v>0</v>
      </c>
      <c r="MA58" s="5">
        <f t="shared" si="136"/>
        <v>829204</v>
      </c>
      <c r="MB58" s="29">
        <f t="shared" si="137"/>
        <v>0</v>
      </c>
      <c r="MC58" s="5">
        <f t="shared" si="138"/>
        <v>130529</v>
      </c>
      <c r="MD58" s="29">
        <f t="shared" si="139"/>
        <v>0</v>
      </c>
      <c r="ME58" s="5">
        <f t="shared" si="140"/>
        <v>3625830</v>
      </c>
      <c r="MF58" s="29">
        <f t="shared" si="141"/>
        <v>0</v>
      </c>
      <c r="MG58" s="5">
        <f t="shared" si="142"/>
        <v>477799</v>
      </c>
      <c r="MH58" s="29">
        <f t="shared" si="143"/>
        <v>0</v>
      </c>
      <c r="MI58" s="5">
        <f t="shared" si="144"/>
        <v>423816</v>
      </c>
      <c r="MJ58" s="29">
        <f t="shared" si="145"/>
        <v>0</v>
      </c>
      <c r="MK58" s="5">
        <f t="shared" si="146"/>
        <v>1127462</v>
      </c>
      <c r="ML58" s="29">
        <f t="shared" si="147"/>
        <v>0</v>
      </c>
      <c r="MM58" s="5">
        <f t="shared" si="148"/>
        <v>27426388</v>
      </c>
      <c r="MN58" s="29">
        <f t="shared" si="149"/>
        <v>0</v>
      </c>
      <c r="MO58" s="5">
        <f t="shared" si="150"/>
        <v>0</v>
      </c>
      <c r="MP58" s="29">
        <f t="shared" si="151"/>
        <v>0</v>
      </c>
      <c r="MQ58" s="5">
        <f t="shared" si="152"/>
        <v>27426388</v>
      </c>
      <c r="MR58" s="29">
        <f t="shared" si="153"/>
        <v>0</v>
      </c>
      <c r="MT58" s="5">
        <f t="shared" si="76"/>
        <v>0</v>
      </c>
      <c r="MV58" s="4">
        <f t="shared" si="77"/>
        <v>0</v>
      </c>
    </row>
    <row r="59" spans="1:360" x14ac:dyDescent="0.15">
      <c r="A59" s="157" t="s">
        <v>327</v>
      </c>
      <c r="B59" s="28" t="s">
        <v>458</v>
      </c>
      <c r="C59" s="48">
        <v>172699</v>
      </c>
      <c r="D59" s="48">
        <v>2012</v>
      </c>
      <c r="E59" s="49">
        <v>1</v>
      </c>
      <c r="F59" s="49">
        <v>1</v>
      </c>
      <c r="G59" s="50">
        <v>7701</v>
      </c>
      <c r="H59" s="50">
        <v>10729</v>
      </c>
      <c r="I59" s="51">
        <v>2449478732</v>
      </c>
      <c r="J59" s="51"/>
      <c r="K59" s="51">
        <v>4672934</v>
      </c>
      <c r="L59" s="51"/>
      <c r="M59" s="51">
        <v>93940980</v>
      </c>
      <c r="N59" s="51"/>
      <c r="O59" s="51">
        <v>68101902</v>
      </c>
      <c r="P59" s="51"/>
      <c r="Q59" s="51">
        <v>1376733364</v>
      </c>
      <c r="R59" s="51"/>
      <c r="S59" s="51">
        <v>173747038</v>
      </c>
      <c r="T59" s="51"/>
      <c r="U59" s="51">
        <v>16879</v>
      </c>
      <c r="V59" s="51"/>
      <c r="W59" s="51">
        <v>36704</v>
      </c>
      <c r="X59" s="51"/>
      <c r="Y59" s="51">
        <v>20660</v>
      </c>
      <c r="Z59" s="51"/>
      <c r="AA59" s="51">
        <v>41140</v>
      </c>
      <c r="AB59" s="51"/>
      <c r="AC59" s="72">
        <v>13</v>
      </c>
      <c r="AD59" s="72">
        <v>15</v>
      </c>
      <c r="AE59" s="72">
        <v>0</v>
      </c>
      <c r="AF59" s="29">
        <v>5128990</v>
      </c>
      <c r="AG59" s="29">
        <v>4591609</v>
      </c>
      <c r="AH59" s="29">
        <v>1055481</v>
      </c>
      <c r="AI59" s="29">
        <v>457240</v>
      </c>
      <c r="AJ59" s="29">
        <v>493844.32</v>
      </c>
      <c r="AK59" s="73">
        <v>9.5</v>
      </c>
      <c r="AL59" s="29">
        <v>426501.91</v>
      </c>
      <c r="AM59" s="73">
        <v>11</v>
      </c>
      <c r="AN59" s="29">
        <v>155443.65</v>
      </c>
      <c r="AO59" s="73">
        <v>11.5</v>
      </c>
      <c r="AP59" s="29">
        <v>137507.85</v>
      </c>
      <c r="AQ59" s="73">
        <v>13</v>
      </c>
      <c r="AR59" s="29">
        <v>187189.57</v>
      </c>
      <c r="AS59" s="73">
        <v>27.13</v>
      </c>
      <c r="AT59" s="29">
        <v>153892.51999999999</v>
      </c>
      <c r="AU59" s="73">
        <v>33</v>
      </c>
      <c r="AV59" s="29">
        <v>69082.53</v>
      </c>
      <c r="AW59" s="73">
        <v>23.13</v>
      </c>
      <c r="AX59" s="29">
        <v>55099.28</v>
      </c>
      <c r="AY59" s="73">
        <v>29</v>
      </c>
      <c r="AZ59" s="97">
        <v>11058674</v>
      </c>
      <c r="BA59" s="97">
        <v>11542154</v>
      </c>
      <c r="BB59" s="97">
        <v>126057</v>
      </c>
      <c r="BC59" s="97">
        <f>22836267+148665-AZ59-BA59-BB59</f>
        <v>258047</v>
      </c>
      <c r="BD59" s="97">
        <v>670923</v>
      </c>
      <c r="BE59" s="97">
        <v>23655855</v>
      </c>
      <c r="BF59" s="97">
        <v>0</v>
      </c>
      <c r="BG59" s="97">
        <v>0</v>
      </c>
      <c r="BH59" s="97">
        <v>0</v>
      </c>
      <c r="BI59" s="97">
        <f>3586934+3586934-BF59-BG59-BH59</f>
        <v>7173868</v>
      </c>
      <c r="BJ59" s="97">
        <v>0</v>
      </c>
      <c r="BK59" s="97">
        <v>7173868</v>
      </c>
      <c r="BL59" s="97">
        <v>864250</v>
      </c>
      <c r="BM59" s="97">
        <v>785801</v>
      </c>
      <c r="BN59" s="97">
        <v>0</v>
      </c>
      <c r="BO59" s="97">
        <f>1704964+17000-BL59-BM59-BN59</f>
        <v>71913</v>
      </c>
      <c r="BP59" s="97">
        <v>0</v>
      </c>
      <c r="BQ59" s="97">
        <v>1721964</v>
      </c>
      <c r="BR59" s="97">
        <v>4060870</v>
      </c>
      <c r="BS59" s="97">
        <v>1057933</v>
      </c>
      <c r="BT59" s="97">
        <v>452661</v>
      </c>
      <c r="BU59" s="97">
        <f>8370133+5111943-BR59-BS59-BT59</f>
        <v>7910612</v>
      </c>
      <c r="BV59" s="97">
        <v>3996673</v>
      </c>
      <c r="BW59" s="97">
        <v>17478749</v>
      </c>
      <c r="BX59" s="97">
        <v>0</v>
      </c>
      <c r="BY59" s="97">
        <v>0</v>
      </c>
      <c r="BZ59" s="97">
        <v>0</v>
      </c>
      <c r="CA59" s="97">
        <v>0</v>
      </c>
      <c r="CB59" s="97">
        <v>0</v>
      </c>
      <c r="CC59" s="97">
        <v>0</v>
      </c>
      <c r="CD59" s="97">
        <v>0</v>
      </c>
      <c r="CE59" s="97">
        <v>0</v>
      </c>
      <c r="CF59" s="97">
        <v>0</v>
      </c>
      <c r="CG59" s="97">
        <v>0</v>
      </c>
      <c r="CH59" s="97">
        <v>0</v>
      </c>
      <c r="CI59" s="97">
        <v>0</v>
      </c>
      <c r="CJ59" s="97">
        <v>0</v>
      </c>
      <c r="CK59" s="97">
        <v>0</v>
      </c>
      <c r="CL59" s="97">
        <v>0</v>
      </c>
      <c r="CM59" s="97">
        <v>0</v>
      </c>
      <c r="CN59" s="97">
        <v>0</v>
      </c>
      <c r="CO59" s="97">
        <v>0</v>
      </c>
      <c r="CP59" s="97">
        <v>0</v>
      </c>
      <c r="CQ59" s="97">
        <v>0</v>
      </c>
      <c r="CR59" s="97">
        <v>0</v>
      </c>
      <c r="CS59" s="97">
        <v>0</v>
      </c>
      <c r="CT59" s="97">
        <v>1918214</v>
      </c>
      <c r="CU59" s="97">
        <v>1918214</v>
      </c>
      <c r="CV59" s="97">
        <v>3483793</v>
      </c>
      <c r="CW59" s="97">
        <v>2879293</v>
      </c>
      <c r="CX59" s="97">
        <v>0</v>
      </c>
      <c r="CY59" s="97">
        <f>6597351+64506-CV59-CW59-CX59</f>
        <v>298771</v>
      </c>
      <c r="CZ59" s="97">
        <v>358549</v>
      </c>
      <c r="DA59" s="97">
        <v>7020406</v>
      </c>
      <c r="DB59" s="97">
        <v>7836278</v>
      </c>
      <c r="DC59" s="97">
        <v>7838173</v>
      </c>
      <c r="DD59" s="97">
        <v>0</v>
      </c>
      <c r="DE59" s="97">
        <f>15674451+0-DB59-DC59-DD59</f>
        <v>0</v>
      </c>
      <c r="DF59" s="97">
        <v>45000</v>
      </c>
      <c r="DG59" s="97">
        <v>15719451</v>
      </c>
      <c r="DH59" s="97">
        <v>786049</v>
      </c>
      <c r="DI59" s="97">
        <v>769321</v>
      </c>
      <c r="DJ59" s="97">
        <v>30750</v>
      </c>
      <c r="DK59" s="97">
        <f>1715591+68722-DH59-DI59-DJ59</f>
        <v>198193</v>
      </c>
      <c r="DL59" s="97">
        <v>52300</v>
      </c>
      <c r="DM59" s="97">
        <v>1836613</v>
      </c>
      <c r="DN59" s="97">
        <v>0</v>
      </c>
      <c r="DO59" s="97">
        <v>7391</v>
      </c>
      <c r="DP59" s="97">
        <v>0</v>
      </c>
      <c r="DQ59" s="97">
        <f>773491+773900-DN59-DO59-DP59</f>
        <v>1540000</v>
      </c>
      <c r="DR59" s="97">
        <v>2161501</v>
      </c>
      <c r="DS59" s="97">
        <v>3708892</v>
      </c>
      <c r="DT59" s="97">
        <v>0</v>
      </c>
      <c r="DU59" s="97">
        <v>0</v>
      </c>
      <c r="DV59" s="97">
        <v>0</v>
      </c>
      <c r="DW59" s="97">
        <v>0</v>
      </c>
      <c r="DX59" s="97">
        <v>0</v>
      </c>
      <c r="DY59" s="97">
        <v>0</v>
      </c>
      <c r="DZ59" s="97">
        <v>0</v>
      </c>
      <c r="EA59" s="97">
        <v>0</v>
      </c>
      <c r="EB59" s="97">
        <v>0</v>
      </c>
      <c r="EC59" s="97">
        <v>0</v>
      </c>
      <c r="ED59" s="97">
        <v>36116</v>
      </c>
      <c r="EE59" s="97">
        <v>36116</v>
      </c>
      <c r="EF59" s="97">
        <v>2309</v>
      </c>
      <c r="EG59" s="97">
        <v>1040</v>
      </c>
      <c r="EH59" s="97">
        <v>2488</v>
      </c>
      <c r="EI59" s="97">
        <f>23197+20351-EF59-EG59-EH59</f>
        <v>37711</v>
      </c>
      <c r="EJ59" s="97">
        <v>2110754</v>
      </c>
      <c r="EK59" s="97">
        <v>2154302</v>
      </c>
      <c r="EL59" s="97">
        <v>28092223</v>
      </c>
      <c r="EM59" s="97">
        <v>24881106</v>
      </c>
      <c r="EN59" s="97">
        <v>611956</v>
      </c>
      <c r="EO59" s="97">
        <f>61282379+9792021-EL59-EM59-EN59</f>
        <v>17489115</v>
      </c>
      <c r="EP59" s="97">
        <v>11350030</v>
      </c>
      <c r="EQ59" s="97">
        <v>82424430</v>
      </c>
      <c r="ER59" s="97">
        <v>2275104</v>
      </c>
      <c r="ES59" s="97">
        <v>404720</v>
      </c>
      <c r="ET59" s="97">
        <v>407411</v>
      </c>
      <c r="EU59" s="97">
        <f>5128990+4591609-ER59-ES59-ET59</f>
        <v>6633364</v>
      </c>
      <c r="EV59" s="97">
        <v>880511</v>
      </c>
      <c r="EW59" s="97">
        <v>10601110</v>
      </c>
      <c r="EX59" s="97">
        <v>900000</v>
      </c>
      <c r="EY59" s="97">
        <v>525000</v>
      </c>
      <c r="EZ59" s="97">
        <v>147467</v>
      </c>
      <c r="FA59" s="97">
        <f>1442994+162523-EX59-EY59-EZ59</f>
        <v>33050</v>
      </c>
      <c r="FB59" s="97">
        <v>0</v>
      </c>
      <c r="FC59" s="97">
        <v>1605517</v>
      </c>
      <c r="FD59" s="97">
        <f>1665142+3386410</f>
        <v>5051552</v>
      </c>
      <c r="FE59" s="97">
        <f>1909446+812454</f>
        <v>2721900</v>
      </c>
      <c r="FF59" s="97">
        <f>541077+555051</f>
        <v>1096128</v>
      </c>
      <c r="FG59" s="97">
        <f>4691521+5078453+1787602+1597879-FD59-FE59-FF59</f>
        <v>4285875</v>
      </c>
      <c r="FH59" s="97">
        <v>0</v>
      </c>
      <c r="FI59" s="97">
        <v>13155455</v>
      </c>
      <c r="FJ59" s="97">
        <v>0</v>
      </c>
      <c r="FK59" s="97">
        <v>0</v>
      </c>
      <c r="FL59" s="97">
        <v>0</v>
      </c>
      <c r="FM59" s="97">
        <v>0</v>
      </c>
      <c r="FN59" s="97">
        <v>0</v>
      </c>
      <c r="FO59" s="97">
        <v>0</v>
      </c>
      <c r="FP59" s="97">
        <v>1852336</v>
      </c>
      <c r="FQ59" s="97">
        <v>826901</v>
      </c>
      <c r="FR59" s="97">
        <v>307052</v>
      </c>
      <c r="FS59" s="97">
        <f>2823794+383111-FP59-FQ59-FR59</f>
        <v>220616</v>
      </c>
      <c r="FT59" s="97">
        <v>13924682</v>
      </c>
      <c r="FU59" s="97">
        <v>17131587</v>
      </c>
      <c r="FV59" s="97">
        <v>0</v>
      </c>
      <c r="FW59" s="97">
        <v>0</v>
      </c>
      <c r="FX59" s="97">
        <v>0</v>
      </c>
      <c r="FY59" s="97">
        <v>0</v>
      </c>
      <c r="FZ59" s="97">
        <v>0</v>
      </c>
      <c r="GA59" s="97">
        <v>0</v>
      </c>
      <c r="GB59" s="97">
        <v>1039671</v>
      </c>
      <c r="GC59" s="97">
        <v>0</v>
      </c>
      <c r="GD59" s="97">
        <v>0</v>
      </c>
      <c r="GE59" s="97">
        <f>1042871+3200-GB59-GC59-GD59</f>
        <v>6400</v>
      </c>
      <c r="GF59" s="97">
        <v>0</v>
      </c>
      <c r="GG59" s="97">
        <v>1046071</v>
      </c>
      <c r="GH59" s="97">
        <v>551230</v>
      </c>
      <c r="GI59" s="97">
        <v>273712</v>
      </c>
      <c r="GJ59" s="97">
        <v>197300</v>
      </c>
      <c r="GK59" s="97">
        <f>1055461+457240-GH59-GI59-GJ59</f>
        <v>490459</v>
      </c>
      <c r="GL59" s="97">
        <v>0</v>
      </c>
      <c r="GM59" s="97">
        <v>1512701</v>
      </c>
      <c r="GN59" s="97">
        <v>1215893</v>
      </c>
      <c r="GO59" s="97">
        <v>1070741</v>
      </c>
      <c r="GP59" s="97">
        <v>361080</v>
      </c>
      <c r="GQ59" s="97">
        <f>2847545+1208564-GN59-GO59-GP59</f>
        <v>1408395</v>
      </c>
      <c r="GR59" s="97">
        <v>91051</v>
      </c>
      <c r="GS59" s="97">
        <v>4147160</v>
      </c>
      <c r="GT59" s="97">
        <v>853620</v>
      </c>
      <c r="GU59" s="97">
        <v>128493</v>
      </c>
      <c r="GV59" s="97">
        <v>99881</v>
      </c>
      <c r="GW59" s="97">
        <f>2036993+1150477-GT59-GU59-GV59</f>
        <v>2105476</v>
      </c>
      <c r="GX59" s="97">
        <v>0</v>
      </c>
      <c r="GY59" s="97">
        <v>3187470</v>
      </c>
      <c r="GZ59" s="97">
        <v>1147335</v>
      </c>
      <c r="HA59" s="97">
        <v>1040587</v>
      </c>
      <c r="HB59" s="97">
        <v>129054</v>
      </c>
      <c r="HC59" s="97">
        <f>2642537+322835-GZ59-HA59-HB59</f>
        <v>648396</v>
      </c>
      <c r="HD59" s="97">
        <v>1150122</v>
      </c>
      <c r="HE59" s="97">
        <v>4115494</v>
      </c>
      <c r="HF59" s="97">
        <v>0</v>
      </c>
      <c r="HG59" s="97">
        <v>0</v>
      </c>
      <c r="HH59" s="97">
        <v>0</v>
      </c>
      <c r="HI59" s="97">
        <v>0</v>
      </c>
      <c r="HJ59" s="97">
        <v>789862</v>
      </c>
      <c r="HK59" s="97">
        <v>789862</v>
      </c>
      <c r="HL59" s="97">
        <v>0</v>
      </c>
      <c r="HM59" s="97">
        <v>0</v>
      </c>
      <c r="HN59" s="97">
        <v>0</v>
      </c>
      <c r="HO59" s="97">
        <v>0</v>
      </c>
      <c r="HP59" s="97">
        <v>0</v>
      </c>
      <c r="HQ59" s="97">
        <v>0</v>
      </c>
      <c r="HR59" s="97">
        <v>4053389</v>
      </c>
      <c r="HS59" s="97">
        <v>1413</v>
      </c>
      <c r="HT59" s="97">
        <v>10117</v>
      </c>
      <c r="HU59" s="97">
        <f>4698217+216169-HR59-HS59-HT59</f>
        <v>849467</v>
      </c>
      <c r="HV59" s="97">
        <v>7535947</v>
      </c>
      <c r="HW59" s="97">
        <v>12450333</v>
      </c>
      <c r="HX59" s="97">
        <v>0</v>
      </c>
      <c r="HY59" s="97">
        <v>0</v>
      </c>
      <c r="HZ59" s="97">
        <v>0</v>
      </c>
      <c r="IA59" s="97">
        <v>0</v>
      </c>
      <c r="IB59" s="97">
        <v>392866</v>
      </c>
      <c r="IC59" s="97">
        <v>392866</v>
      </c>
      <c r="ID59" s="97">
        <v>0</v>
      </c>
      <c r="IE59" s="97">
        <v>0</v>
      </c>
      <c r="IF59" s="97">
        <v>0</v>
      </c>
      <c r="IG59" s="97">
        <v>0</v>
      </c>
      <c r="IH59" s="97">
        <v>1918214</v>
      </c>
      <c r="II59" s="97">
        <v>1918214</v>
      </c>
      <c r="IJ59" s="97">
        <v>0</v>
      </c>
      <c r="IK59" s="97">
        <v>0</v>
      </c>
      <c r="IL59" s="97">
        <v>0</v>
      </c>
      <c r="IM59" s="97">
        <v>0</v>
      </c>
      <c r="IN59" s="97">
        <v>2005251</v>
      </c>
      <c r="IO59" s="97">
        <v>2005251</v>
      </c>
      <c r="IP59" s="97">
        <v>2135</v>
      </c>
      <c r="IQ59" s="97">
        <v>730</v>
      </c>
      <c r="IR59" s="97">
        <v>358</v>
      </c>
      <c r="IS59" s="97">
        <f>6327+6679-IP59-IQ59-IR59</f>
        <v>9783</v>
      </c>
      <c r="IT59" s="97">
        <v>1466856</v>
      </c>
      <c r="IU59" s="97">
        <v>1479862</v>
      </c>
      <c r="IV59" s="97">
        <v>419603</v>
      </c>
      <c r="IW59" s="97">
        <v>142681</v>
      </c>
      <c r="IX59" s="97">
        <v>160050</v>
      </c>
      <c r="IY59" s="97">
        <f>853647+511601-IV59-IW59-IX59</f>
        <v>642914</v>
      </c>
      <c r="IZ59" s="97">
        <v>5017582</v>
      </c>
      <c r="JA59" s="97">
        <v>6382830</v>
      </c>
      <c r="JB59" s="97">
        <v>19361868</v>
      </c>
      <c r="JC59" s="97">
        <v>7136878</v>
      </c>
      <c r="JD59" s="97">
        <v>2915898</v>
      </c>
      <c r="JE59" s="97">
        <f>34349350+12399489-JB59-JC59-JD59</f>
        <v>17334195</v>
      </c>
      <c r="JF59" s="97">
        <v>35172944</v>
      </c>
      <c r="JG59" s="97">
        <v>81921783</v>
      </c>
      <c r="JH59" s="97">
        <v>0</v>
      </c>
      <c r="JI59" s="97">
        <v>0</v>
      </c>
      <c r="JJ59" s="97">
        <v>0</v>
      </c>
      <c r="JK59" s="97">
        <v>0</v>
      </c>
      <c r="JL59" s="97">
        <v>0</v>
      </c>
      <c r="JM59" s="97">
        <v>0</v>
      </c>
      <c r="JN59" s="97">
        <v>19361868</v>
      </c>
      <c r="JO59" s="97">
        <v>7136878</v>
      </c>
      <c r="JP59" s="97">
        <v>2915898</v>
      </c>
      <c r="JQ59" s="97">
        <f>34349350+12399489-JN59-JO59-JP59</f>
        <v>17334195</v>
      </c>
      <c r="JR59" s="97">
        <v>35172944</v>
      </c>
      <c r="JS59" s="97">
        <v>81921783</v>
      </c>
      <c r="JU59" s="5">
        <f t="shared" si="78"/>
        <v>23655855</v>
      </c>
      <c r="JV59" s="29">
        <f t="shared" si="79"/>
        <v>0</v>
      </c>
      <c r="JW59" s="5">
        <f t="shared" si="80"/>
        <v>7173868</v>
      </c>
      <c r="JX59" s="29">
        <f t="shared" si="81"/>
        <v>0</v>
      </c>
      <c r="JY59" s="5">
        <f t="shared" si="82"/>
        <v>1721964</v>
      </c>
      <c r="JZ59" s="29">
        <f t="shared" si="83"/>
        <v>0</v>
      </c>
      <c r="KA59" s="5">
        <f t="shared" si="84"/>
        <v>17478749</v>
      </c>
      <c r="KB59" s="29">
        <f t="shared" si="85"/>
        <v>0</v>
      </c>
      <c r="KC59" s="5">
        <f t="shared" si="86"/>
        <v>0</v>
      </c>
      <c r="KD59" s="29">
        <f t="shared" si="87"/>
        <v>0</v>
      </c>
      <c r="KE59" s="5">
        <f t="shared" si="88"/>
        <v>0</v>
      </c>
      <c r="KF59" s="29">
        <f t="shared" si="89"/>
        <v>0</v>
      </c>
      <c r="KG59" s="5">
        <f t="shared" si="90"/>
        <v>0</v>
      </c>
      <c r="KH59" s="29">
        <f t="shared" si="91"/>
        <v>0</v>
      </c>
      <c r="KI59" s="5">
        <f t="shared" si="92"/>
        <v>1918214</v>
      </c>
      <c r="KJ59" s="29">
        <f t="shared" si="93"/>
        <v>0</v>
      </c>
      <c r="KK59" s="5">
        <f t="shared" si="94"/>
        <v>7020406</v>
      </c>
      <c r="KL59" s="29">
        <f t="shared" si="95"/>
        <v>0</v>
      </c>
      <c r="KM59" s="5">
        <f t="shared" si="96"/>
        <v>15719451</v>
      </c>
      <c r="KN59" s="29">
        <f t="shared" si="97"/>
        <v>0</v>
      </c>
      <c r="KO59" s="5">
        <f t="shared" si="98"/>
        <v>1836613</v>
      </c>
      <c r="KP59" s="29">
        <f t="shared" si="99"/>
        <v>0</v>
      </c>
      <c r="KQ59" s="5">
        <f t="shared" si="100"/>
        <v>3708892</v>
      </c>
      <c r="KR59" s="29">
        <f t="shared" si="101"/>
        <v>0</v>
      </c>
      <c r="KS59" s="5">
        <f t="shared" si="102"/>
        <v>0</v>
      </c>
      <c r="KT59" s="29">
        <f t="shared" si="103"/>
        <v>0</v>
      </c>
      <c r="KU59" s="5">
        <f t="shared" si="104"/>
        <v>36116</v>
      </c>
      <c r="KV59" s="29">
        <f t="shared" si="105"/>
        <v>0</v>
      </c>
      <c r="KW59" s="5">
        <f t="shared" si="106"/>
        <v>2154302</v>
      </c>
      <c r="KX59" s="29">
        <f t="shared" si="107"/>
        <v>0</v>
      </c>
      <c r="KY59" s="5">
        <f t="shared" si="108"/>
        <v>82424430</v>
      </c>
      <c r="KZ59" s="29">
        <f t="shared" si="109"/>
        <v>0</v>
      </c>
      <c r="LA59" s="5">
        <f t="shared" si="110"/>
        <v>10601110</v>
      </c>
      <c r="LB59" s="29">
        <f t="shared" si="111"/>
        <v>0</v>
      </c>
      <c r="LC59" s="5">
        <f t="shared" si="112"/>
        <v>1605517</v>
      </c>
      <c r="LD59" s="29">
        <f t="shared" si="113"/>
        <v>0</v>
      </c>
      <c r="LE59" s="5">
        <f t="shared" si="114"/>
        <v>13155455</v>
      </c>
      <c r="LF59" s="29">
        <f t="shared" si="115"/>
        <v>0</v>
      </c>
      <c r="LG59" s="5">
        <f t="shared" si="116"/>
        <v>0</v>
      </c>
      <c r="LH59" s="29">
        <f t="shared" si="117"/>
        <v>0</v>
      </c>
      <c r="LI59" s="5">
        <f t="shared" si="118"/>
        <v>17131587</v>
      </c>
      <c r="LJ59" s="29">
        <f t="shared" si="119"/>
        <v>0</v>
      </c>
      <c r="LK59" s="5">
        <f t="shared" si="120"/>
        <v>0</v>
      </c>
      <c r="LL59" s="29">
        <f t="shared" si="121"/>
        <v>0</v>
      </c>
      <c r="LM59" s="5">
        <f t="shared" si="122"/>
        <v>1046071</v>
      </c>
      <c r="LN59" s="29">
        <f t="shared" si="123"/>
        <v>0</v>
      </c>
      <c r="LO59" s="5">
        <f t="shared" si="124"/>
        <v>1512701</v>
      </c>
      <c r="LP59" s="29">
        <f t="shared" si="125"/>
        <v>0</v>
      </c>
      <c r="LQ59" s="5">
        <f t="shared" si="126"/>
        <v>4147160</v>
      </c>
      <c r="LR59" s="29">
        <f t="shared" si="127"/>
        <v>0</v>
      </c>
      <c r="LS59" s="5">
        <f t="shared" si="128"/>
        <v>3187470</v>
      </c>
      <c r="LT59" s="29">
        <f t="shared" si="129"/>
        <v>0</v>
      </c>
      <c r="LU59" s="5">
        <f t="shared" si="130"/>
        <v>4115494</v>
      </c>
      <c r="LV59" s="29">
        <f t="shared" si="131"/>
        <v>0</v>
      </c>
      <c r="LW59" s="5">
        <f t="shared" si="132"/>
        <v>789862</v>
      </c>
      <c r="LX59" s="29">
        <f t="shared" si="133"/>
        <v>0</v>
      </c>
      <c r="LY59" s="5">
        <f t="shared" si="134"/>
        <v>0</v>
      </c>
      <c r="LZ59" s="29">
        <f t="shared" si="135"/>
        <v>0</v>
      </c>
      <c r="MA59" s="5">
        <f t="shared" si="136"/>
        <v>12450333</v>
      </c>
      <c r="MB59" s="29">
        <f t="shared" si="137"/>
        <v>0</v>
      </c>
      <c r="MC59" s="5">
        <f t="shared" si="138"/>
        <v>392866</v>
      </c>
      <c r="MD59" s="29">
        <f t="shared" si="139"/>
        <v>0</v>
      </c>
      <c r="ME59" s="5">
        <f t="shared" si="140"/>
        <v>1918214</v>
      </c>
      <c r="MF59" s="29">
        <f t="shared" si="141"/>
        <v>0</v>
      </c>
      <c r="MG59" s="5">
        <f t="shared" si="142"/>
        <v>2005251</v>
      </c>
      <c r="MH59" s="29">
        <f t="shared" si="143"/>
        <v>0</v>
      </c>
      <c r="MI59" s="5">
        <f t="shared" si="144"/>
        <v>1479862</v>
      </c>
      <c r="MJ59" s="29">
        <f t="shared" si="145"/>
        <v>0</v>
      </c>
      <c r="MK59" s="5">
        <f t="shared" si="146"/>
        <v>6382830</v>
      </c>
      <c r="ML59" s="29">
        <f t="shared" si="147"/>
        <v>0</v>
      </c>
      <c r="MM59" s="5">
        <f t="shared" si="148"/>
        <v>81921783</v>
      </c>
      <c r="MN59" s="29">
        <f t="shared" si="149"/>
        <v>0</v>
      </c>
      <c r="MO59" s="5">
        <f t="shared" si="150"/>
        <v>0</v>
      </c>
      <c r="MP59" s="29">
        <f t="shared" si="151"/>
        <v>0</v>
      </c>
      <c r="MQ59" s="5">
        <f t="shared" si="152"/>
        <v>81921783</v>
      </c>
      <c r="MR59" s="29">
        <f t="shared" si="153"/>
        <v>0</v>
      </c>
      <c r="MT59" s="5">
        <f t="shared" si="76"/>
        <v>0</v>
      </c>
      <c r="MV59" s="4">
        <f t="shared" si="77"/>
        <v>0</v>
      </c>
    </row>
    <row r="60" spans="1:360" x14ac:dyDescent="0.15">
      <c r="A60" s="157" t="s">
        <v>328</v>
      </c>
      <c r="B60" s="28" t="s">
        <v>462</v>
      </c>
      <c r="C60" s="47">
        <v>199193</v>
      </c>
      <c r="D60" s="48">
        <v>2012</v>
      </c>
      <c r="E60" s="49">
        <v>1</v>
      </c>
      <c r="F60" s="49">
        <v>1</v>
      </c>
      <c r="G60" s="50">
        <v>12033</v>
      </c>
      <c r="H60" s="50">
        <v>9580</v>
      </c>
      <c r="I60" s="51">
        <v>1194655533</v>
      </c>
      <c r="J60" s="51"/>
      <c r="K60" s="51">
        <v>5001418</v>
      </c>
      <c r="L60" s="51"/>
      <c r="M60" s="51">
        <v>27673842</v>
      </c>
      <c r="N60" s="51"/>
      <c r="O60" s="51">
        <v>46092801</v>
      </c>
      <c r="P60" s="51"/>
      <c r="Q60" s="51">
        <v>417646121</v>
      </c>
      <c r="R60" s="51"/>
      <c r="S60" s="51">
        <v>1064164697</v>
      </c>
      <c r="T60" s="51"/>
      <c r="U60" s="51">
        <v>15954</v>
      </c>
      <c r="V60" s="51"/>
      <c r="W60" s="51">
        <v>28788</v>
      </c>
      <c r="X60" s="51"/>
      <c r="Y60" s="51">
        <v>19388</v>
      </c>
      <c r="Z60" s="51"/>
      <c r="AA60" s="51">
        <v>32622</v>
      </c>
      <c r="AB60" s="51"/>
      <c r="AC60" s="74">
        <v>12</v>
      </c>
      <c r="AD60" s="74">
        <v>12</v>
      </c>
      <c r="AE60" s="74">
        <v>1</v>
      </c>
      <c r="AF60" s="29">
        <v>4514121</v>
      </c>
      <c r="AG60" s="29">
        <v>3175500</v>
      </c>
      <c r="AH60" s="29">
        <v>843365</v>
      </c>
      <c r="AI60" s="29">
        <v>347689</v>
      </c>
      <c r="AJ60" s="29">
        <v>475816.11111111112</v>
      </c>
      <c r="AK60" s="73">
        <v>9</v>
      </c>
      <c r="AL60" s="29">
        <v>389304.09090909088</v>
      </c>
      <c r="AM60" s="73">
        <v>11</v>
      </c>
      <c r="AN60" s="29">
        <v>142540</v>
      </c>
      <c r="AO60" s="73">
        <v>9</v>
      </c>
      <c r="AP60" s="29">
        <v>116623.63636363637</v>
      </c>
      <c r="AQ60" s="73">
        <v>11</v>
      </c>
      <c r="AR60" s="29">
        <v>196701.51020408163</v>
      </c>
      <c r="AS60" s="73">
        <v>24.5</v>
      </c>
      <c r="AT60" s="29">
        <v>166178.86206896551</v>
      </c>
      <c r="AU60" s="73">
        <v>29</v>
      </c>
      <c r="AV60" s="29">
        <v>90346.967741935485</v>
      </c>
      <c r="AW60" s="73">
        <v>15.5</v>
      </c>
      <c r="AX60" s="29">
        <v>70018.899999999994</v>
      </c>
      <c r="AY60" s="73">
        <v>20</v>
      </c>
      <c r="AZ60" s="97">
        <v>12328758</v>
      </c>
      <c r="BA60" s="97">
        <v>5676626</v>
      </c>
      <c r="BB60" s="97">
        <v>80196</v>
      </c>
      <c r="BC60" s="97">
        <v>152399</v>
      </c>
      <c r="BD60" s="97">
        <v>0</v>
      </c>
      <c r="BE60" s="97">
        <v>18237979</v>
      </c>
      <c r="BF60" s="97">
        <v>2686858</v>
      </c>
      <c r="BG60" s="97">
        <v>1194350</v>
      </c>
      <c r="BH60" s="97">
        <v>42930</v>
      </c>
      <c r="BI60" s="97">
        <v>1502562</v>
      </c>
      <c r="BJ60" s="97">
        <v>0</v>
      </c>
      <c r="BK60" s="97">
        <v>5426700</v>
      </c>
      <c r="BL60" s="97">
        <v>200000</v>
      </c>
      <c r="BM60" s="97">
        <v>0</v>
      </c>
      <c r="BN60" s="97">
        <v>0</v>
      </c>
      <c r="BO60" s="97">
        <v>0</v>
      </c>
      <c r="BP60" s="97">
        <v>0</v>
      </c>
      <c r="BQ60" s="97">
        <v>200000</v>
      </c>
      <c r="BR60" s="97">
        <v>3219420</v>
      </c>
      <c r="BS60" s="97">
        <v>1235218</v>
      </c>
      <c r="BT60" s="97">
        <v>425128</v>
      </c>
      <c r="BU60" s="97">
        <v>4711605</v>
      </c>
      <c r="BV60" s="97">
        <v>1119221</v>
      </c>
      <c r="BW60" s="97">
        <v>10710592</v>
      </c>
      <c r="BX60" s="97">
        <v>0</v>
      </c>
      <c r="BY60" s="97">
        <v>0</v>
      </c>
      <c r="BZ60" s="97">
        <v>0</v>
      </c>
      <c r="CA60" s="97">
        <v>0</v>
      </c>
      <c r="CB60" s="97">
        <v>0</v>
      </c>
      <c r="CC60" s="97">
        <v>0</v>
      </c>
      <c r="CD60" s="97">
        <v>0</v>
      </c>
      <c r="CE60" s="97">
        <v>0</v>
      </c>
      <c r="CF60" s="97">
        <v>0</v>
      </c>
      <c r="CG60" s="97">
        <v>0</v>
      </c>
      <c r="CH60" s="97">
        <v>0</v>
      </c>
      <c r="CI60" s="97">
        <v>0</v>
      </c>
      <c r="CJ60" s="97">
        <v>0</v>
      </c>
      <c r="CK60" s="97">
        <v>0</v>
      </c>
      <c r="CL60" s="97">
        <v>0</v>
      </c>
      <c r="CM60" s="97">
        <v>0</v>
      </c>
      <c r="CN60" s="97">
        <v>0</v>
      </c>
      <c r="CO60" s="97">
        <v>0</v>
      </c>
      <c r="CP60" s="97">
        <v>0</v>
      </c>
      <c r="CQ60" s="97">
        <v>0</v>
      </c>
      <c r="CR60" s="97">
        <v>0</v>
      </c>
      <c r="CS60" s="97">
        <v>0</v>
      </c>
      <c r="CT60" s="97">
        <v>0</v>
      </c>
      <c r="CU60" s="97">
        <v>0</v>
      </c>
      <c r="CV60" s="97">
        <v>6673308</v>
      </c>
      <c r="CW60" s="97">
        <v>8539394</v>
      </c>
      <c r="CX60" s="97">
        <v>0</v>
      </c>
      <c r="CY60" s="97">
        <v>0</v>
      </c>
      <c r="CZ60" s="97">
        <v>2049019</v>
      </c>
      <c r="DA60" s="97">
        <v>17261721</v>
      </c>
      <c r="DB60" s="97">
        <v>995000</v>
      </c>
      <c r="DC60" s="97">
        <v>0</v>
      </c>
      <c r="DD60" s="97">
        <v>100000</v>
      </c>
      <c r="DE60" s="97">
        <v>30000</v>
      </c>
      <c r="DF60" s="97">
        <v>1517129</v>
      </c>
      <c r="DG60" s="97">
        <v>2642129</v>
      </c>
      <c r="DH60" s="97">
        <v>1893526</v>
      </c>
      <c r="DI60" s="97">
        <v>540796</v>
      </c>
      <c r="DJ60" s="97">
        <v>23377</v>
      </c>
      <c r="DK60" s="97">
        <v>74212</v>
      </c>
      <c r="DL60" s="97">
        <v>52583</v>
      </c>
      <c r="DM60" s="97">
        <v>2584494</v>
      </c>
      <c r="DN60" s="97">
        <v>0</v>
      </c>
      <c r="DO60" s="97">
        <v>0</v>
      </c>
      <c r="DP60" s="97">
        <v>0</v>
      </c>
      <c r="DQ60" s="97">
        <v>0</v>
      </c>
      <c r="DR60" s="97">
        <v>482591</v>
      </c>
      <c r="DS60" s="97">
        <v>482591</v>
      </c>
      <c r="DT60" s="97">
        <v>6399</v>
      </c>
      <c r="DU60" s="97">
        <v>19482</v>
      </c>
      <c r="DV60" s="97">
        <v>4145</v>
      </c>
      <c r="DW60" s="97">
        <v>20311</v>
      </c>
      <c r="DX60" s="97">
        <v>0</v>
      </c>
      <c r="DY60" s="97">
        <v>50337</v>
      </c>
      <c r="DZ60" s="97">
        <v>0</v>
      </c>
      <c r="EA60" s="97">
        <v>0</v>
      </c>
      <c r="EB60" s="97">
        <v>0</v>
      </c>
      <c r="EC60" s="97">
        <v>0</v>
      </c>
      <c r="ED60" s="97">
        <v>0</v>
      </c>
      <c r="EE60" s="97">
        <v>0</v>
      </c>
      <c r="EF60" s="97">
        <v>0</v>
      </c>
      <c r="EG60" s="97">
        <v>0</v>
      </c>
      <c r="EH60" s="97">
        <v>0</v>
      </c>
      <c r="EI60" s="97">
        <v>0</v>
      </c>
      <c r="EJ60" s="97">
        <v>2161368</v>
      </c>
      <c r="EK60" s="97">
        <v>2161368</v>
      </c>
      <c r="EL60" s="97">
        <v>29869355</v>
      </c>
      <c r="EM60" s="97">
        <v>15339780</v>
      </c>
      <c r="EN60" s="97">
        <v>675776</v>
      </c>
      <c r="EO60" s="97">
        <v>6491089</v>
      </c>
      <c r="EP60" s="97">
        <v>7381911</v>
      </c>
      <c r="EQ60" s="97">
        <v>59757911</v>
      </c>
      <c r="ER60" s="97">
        <v>2426670</v>
      </c>
      <c r="ES60" s="97">
        <v>345218</v>
      </c>
      <c r="ET60" s="97">
        <v>425128</v>
      </c>
      <c r="EU60" s="97">
        <v>4561605</v>
      </c>
      <c r="EV60" s="97">
        <v>501865</v>
      </c>
      <c r="EW60" s="97">
        <v>8260486</v>
      </c>
      <c r="EX60" s="97">
        <v>1100000</v>
      </c>
      <c r="EY60" s="97">
        <v>727000</v>
      </c>
      <c r="EZ60" s="97">
        <v>79770</v>
      </c>
      <c r="FA60" s="97">
        <v>34911</v>
      </c>
      <c r="FB60" s="97">
        <v>0</v>
      </c>
      <c r="FC60" s="97">
        <v>1941681</v>
      </c>
      <c r="FD60" s="97">
        <v>4762208</v>
      </c>
      <c r="FE60" s="97">
        <v>2496548</v>
      </c>
      <c r="FF60" s="97">
        <v>858631</v>
      </c>
      <c r="FG60" s="97">
        <v>3667383</v>
      </c>
      <c r="FH60" s="97">
        <v>0</v>
      </c>
      <c r="FI60" s="97">
        <v>11784770</v>
      </c>
      <c r="FJ60" s="97">
        <v>0</v>
      </c>
      <c r="FK60" s="97">
        <v>0</v>
      </c>
      <c r="FL60" s="97">
        <v>0</v>
      </c>
      <c r="FM60" s="97">
        <v>0</v>
      </c>
      <c r="FN60" s="97">
        <v>0</v>
      </c>
      <c r="FO60" s="97">
        <v>0</v>
      </c>
      <c r="FP60" s="97">
        <v>1357912</v>
      </c>
      <c r="FQ60" s="97">
        <v>393134</v>
      </c>
      <c r="FR60" s="97">
        <v>184155</v>
      </c>
      <c r="FS60" s="97">
        <v>229053</v>
      </c>
      <c r="FT60" s="97">
        <v>8107779</v>
      </c>
      <c r="FU60" s="97">
        <v>10272033</v>
      </c>
      <c r="FV60" s="97">
        <v>0</v>
      </c>
      <c r="FW60" s="97">
        <v>0</v>
      </c>
      <c r="FX60" s="97">
        <v>0</v>
      </c>
      <c r="FY60" s="97">
        <v>0</v>
      </c>
      <c r="FZ60" s="97">
        <v>0</v>
      </c>
      <c r="GA60" s="97">
        <v>0</v>
      </c>
      <c r="GB60" s="97">
        <v>0</v>
      </c>
      <c r="GC60" s="97">
        <v>362946</v>
      </c>
      <c r="GD60" s="97">
        <v>0</v>
      </c>
      <c r="GE60" s="97">
        <v>0</v>
      </c>
      <c r="GF60" s="97">
        <v>295366</v>
      </c>
      <c r="GG60" s="97">
        <v>658312</v>
      </c>
      <c r="GH60" s="97">
        <v>417052</v>
      </c>
      <c r="GI60" s="97">
        <v>241706</v>
      </c>
      <c r="GJ60" s="97">
        <v>138066</v>
      </c>
      <c r="GK60" s="97">
        <v>399996</v>
      </c>
      <c r="GL60" s="97">
        <v>0</v>
      </c>
      <c r="GM60" s="97">
        <v>1196820</v>
      </c>
      <c r="GN60" s="97">
        <v>1297993</v>
      </c>
      <c r="GO60" s="97">
        <v>995353</v>
      </c>
      <c r="GP60" s="97">
        <v>413265</v>
      </c>
      <c r="GQ60" s="97">
        <v>1655731</v>
      </c>
      <c r="GR60" s="97">
        <v>0</v>
      </c>
      <c r="GS60" s="97">
        <v>4362342</v>
      </c>
      <c r="GT60" s="97">
        <v>185196</v>
      </c>
      <c r="GU60" s="97">
        <v>114698</v>
      </c>
      <c r="GV60" s="97">
        <v>64654</v>
      </c>
      <c r="GW60" s="97">
        <v>743344</v>
      </c>
      <c r="GX60" s="97">
        <v>0</v>
      </c>
      <c r="GY60" s="97">
        <v>1107892</v>
      </c>
      <c r="GZ60" s="97">
        <v>1208641</v>
      </c>
      <c r="HA60" s="97">
        <v>181275</v>
      </c>
      <c r="HB60" s="97">
        <v>181263</v>
      </c>
      <c r="HC60" s="97">
        <v>236417</v>
      </c>
      <c r="HD60" s="97">
        <v>820365</v>
      </c>
      <c r="HE60" s="97">
        <v>2627961</v>
      </c>
      <c r="HF60" s="97">
        <v>0</v>
      </c>
      <c r="HG60" s="97">
        <v>0</v>
      </c>
      <c r="HH60" s="97">
        <v>0</v>
      </c>
      <c r="HI60" s="97">
        <v>0</v>
      </c>
      <c r="HJ60" s="97">
        <v>648967</v>
      </c>
      <c r="HK60" s="97">
        <v>648967</v>
      </c>
      <c r="HL60" s="97">
        <v>0</v>
      </c>
      <c r="HM60" s="97">
        <v>17358</v>
      </c>
      <c r="HN60" s="97">
        <v>0</v>
      </c>
      <c r="HO60" s="97">
        <v>5652</v>
      </c>
      <c r="HP60" s="97">
        <v>0</v>
      </c>
      <c r="HQ60" s="97">
        <v>23010</v>
      </c>
      <c r="HR60" s="97">
        <v>2706230</v>
      </c>
      <c r="HS60" s="97">
        <v>2052848</v>
      </c>
      <c r="HT60" s="97">
        <v>210235</v>
      </c>
      <c r="HU60" s="97">
        <v>1734928</v>
      </c>
      <c r="HV60" s="97">
        <v>2804519</v>
      </c>
      <c r="HW60" s="97">
        <v>9508760</v>
      </c>
      <c r="HX60" s="97">
        <v>0</v>
      </c>
      <c r="HY60" s="97">
        <v>0</v>
      </c>
      <c r="HZ60" s="97">
        <v>0</v>
      </c>
      <c r="IA60" s="97">
        <v>0</v>
      </c>
      <c r="IB60" s="97">
        <v>419035</v>
      </c>
      <c r="IC60" s="97">
        <v>419035</v>
      </c>
      <c r="ID60" s="97">
        <v>0</v>
      </c>
      <c r="IE60" s="97">
        <v>0</v>
      </c>
      <c r="IF60" s="97">
        <v>0</v>
      </c>
      <c r="IG60" s="97">
        <v>0</v>
      </c>
      <c r="IH60" s="97">
        <v>0</v>
      </c>
      <c r="II60" s="97">
        <v>0</v>
      </c>
      <c r="IJ60" s="97">
        <v>0</v>
      </c>
      <c r="IK60" s="97">
        <v>0</v>
      </c>
      <c r="IL60" s="97">
        <v>0</v>
      </c>
      <c r="IM60" s="97">
        <v>0</v>
      </c>
      <c r="IN60" s="97">
        <v>624797</v>
      </c>
      <c r="IO60" s="97">
        <v>624797</v>
      </c>
      <c r="IP60" s="97">
        <v>1680</v>
      </c>
      <c r="IQ60" s="97">
        <v>9330</v>
      </c>
      <c r="IR60" s="97">
        <v>15820</v>
      </c>
      <c r="IS60" s="97">
        <v>12204</v>
      </c>
      <c r="IT60" s="97">
        <v>1554472</v>
      </c>
      <c r="IU60" s="97">
        <v>1593506</v>
      </c>
      <c r="IV60" s="97">
        <v>0</v>
      </c>
      <c r="IW60" s="97">
        <v>0</v>
      </c>
      <c r="IX60" s="97">
        <v>0</v>
      </c>
      <c r="IY60" s="97">
        <v>0</v>
      </c>
      <c r="IZ60" s="97">
        <v>1301941</v>
      </c>
      <c r="JA60" s="97">
        <v>1301941</v>
      </c>
      <c r="JB60" s="97">
        <v>15463582</v>
      </c>
      <c r="JC60" s="97">
        <v>7937414</v>
      </c>
      <c r="JD60" s="97">
        <v>2570987</v>
      </c>
      <c r="JE60" s="97">
        <v>13281224</v>
      </c>
      <c r="JF60" s="97">
        <v>17079106</v>
      </c>
      <c r="JG60" s="97">
        <v>56332313</v>
      </c>
      <c r="JH60" s="97">
        <v>0</v>
      </c>
      <c r="JI60" s="97">
        <v>0</v>
      </c>
      <c r="JJ60" s="97">
        <v>0</v>
      </c>
      <c r="JK60" s="97">
        <v>0</v>
      </c>
      <c r="JL60" s="97">
        <v>0</v>
      </c>
      <c r="JM60" s="97">
        <v>0</v>
      </c>
      <c r="JN60" s="97">
        <v>15463582</v>
      </c>
      <c r="JO60" s="97">
        <v>7937414</v>
      </c>
      <c r="JP60" s="97">
        <v>2570987</v>
      </c>
      <c r="JQ60" s="97">
        <v>13281224</v>
      </c>
      <c r="JR60" s="97">
        <v>17079106</v>
      </c>
      <c r="JS60" s="97">
        <v>56332313</v>
      </c>
      <c r="JU60" s="5">
        <f t="shared" si="78"/>
        <v>18237979</v>
      </c>
      <c r="JV60" s="29">
        <f t="shared" si="79"/>
        <v>0</v>
      </c>
      <c r="JW60" s="5">
        <f t="shared" si="80"/>
        <v>5426700</v>
      </c>
      <c r="JX60" s="29">
        <f t="shared" si="81"/>
        <v>0</v>
      </c>
      <c r="JY60" s="5">
        <f t="shared" si="82"/>
        <v>200000</v>
      </c>
      <c r="JZ60" s="29">
        <f t="shared" si="83"/>
        <v>0</v>
      </c>
      <c r="KA60" s="5">
        <f t="shared" si="84"/>
        <v>10710592</v>
      </c>
      <c r="KB60" s="29">
        <f t="shared" si="85"/>
        <v>0</v>
      </c>
      <c r="KC60" s="5">
        <f t="shared" si="86"/>
        <v>0</v>
      </c>
      <c r="KD60" s="29">
        <f t="shared" si="87"/>
        <v>0</v>
      </c>
      <c r="KE60" s="5">
        <f t="shared" si="88"/>
        <v>0</v>
      </c>
      <c r="KF60" s="29">
        <f t="shared" si="89"/>
        <v>0</v>
      </c>
      <c r="KG60" s="5">
        <f t="shared" si="90"/>
        <v>0</v>
      </c>
      <c r="KH60" s="29">
        <f t="shared" si="91"/>
        <v>0</v>
      </c>
      <c r="KI60" s="5">
        <f t="shared" si="92"/>
        <v>0</v>
      </c>
      <c r="KJ60" s="29">
        <f t="shared" si="93"/>
        <v>0</v>
      </c>
      <c r="KK60" s="5">
        <f t="shared" si="94"/>
        <v>17261721</v>
      </c>
      <c r="KL60" s="29">
        <f t="shared" si="95"/>
        <v>0</v>
      </c>
      <c r="KM60" s="5">
        <f t="shared" si="96"/>
        <v>2642129</v>
      </c>
      <c r="KN60" s="29">
        <f t="shared" si="97"/>
        <v>0</v>
      </c>
      <c r="KO60" s="5">
        <f t="shared" si="98"/>
        <v>2584494</v>
      </c>
      <c r="KP60" s="29">
        <f t="shared" si="99"/>
        <v>0</v>
      </c>
      <c r="KQ60" s="5">
        <f t="shared" si="100"/>
        <v>482591</v>
      </c>
      <c r="KR60" s="29">
        <f t="shared" si="101"/>
        <v>0</v>
      </c>
      <c r="KS60" s="5">
        <f t="shared" si="102"/>
        <v>50337</v>
      </c>
      <c r="KT60" s="29">
        <f t="shared" si="103"/>
        <v>0</v>
      </c>
      <c r="KU60" s="5">
        <f t="shared" si="104"/>
        <v>0</v>
      </c>
      <c r="KV60" s="29">
        <f t="shared" si="105"/>
        <v>0</v>
      </c>
      <c r="KW60" s="5">
        <f t="shared" si="106"/>
        <v>2161368</v>
      </c>
      <c r="KX60" s="29">
        <f t="shared" si="107"/>
        <v>0</v>
      </c>
      <c r="KY60" s="5">
        <f t="shared" si="108"/>
        <v>59757911</v>
      </c>
      <c r="KZ60" s="29">
        <f t="shared" si="109"/>
        <v>0</v>
      </c>
      <c r="LA60" s="5">
        <f t="shared" si="110"/>
        <v>8260486</v>
      </c>
      <c r="LB60" s="29">
        <f t="shared" si="111"/>
        <v>0</v>
      </c>
      <c r="LC60" s="5">
        <f t="shared" si="112"/>
        <v>1941681</v>
      </c>
      <c r="LD60" s="29">
        <f t="shared" si="113"/>
        <v>0</v>
      </c>
      <c r="LE60" s="5">
        <f t="shared" si="114"/>
        <v>11784770</v>
      </c>
      <c r="LF60" s="29">
        <f t="shared" si="115"/>
        <v>0</v>
      </c>
      <c r="LG60" s="5">
        <f t="shared" si="116"/>
        <v>0</v>
      </c>
      <c r="LH60" s="29">
        <f t="shared" si="117"/>
        <v>0</v>
      </c>
      <c r="LI60" s="5">
        <f t="shared" si="118"/>
        <v>10272033</v>
      </c>
      <c r="LJ60" s="29">
        <f t="shared" si="119"/>
        <v>0</v>
      </c>
      <c r="LK60" s="5">
        <f t="shared" si="120"/>
        <v>0</v>
      </c>
      <c r="LL60" s="29">
        <f t="shared" si="121"/>
        <v>0</v>
      </c>
      <c r="LM60" s="5">
        <f t="shared" si="122"/>
        <v>658312</v>
      </c>
      <c r="LN60" s="29">
        <f t="shared" si="123"/>
        <v>0</v>
      </c>
      <c r="LO60" s="5">
        <f t="shared" si="124"/>
        <v>1196820</v>
      </c>
      <c r="LP60" s="29">
        <f t="shared" si="125"/>
        <v>0</v>
      </c>
      <c r="LQ60" s="5">
        <f t="shared" si="126"/>
        <v>4362342</v>
      </c>
      <c r="LR60" s="29">
        <f t="shared" si="127"/>
        <v>0</v>
      </c>
      <c r="LS60" s="5">
        <f t="shared" si="128"/>
        <v>1107892</v>
      </c>
      <c r="LT60" s="29">
        <f t="shared" si="129"/>
        <v>0</v>
      </c>
      <c r="LU60" s="5">
        <f t="shared" si="130"/>
        <v>2627961</v>
      </c>
      <c r="LV60" s="29">
        <f t="shared" si="131"/>
        <v>0</v>
      </c>
      <c r="LW60" s="5">
        <f t="shared" si="132"/>
        <v>648967</v>
      </c>
      <c r="LX60" s="29">
        <f t="shared" si="133"/>
        <v>0</v>
      </c>
      <c r="LY60" s="5">
        <f t="shared" si="134"/>
        <v>23010</v>
      </c>
      <c r="LZ60" s="29">
        <f t="shared" si="135"/>
        <v>0</v>
      </c>
      <c r="MA60" s="5">
        <f t="shared" si="136"/>
        <v>9508760</v>
      </c>
      <c r="MB60" s="29">
        <f t="shared" si="137"/>
        <v>0</v>
      </c>
      <c r="MC60" s="5">
        <f t="shared" si="138"/>
        <v>419035</v>
      </c>
      <c r="MD60" s="29">
        <f t="shared" si="139"/>
        <v>0</v>
      </c>
      <c r="ME60" s="5">
        <f t="shared" si="140"/>
        <v>0</v>
      </c>
      <c r="MF60" s="29">
        <f t="shared" si="141"/>
        <v>0</v>
      </c>
      <c r="MG60" s="5">
        <f t="shared" si="142"/>
        <v>624797</v>
      </c>
      <c r="MH60" s="29">
        <f t="shared" si="143"/>
        <v>0</v>
      </c>
      <c r="MI60" s="5">
        <f t="shared" si="144"/>
        <v>1593506</v>
      </c>
      <c r="MJ60" s="29">
        <f t="shared" si="145"/>
        <v>0</v>
      </c>
      <c r="MK60" s="5">
        <f t="shared" si="146"/>
        <v>1301941</v>
      </c>
      <c r="ML60" s="29">
        <f t="shared" si="147"/>
        <v>0</v>
      </c>
      <c r="MM60" s="5">
        <f t="shared" si="148"/>
        <v>56332313</v>
      </c>
      <c r="MN60" s="29">
        <f t="shared" si="149"/>
        <v>0</v>
      </c>
      <c r="MO60" s="5">
        <f t="shared" si="150"/>
        <v>0</v>
      </c>
      <c r="MP60" s="29">
        <f t="shared" si="151"/>
        <v>0</v>
      </c>
      <c r="MQ60" s="5">
        <f t="shared" si="152"/>
        <v>56332313</v>
      </c>
      <c r="MR60" s="29">
        <f t="shared" si="153"/>
        <v>0</v>
      </c>
      <c r="MT60" s="5">
        <f t="shared" si="76"/>
        <v>0</v>
      </c>
      <c r="MV60" s="4">
        <f t="shared" si="77"/>
        <v>0</v>
      </c>
    </row>
    <row r="61" spans="1:360" x14ac:dyDescent="0.15">
      <c r="A61" s="157" t="s">
        <v>339</v>
      </c>
      <c r="B61" s="28" t="s">
        <v>407</v>
      </c>
      <c r="C61" s="47">
        <v>227216</v>
      </c>
      <c r="D61" s="48">
        <v>2012</v>
      </c>
      <c r="E61" s="49">
        <v>1</v>
      </c>
      <c r="F61" s="49">
        <v>11</v>
      </c>
      <c r="G61" s="50">
        <v>15244</v>
      </c>
      <c r="H61" s="50">
        <v>16336</v>
      </c>
      <c r="I61" s="51">
        <v>572352313</v>
      </c>
      <c r="J61" s="51"/>
      <c r="K61" s="51">
        <v>785000</v>
      </c>
      <c r="L61" s="51"/>
      <c r="M61" s="51">
        <v>15106928</v>
      </c>
      <c r="N61" s="51"/>
      <c r="O61" s="51">
        <v>48200000</v>
      </c>
      <c r="P61" s="51"/>
      <c r="Q61" s="51">
        <v>365714732</v>
      </c>
      <c r="R61" s="51"/>
      <c r="S61" s="51">
        <v>499253205</v>
      </c>
      <c r="T61" s="51"/>
      <c r="U61" s="51">
        <v>15902</v>
      </c>
      <c r="V61" s="51"/>
      <c r="W61" s="51">
        <v>25292</v>
      </c>
      <c r="X61" s="51"/>
      <c r="Y61" s="51">
        <v>19574</v>
      </c>
      <c r="Z61" s="51"/>
      <c r="AA61" s="51">
        <v>29860</v>
      </c>
      <c r="AB61" s="51"/>
      <c r="AC61" s="72">
        <v>6</v>
      </c>
      <c r="AD61" s="72">
        <v>10</v>
      </c>
      <c r="AE61" s="72">
        <v>0</v>
      </c>
      <c r="AF61" s="29">
        <v>1873290</v>
      </c>
      <c r="AG61" s="29">
        <v>1745947</v>
      </c>
      <c r="AH61" s="29">
        <v>161325</v>
      </c>
      <c r="AI61" s="29">
        <v>97468</v>
      </c>
      <c r="AJ61" s="29">
        <v>358572</v>
      </c>
      <c r="AK61" s="73">
        <v>4</v>
      </c>
      <c r="AL61" s="29">
        <v>313751</v>
      </c>
      <c r="AM61" s="73">
        <v>4</v>
      </c>
      <c r="AN61" s="29">
        <v>99085</v>
      </c>
      <c r="AO61" s="73">
        <v>8</v>
      </c>
      <c r="AP61" s="29">
        <v>92892</v>
      </c>
      <c r="AQ61" s="73">
        <v>8</v>
      </c>
      <c r="AR61" s="29">
        <v>128714</v>
      </c>
      <c r="AS61" s="73">
        <v>14</v>
      </c>
      <c r="AT61" s="29">
        <v>112625</v>
      </c>
      <c r="AU61" s="73">
        <v>16</v>
      </c>
      <c r="AV61" s="29">
        <v>58059</v>
      </c>
      <c r="AW61" s="73">
        <v>11</v>
      </c>
      <c r="AX61" s="29">
        <v>49126</v>
      </c>
      <c r="AY61" s="73">
        <v>13</v>
      </c>
      <c r="AZ61" s="97">
        <v>1326340</v>
      </c>
      <c r="BA61" s="97">
        <v>224717</v>
      </c>
      <c r="BB61" s="97">
        <v>19868</v>
      </c>
      <c r="BC61" s="97">
        <v>20841</v>
      </c>
      <c r="BD61" s="97">
        <v>22046</v>
      </c>
      <c r="BE61" s="97">
        <v>1613812</v>
      </c>
      <c r="BF61" s="97">
        <v>0</v>
      </c>
      <c r="BG61" s="97">
        <v>0</v>
      </c>
      <c r="BH61" s="97">
        <v>0</v>
      </c>
      <c r="BI61" s="97">
        <v>0</v>
      </c>
      <c r="BJ61" s="97">
        <v>9434446</v>
      </c>
      <c r="BK61" s="97">
        <v>9434446</v>
      </c>
      <c r="BL61" s="97">
        <v>1100000</v>
      </c>
      <c r="BM61" s="97">
        <v>210000</v>
      </c>
      <c r="BN61" s="97">
        <v>46500</v>
      </c>
      <c r="BO61" s="97">
        <v>0</v>
      </c>
      <c r="BP61" s="97">
        <v>0</v>
      </c>
      <c r="BQ61" s="97">
        <v>1356500</v>
      </c>
      <c r="BR61" s="97">
        <v>613444</v>
      </c>
      <c r="BS61" s="97">
        <v>26899</v>
      </c>
      <c r="BT61" s="97">
        <v>22102</v>
      </c>
      <c r="BU61" s="97">
        <v>79071</v>
      </c>
      <c r="BV61" s="97">
        <v>2089142</v>
      </c>
      <c r="BW61" s="97">
        <v>2830658</v>
      </c>
      <c r="BX61" s="97">
        <v>0</v>
      </c>
      <c r="BY61" s="97">
        <v>0</v>
      </c>
      <c r="BZ61" s="97">
        <v>0</v>
      </c>
      <c r="CA61" s="97">
        <v>0</v>
      </c>
      <c r="CB61" s="97">
        <v>0</v>
      </c>
      <c r="CC61" s="97">
        <v>0</v>
      </c>
      <c r="CD61" s="97">
        <v>0</v>
      </c>
      <c r="CE61" s="97">
        <v>0</v>
      </c>
      <c r="CF61" s="97">
        <v>0</v>
      </c>
      <c r="CG61" s="97">
        <v>0</v>
      </c>
      <c r="CH61" s="97">
        <v>0</v>
      </c>
      <c r="CI61" s="97">
        <v>0</v>
      </c>
      <c r="CJ61" s="97">
        <v>0</v>
      </c>
      <c r="CK61" s="97">
        <v>0</v>
      </c>
      <c r="CL61" s="97">
        <v>0</v>
      </c>
      <c r="CM61" s="97">
        <v>0</v>
      </c>
      <c r="CN61" s="97">
        <v>24581</v>
      </c>
      <c r="CO61" s="97">
        <v>24581</v>
      </c>
      <c r="CP61" s="97">
        <v>0</v>
      </c>
      <c r="CQ61" s="97">
        <v>0</v>
      </c>
      <c r="CR61" s="97">
        <v>0</v>
      </c>
      <c r="CS61" s="97">
        <v>0</v>
      </c>
      <c r="CT61" s="97">
        <v>0</v>
      </c>
      <c r="CU61" s="97">
        <v>0</v>
      </c>
      <c r="CV61" s="97">
        <v>0</v>
      </c>
      <c r="CW61" s="97">
        <v>0</v>
      </c>
      <c r="CX61" s="97">
        <v>0</v>
      </c>
      <c r="CY61" s="97">
        <v>0</v>
      </c>
      <c r="CZ61" s="97">
        <v>973206</v>
      </c>
      <c r="DA61" s="97">
        <v>973206</v>
      </c>
      <c r="DB61" s="97">
        <v>0</v>
      </c>
      <c r="DC61" s="97">
        <v>0</v>
      </c>
      <c r="DD61" s="97">
        <v>0</v>
      </c>
      <c r="DE61" s="97">
        <v>0</v>
      </c>
      <c r="DF61" s="97">
        <v>0</v>
      </c>
      <c r="DG61" s="97">
        <v>0</v>
      </c>
      <c r="DH61" s="97">
        <v>392427</v>
      </c>
      <c r="DI61" s="97">
        <v>62853</v>
      </c>
      <c r="DJ61" s="97">
        <v>16580</v>
      </c>
      <c r="DK61" s="97">
        <v>23534</v>
      </c>
      <c r="DL61" s="97">
        <v>345159</v>
      </c>
      <c r="DM61" s="97">
        <v>840553</v>
      </c>
      <c r="DN61" s="97">
        <v>0</v>
      </c>
      <c r="DO61" s="97">
        <v>0</v>
      </c>
      <c r="DP61" s="97">
        <v>0</v>
      </c>
      <c r="DQ61" s="97">
        <v>4020</v>
      </c>
      <c r="DR61" s="97">
        <v>1161394</v>
      </c>
      <c r="DS61" s="97">
        <v>1165414</v>
      </c>
      <c r="DT61" s="97">
        <v>46570</v>
      </c>
      <c r="DU61" s="97">
        <v>30477</v>
      </c>
      <c r="DV61" s="97">
        <v>9466</v>
      </c>
      <c r="DW61" s="97">
        <v>308514</v>
      </c>
      <c r="DX61" s="97">
        <v>0</v>
      </c>
      <c r="DY61" s="97">
        <v>395027</v>
      </c>
      <c r="DZ61" s="97">
        <v>1324</v>
      </c>
      <c r="EA61" s="97">
        <v>0</v>
      </c>
      <c r="EB61" s="97">
        <v>0</v>
      </c>
      <c r="EC61" s="97">
        <v>3794</v>
      </c>
      <c r="ED61" s="97">
        <v>1165</v>
      </c>
      <c r="EE61" s="97">
        <v>6283</v>
      </c>
      <c r="EF61" s="97">
        <v>28784</v>
      </c>
      <c r="EG61" s="97">
        <v>4428</v>
      </c>
      <c r="EH61" s="97">
        <v>5166</v>
      </c>
      <c r="EI61" s="97">
        <v>45897</v>
      </c>
      <c r="EJ61" s="97">
        <v>304886</v>
      </c>
      <c r="EK61" s="97">
        <v>389161</v>
      </c>
      <c r="EL61" s="97">
        <v>3508889</v>
      </c>
      <c r="EM61" s="97">
        <v>559374</v>
      </c>
      <c r="EN61" s="97">
        <v>119682</v>
      </c>
      <c r="EO61" s="97">
        <v>485671</v>
      </c>
      <c r="EP61" s="97">
        <v>14356025</v>
      </c>
      <c r="EQ61" s="97">
        <v>19029641</v>
      </c>
      <c r="ER61" s="97">
        <v>1361505</v>
      </c>
      <c r="ES61" s="97">
        <v>272076</v>
      </c>
      <c r="ET61" s="97">
        <v>307510</v>
      </c>
      <c r="EU61" s="97">
        <v>1678146</v>
      </c>
      <c r="EV61" s="97">
        <v>41434</v>
      </c>
      <c r="EW61" s="97">
        <v>3660671</v>
      </c>
      <c r="EX61" s="97">
        <v>550000</v>
      </c>
      <c r="EY61" s="97">
        <v>222181</v>
      </c>
      <c r="EZ61" s="97">
        <v>0</v>
      </c>
      <c r="FA61" s="97">
        <v>0</v>
      </c>
      <c r="FB61" s="97">
        <v>0</v>
      </c>
      <c r="FC61" s="97">
        <v>772181</v>
      </c>
      <c r="FD61" s="97">
        <v>1896476</v>
      </c>
      <c r="FE61" s="97">
        <v>781849</v>
      </c>
      <c r="FF61" s="97">
        <v>437418</v>
      </c>
      <c r="FG61" s="97">
        <v>1044878</v>
      </c>
      <c r="FH61" s="97">
        <v>278178</v>
      </c>
      <c r="FI61" s="97">
        <v>4438799</v>
      </c>
      <c r="FJ61" s="97">
        <v>0</v>
      </c>
      <c r="FK61" s="97">
        <v>0</v>
      </c>
      <c r="FL61" s="97">
        <v>0</v>
      </c>
      <c r="FM61" s="97">
        <v>0</v>
      </c>
      <c r="FN61" s="97">
        <v>0</v>
      </c>
      <c r="FO61" s="97">
        <v>0</v>
      </c>
      <c r="FP61" s="97">
        <v>320590</v>
      </c>
      <c r="FQ61" s="97">
        <v>120811</v>
      </c>
      <c r="FR61" s="97">
        <v>55914</v>
      </c>
      <c r="FS61" s="97">
        <v>278463</v>
      </c>
      <c r="FT61" s="97">
        <v>3445899</v>
      </c>
      <c r="FU61" s="97">
        <v>4221677</v>
      </c>
      <c r="FV61" s="97">
        <v>0</v>
      </c>
      <c r="FW61" s="97">
        <v>0</v>
      </c>
      <c r="FX61" s="97">
        <v>0</v>
      </c>
      <c r="FY61" s="97">
        <v>0</v>
      </c>
      <c r="FZ61" s="97">
        <v>0</v>
      </c>
      <c r="GA61" s="97">
        <v>0</v>
      </c>
      <c r="GB61" s="97">
        <v>0</v>
      </c>
      <c r="GC61" s="97">
        <v>0</v>
      </c>
      <c r="GD61" s="97">
        <v>137500</v>
      </c>
      <c r="GE61" s="97">
        <v>0</v>
      </c>
      <c r="GF61" s="97">
        <v>0</v>
      </c>
      <c r="GG61" s="97">
        <v>137500</v>
      </c>
      <c r="GH61" s="97">
        <v>115758</v>
      </c>
      <c r="GI61" s="97">
        <v>37199</v>
      </c>
      <c r="GJ61" s="97">
        <v>40871</v>
      </c>
      <c r="GK61" s="97">
        <v>64965</v>
      </c>
      <c r="GL61" s="97">
        <v>17</v>
      </c>
      <c r="GM61" s="97">
        <v>258810</v>
      </c>
      <c r="GN61" s="97">
        <v>635782</v>
      </c>
      <c r="GO61" s="97">
        <v>175621</v>
      </c>
      <c r="GP61" s="97">
        <v>174845</v>
      </c>
      <c r="GQ61" s="97">
        <v>644159</v>
      </c>
      <c r="GR61" s="97">
        <v>22291</v>
      </c>
      <c r="GS61" s="97">
        <v>1652698</v>
      </c>
      <c r="GT61" s="97">
        <v>279019</v>
      </c>
      <c r="GU61" s="97">
        <v>32444</v>
      </c>
      <c r="GV61" s="97">
        <v>25981</v>
      </c>
      <c r="GW61" s="97">
        <v>162052</v>
      </c>
      <c r="GX61" s="97">
        <v>0</v>
      </c>
      <c r="GY61" s="97">
        <v>499496</v>
      </c>
      <c r="GZ61" s="97">
        <v>587669</v>
      </c>
      <c r="HA61" s="97">
        <v>150359</v>
      </c>
      <c r="HB61" s="97">
        <v>68811</v>
      </c>
      <c r="HC61" s="97">
        <v>65263</v>
      </c>
      <c r="HD61" s="97">
        <v>123853</v>
      </c>
      <c r="HE61" s="97">
        <v>995955</v>
      </c>
      <c r="HF61" s="97">
        <v>61676</v>
      </c>
      <c r="HG61" s="97">
        <v>18953</v>
      </c>
      <c r="HH61" s="97">
        <v>11223</v>
      </c>
      <c r="HI61" s="97">
        <v>15608</v>
      </c>
      <c r="HJ61" s="97">
        <v>545331</v>
      </c>
      <c r="HK61" s="97">
        <v>652791</v>
      </c>
      <c r="HL61" s="97">
        <v>11969</v>
      </c>
      <c r="HM61" s="97">
        <v>16190</v>
      </c>
      <c r="HN61" s="97">
        <v>4653</v>
      </c>
      <c r="HO61" s="97">
        <v>87516</v>
      </c>
      <c r="HP61" s="97">
        <v>0</v>
      </c>
      <c r="HQ61" s="97">
        <v>120328</v>
      </c>
      <c r="HR61" s="97">
        <v>5831282</v>
      </c>
      <c r="HS61" s="97">
        <v>18497</v>
      </c>
      <c r="HT61" s="97">
        <v>21335</v>
      </c>
      <c r="HU61" s="97">
        <v>56442</v>
      </c>
      <c r="HV61" s="97">
        <v>879879</v>
      </c>
      <c r="HW61" s="97">
        <v>6807435</v>
      </c>
      <c r="HX61" s="97">
        <v>0</v>
      </c>
      <c r="HY61" s="97">
        <v>9145</v>
      </c>
      <c r="HZ61" s="97">
        <v>9145</v>
      </c>
      <c r="IA61" s="97">
        <v>0</v>
      </c>
      <c r="IB61" s="97">
        <v>45714</v>
      </c>
      <c r="IC61" s="97">
        <v>64004</v>
      </c>
      <c r="ID61" s="97">
        <v>0</v>
      </c>
      <c r="IE61" s="97">
        <v>0</v>
      </c>
      <c r="IF61" s="97">
        <v>0</v>
      </c>
      <c r="IG61" s="97">
        <v>0</v>
      </c>
      <c r="IH61" s="97">
        <v>0</v>
      </c>
      <c r="II61" s="97">
        <v>0</v>
      </c>
      <c r="IJ61" s="97">
        <v>25424</v>
      </c>
      <c r="IK61" s="97">
        <v>60</v>
      </c>
      <c r="IL61" s="97">
        <v>3125</v>
      </c>
      <c r="IM61" s="97">
        <v>34102</v>
      </c>
      <c r="IN61" s="97">
        <v>326914</v>
      </c>
      <c r="IO61" s="97">
        <v>389625</v>
      </c>
      <c r="IP61" s="97">
        <v>3240</v>
      </c>
      <c r="IQ61" s="97">
        <v>590</v>
      </c>
      <c r="IR61" s="97">
        <v>2353</v>
      </c>
      <c r="IS61" s="97">
        <v>4915</v>
      </c>
      <c r="IT61" s="97">
        <v>94251</v>
      </c>
      <c r="IU61" s="97">
        <v>105349</v>
      </c>
      <c r="IV61" s="97">
        <v>323044</v>
      </c>
      <c r="IW61" s="97">
        <v>215975</v>
      </c>
      <c r="IX61" s="97">
        <v>112235</v>
      </c>
      <c r="IY61" s="97">
        <v>114686</v>
      </c>
      <c r="IZ61" s="97">
        <v>999217</v>
      </c>
      <c r="JA61" s="97">
        <v>1765157</v>
      </c>
      <c r="JB61" s="97">
        <v>12003434</v>
      </c>
      <c r="JC61" s="97">
        <v>2071950</v>
      </c>
      <c r="JD61" s="97">
        <v>1412919</v>
      </c>
      <c r="JE61" s="97">
        <v>4251195</v>
      </c>
      <c r="JF61" s="97">
        <v>6802978</v>
      </c>
      <c r="JG61" s="97">
        <v>26542476</v>
      </c>
      <c r="JH61" s="97">
        <v>0</v>
      </c>
      <c r="JI61" s="97">
        <v>0</v>
      </c>
      <c r="JJ61" s="97">
        <v>0</v>
      </c>
      <c r="JK61" s="97">
        <v>0</v>
      </c>
      <c r="JL61" s="97">
        <v>0</v>
      </c>
      <c r="JM61" s="97">
        <v>0</v>
      </c>
      <c r="JN61" s="97">
        <v>12003434</v>
      </c>
      <c r="JO61" s="97">
        <v>2071950</v>
      </c>
      <c r="JP61" s="97">
        <v>1412919</v>
      </c>
      <c r="JQ61" s="97">
        <v>4251195</v>
      </c>
      <c r="JR61" s="97">
        <v>6802978</v>
      </c>
      <c r="JS61" s="97">
        <v>26542476</v>
      </c>
      <c r="JU61" s="5">
        <f t="shared" si="78"/>
        <v>1613812</v>
      </c>
      <c r="JV61" s="29">
        <f t="shared" si="79"/>
        <v>0</v>
      </c>
      <c r="JW61" s="5">
        <f t="shared" si="80"/>
        <v>9434446</v>
      </c>
      <c r="JX61" s="29">
        <f t="shared" si="81"/>
        <v>0</v>
      </c>
      <c r="JY61" s="5">
        <f t="shared" si="82"/>
        <v>1356500</v>
      </c>
      <c r="JZ61" s="29">
        <f t="shared" si="83"/>
        <v>0</v>
      </c>
      <c r="KA61" s="5">
        <f t="shared" si="84"/>
        <v>2830658</v>
      </c>
      <c r="KB61" s="29">
        <f t="shared" si="85"/>
        <v>0</v>
      </c>
      <c r="KC61" s="5">
        <f t="shared" si="86"/>
        <v>0</v>
      </c>
      <c r="KD61" s="29">
        <f t="shared" si="87"/>
        <v>0</v>
      </c>
      <c r="KE61" s="5">
        <f t="shared" si="88"/>
        <v>0</v>
      </c>
      <c r="KF61" s="29">
        <f t="shared" si="89"/>
        <v>0</v>
      </c>
      <c r="KG61" s="5">
        <f t="shared" si="90"/>
        <v>24581</v>
      </c>
      <c r="KH61" s="29">
        <f t="shared" si="91"/>
        <v>0</v>
      </c>
      <c r="KI61" s="5">
        <f t="shared" si="92"/>
        <v>0</v>
      </c>
      <c r="KJ61" s="29">
        <f t="shared" si="93"/>
        <v>0</v>
      </c>
      <c r="KK61" s="5">
        <f t="shared" si="94"/>
        <v>973206</v>
      </c>
      <c r="KL61" s="29">
        <f t="shared" si="95"/>
        <v>0</v>
      </c>
      <c r="KM61" s="5">
        <f t="shared" si="96"/>
        <v>0</v>
      </c>
      <c r="KN61" s="29">
        <f t="shared" si="97"/>
        <v>0</v>
      </c>
      <c r="KO61" s="5">
        <f t="shared" si="98"/>
        <v>840553</v>
      </c>
      <c r="KP61" s="29">
        <f t="shared" si="99"/>
        <v>0</v>
      </c>
      <c r="KQ61" s="5">
        <f t="shared" si="100"/>
        <v>1165414</v>
      </c>
      <c r="KR61" s="29">
        <f t="shared" si="101"/>
        <v>0</v>
      </c>
      <c r="KS61" s="5">
        <f t="shared" si="102"/>
        <v>395027</v>
      </c>
      <c r="KT61" s="29">
        <f t="shared" si="103"/>
        <v>0</v>
      </c>
      <c r="KU61" s="5">
        <f t="shared" si="104"/>
        <v>6283</v>
      </c>
      <c r="KV61" s="29">
        <f t="shared" si="105"/>
        <v>0</v>
      </c>
      <c r="KW61" s="5">
        <f t="shared" si="106"/>
        <v>389161</v>
      </c>
      <c r="KX61" s="29">
        <f t="shared" si="107"/>
        <v>0</v>
      </c>
      <c r="KY61" s="5">
        <f t="shared" si="108"/>
        <v>19029641</v>
      </c>
      <c r="KZ61" s="29">
        <f t="shared" si="109"/>
        <v>0</v>
      </c>
      <c r="LA61" s="5">
        <f t="shared" si="110"/>
        <v>3660671</v>
      </c>
      <c r="LB61" s="29">
        <f t="shared" si="111"/>
        <v>0</v>
      </c>
      <c r="LC61" s="5">
        <f t="shared" si="112"/>
        <v>772181</v>
      </c>
      <c r="LD61" s="29">
        <f t="shared" si="113"/>
        <v>0</v>
      </c>
      <c r="LE61" s="5">
        <f t="shared" si="114"/>
        <v>4438799</v>
      </c>
      <c r="LF61" s="29">
        <f t="shared" si="115"/>
        <v>0</v>
      </c>
      <c r="LG61" s="5">
        <f t="shared" si="116"/>
        <v>0</v>
      </c>
      <c r="LH61" s="29">
        <f t="shared" si="117"/>
        <v>0</v>
      </c>
      <c r="LI61" s="5">
        <f t="shared" si="118"/>
        <v>4221677</v>
      </c>
      <c r="LJ61" s="29">
        <f t="shared" si="119"/>
        <v>0</v>
      </c>
      <c r="LK61" s="5">
        <f t="shared" si="120"/>
        <v>0</v>
      </c>
      <c r="LL61" s="29">
        <f t="shared" si="121"/>
        <v>0</v>
      </c>
      <c r="LM61" s="5">
        <f t="shared" si="122"/>
        <v>137500</v>
      </c>
      <c r="LN61" s="29">
        <f t="shared" si="123"/>
        <v>0</v>
      </c>
      <c r="LO61" s="5">
        <f t="shared" si="124"/>
        <v>258810</v>
      </c>
      <c r="LP61" s="29">
        <f t="shared" si="125"/>
        <v>0</v>
      </c>
      <c r="LQ61" s="5">
        <f t="shared" si="126"/>
        <v>1652698</v>
      </c>
      <c r="LR61" s="29">
        <f t="shared" si="127"/>
        <v>0</v>
      </c>
      <c r="LS61" s="5">
        <f t="shared" si="128"/>
        <v>499496</v>
      </c>
      <c r="LT61" s="29">
        <f t="shared" si="129"/>
        <v>0</v>
      </c>
      <c r="LU61" s="5">
        <f t="shared" si="130"/>
        <v>995955</v>
      </c>
      <c r="LV61" s="29">
        <f t="shared" si="131"/>
        <v>0</v>
      </c>
      <c r="LW61" s="5">
        <f t="shared" si="132"/>
        <v>652791</v>
      </c>
      <c r="LX61" s="29">
        <f t="shared" si="133"/>
        <v>0</v>
      </c>
      <c r="LY61" s="5">
        <f t="shared" si="134"/>
        <v>120328</v>
      </c>
      <c r="LZ61" s="29">
        <f t="shared" si="135"/>
        <v>0</v>
      </c>
      <c r="MA61" s="5">
        <f t="shared" si="136"/>
        <v>6807435</v>
      </c>
      <c r="MB61" s="29">
        <f t="shared" si="137"/>
        <v>0</v>
      </c>
      <c r="MC61" s="5">
        <f t="shared" si="138"/>
        <v>64004</v>
      </c>
      <c r="MD61" s="29">
        <f t="shared" si="139"/>
        <v>0</v>
      </c>
      <c r="ME61" s="5">
        <f t="shared" si="140"/>
        <v>0</v>
      </c>
      <c r="MF61" s="29">
        <f t="shared" si="141"/>
        <v>0</v>
      </c>
      <c r="MG61" s="5">
        <f t="shared" si="142"/>
        <v>389625</v>
      </c>
      <c r="MH61" s="29">
        <f t="shared" si="143"/>
        <v>0</v>
      </c>
      <c r="MI61" s="5">
        <f t="shared" si="144"/>
        <v>105349</v>
      </c>
      <c r="MJ61" s="29">
        <f t="shared" si="145"/>
        <v>0</v>
      </c>
      <c r="MK61" s="5">
        <f t="shared" si="146"/>
        <v>1765157</v>
      </c>
      <c r="ML61" s="29">
        <f t="shared" si="147"/>
        <v>0</v>
      </c>
      <c r="MM61" s="5">
        <f t="shared" si="148"/>
        <v>26542476</v>
      </c>
      <c r="MN61" s="29">
        <f t="shared" si="149"/>
        <v>0</v>
      </c>
      <c r="MO61" s="5">
        <f t="shared" si="150"/>
        <v>0</v>
      </c>
      <c r="MP61" s="29">
        <f t="shared" si="151"/>
        <v>0</v>
      </c>
      <c r="MQ61" s="5">
        <f t="shared" si="152"/>
        <v>26542476</v>
      </c>
      <c r="MR61" s="29">
        <f t="shared" si="153"/>
        <v>0</v>
      </c>
      <c r="MT61" s="5">
        <f t="shared" si="76"/>
        <v>0</v>
      </c>
      <c r="MV61" s="4">
        <f t="shared" si="77"/>
        <v>0</v>
      </c>
    </row>
    <row r="62" spans="1:360" x14ac:dyDescent="0.15">
      <c r="A62" s="159" t="s">
        <v>329</v>
      </c>
      <c r="B62" s="28" t="s">
        <v>406</v>
      </c>
      <c r="C62" s="48">
        <v>147703</v>
      </c>
      <c r="D62" s="48">
        <v>2012</v>
      </c>
      <c r="E62" s="49">
        <v>1</v>
      </c>
      <c r="F62" s="49">
        <v>9</v>
      </c>
      <c r="G62" s="50">
        <v>7637</v>
      </c>
      <c r="H62" s="53">
        <v>7585</v>
      </c>
      <c r="I62" s="51">
        <v>498020597</v>
      </c>
      <c r="J62" s="51"/>
      <c r="K62" s="51">
        <v>3095270</v>
      </c>
      <c r="L62" s="51"/>
      <c r="M62" s="51">
        <v>7172756</v>
      </c>
      <c r="N62" s="51"/>
      <c r="O62" s="51">
        <v>28900000</v>
      </c>
      <c r="P62" s="51"/>
      <c r="Q62" s="51">
        <v>385991720</v>
      </c>
      <c r="R62" s="51"/>
      <c r="S62" s="51">
        <v>495155253</v>
      </c>
      <c r="T62" s="51"/>
      <c r="U62" s="51">
        <v>21666</v>
      </c>
      <c r="V62" s="54"/>
      <c r="W62" s="51">
        <v>31359</v>
      </c>
      <c r="X62" s="51"/>
      <c r="Y62" s="51">
        <v>26400</v>
      </c>
      <c r="Z62" s="54"/>
      <c r="AA62" s="51">
        <v>35600</v>
      </c>
      <c r="AB62" s="51"/>
      <c r="AC62" s="72">
        <v>7</v>
      </c>
      <c r="AD62" s="72">
        <v>8</v>
      </c>
      <c r="AE62" s="72">
        <v>0</v>
      </c>
      <c r="AF62" s="86">
        <v>4134212.9099999997</v>
      </c>
      <c r="AG62" s="86">
        <v>2770740.73</v>
      </c>
      <c r="AH62" s="86">
        <v>192986.98</v>
      </c>
      <c r="AI62" s="86">
        <v>72088.66</v>
      </c>
      <c r="AJ62" s="29">
        <f>1108285.24/AK62</f>
        <v>158326.46285714285</v>
      </c>
      <c r="AK62" s="73">
        <v>7</v>
      </c>
      <c r="AL62" s="29">
        <f>1108285.24/AM62</f>
        <v>158326.46285714285</v>
      </c>
      <c r="AM62" s="73">
        <v>7</v>
      </c>
      <c r="AN62" s="29">
        <f>689935.2/AO62</f>
        <v>76659.46666666666</v>
      </c>
      <c r="AO62" s="73">
        <v>9</v>
      </c>
      <c r="AP62" s="29">
        <f>689935.2/AQ62</f>
        <v>76659.46666666666</v>
      </c>
      <c r="AQ62" s="73">
        <v>9</v>
      </c>
      <c r="AR62" s="29">
        <f>1485149.89/AS62</f>
        <v>74257.494500000001</v>
      </c>
      <c r="AS62" s="73">
        <v>20</v>
      </c>
      <c r="AT62" s="29">
        <f>1485149.89/AU62</f>
        <v>67506.813181818172</v>
      </c>
      <c r="AU62" s="73">
        <v>22</v>
      </c>
      <c r="AV62" s="29">
        <f>487983.95/AW62</f>
        <v>42433.386956521739</v>
      </c>
      <c r="AW62" s="73">
        <v>11.5</v>
      </c>
      <c r="AX62" s="29">
        <f>487983.95/AY62</f>
        <v>37537.226923076923</v>
      </c>
      <c r="AY62" s="73">
        <v>13</v>
      </c>
      <c r="AZ62" s="100">
        <v>1698752.68</v>
      </c>
      <c r="BA62" s="100">
        <v>83178</v>
      </c>
      <c r="BB62" s="100">
        <v>22548</v>
      </c>
      <c r="BC62" s="100">
        <v>20189</v>
      </c>
      <c r="BD62" s="100">
        <v>0</v>
      </c>
      <c r="BE62" s="100">
        <v>1824667.68</v>
      </c>
      <c r="BF62" s="100">
        <v>0</v>
      </c>
      <c r="BG62" s="100">
        <v>0</v>
      </c>
      <c r="BH62" s="100">
        <v>0</v>
      </c>
      <c r="BI62" s="100">
        <v>0</v>
      </c>
      <c r="BJ62" s="100">
        <v>8917519.6600000001</v>
      </c>
      <c r="BK62" s="100">
        <v>8917519.6600000001</v>
      </c>
      <c r="BL62" s="100">
        <v>150000</v>
      </c>
      <c r="BM62" s="100">
        <v>173000</v>
      </c>
      <c r="BN62" s="100">
        <v>20000</v>
      </c>
      <c r="BO62" s="100">
        <v>28250</v>
      </c>
      <c r="BP62" s="100">
        <v>0</v>
      </c>
      <c r="BQ62" s="100">
        <f>SUM(BL62:BP62)</f>
        <v>371250</v>
      </c>
      <c r="BR62" s="100">
        <v>223921.44</v>
      </c>
      <c r="BS62" s="100">
        <v>4302.5</v>
      </c>
      <c r="BT62" s="100">
        <v>3572.22</v>
      </c>
      <c r="BU62" s="100">
        <f>291935.58+26891.58-BR62-BS62-BT62</f>
        <v>87031.000000000029</v>
      </c>
      <c r="BV62" s="100">
        <v>865308.8</v>
      </c>
      <c r="BW62" s="100">
        <v>1184135.96</v>
      </c>
      <c r="BX62" s="100">
        <v>0</v>
      </c>
      <c r="BY62" s="100">
        <v>0</v>
      </c>
      <c r="BZ62" s="100">
        <v>0</v>
      </c>
      <c r="CA62" s="100">
        <v>0</v>
      </c>
      <c r="CB62" s="100">
        <v>0</v>
      </c>
      <c r="CC62" s="100">
        <v>0</v>
      </c>
      <c r="CD62" s="100">
        <v>0</v>
      </c>
      <c r="CE62" s="100">
        <v>0</v>
      </c>
      <c r="CF62" s="100">
        <v>0</v>
      </c>
      <c r="CG62" s="100">
        <v>0</v>
      </c>
      <c r="CH62" s="100">
        <v>0</v>
      </c>
      <c r="CI62" s="100">
        <v>0</v>
      </c>
      <c r="CJ62" s="100">
        <v>1221415.45</v>
      </c>
      <c r="CK62" s="100">
        <v>176716.84</v>
      </c>
      <c r="CL62" s="100">
        <v>190132.28</v>
      </c>
      <c r="CM62" s="100">
        <f>2087639.95+1370095.71-CJ62-CK62-CL62</f>
        <v>1869471.0899999999</v>
      </c>
      <c r="CN62" s="100">
        <v>1264874.52</v>
      </c>
      <c r="CO62" s="100">
        <v>4722610.18</v>
      </c>
      <c r="CP62" s="100">
        <v>0</v>
      </c>
      <c r="CQ62" s="100">
        <v>0</v>
      </c>
      <c r="CR62" s="100">
        <v>0</v>
      </c>
      <c r="CS62" s="100">
        <v>0</v>
      </c>
      <c r="CT62" s="115">
        <f>SUM(CT59:CT61)</f>
        <v>1918214</v>
      </c>
      <c r="CU62" s="115">
        <f>SUM(CU59:CU61)</f>
        <v>1918214</v>
      </c>
      <c r="CV62" s="98">
        <v>400000</v>
      </c>
      <c r="CW62" s="98">
        <v>4381.82</v>
      </c>
      <c r="CX62" s="100">
        <v>0</v>
      </c>
      <c r="CY62" s="100">
        <f>416747.82+25499.33-CV62-CW62-CX62</f>
        <v>37865.330000000024</v>
      </c>
      <c r="CZ62" s="116">
        <v>1303963.05</v>
      </c>
      <c r="DA62" s="117">
        <v>1746210.2000000002</v>
      </c>
      <c r="DB62" s="100">
        <v>0</v>
      </c>
      <c r="DC62" s="100">
        <v>0</v>
      </c>
      <c r="DD62" s="100">
        <v>0</v>
      </c>
      <c r="DE62" s="100">
        <v>0</v>
      </c>
      <c r="DF62" s="100">
        <v>0</v>
      </c>
      <c r="DG62" s="100">
        <v>0</v>
      </c>
      <c r="DH62" s="100">
        <v>73653.929999999993</v>
      </c>
      <c r="DI62" s="100">
        <v>230.92</v>
      </c>
      <c r="DJ62" s="100">
        <v>77.84</v>
      </c>
      <c r="DK62" s="100">
        <f>73884.85+4217.84-DH62-DI62-DJ62</f>
        <v>4140.0000000000091</v>
      </c>
      <c r="DL62" s="100">
        <v>0</v>
      </c>
      <c r="DM62" s="100">
        <v>78102.689999999988</v>
      </c>
      <c r="DN62" s="100">
        <v>0</v>
      </c>
      <c r="DO62" s="100">
        <v>0</v>
      </c>
      <c r="DP62" s="100">
        <v>0</v>
      </c>
      <c r="DQ62" s="100">
        <v>0</v>
      </c>
      <c r="DR62" s="100">
        <v>410409.52</v>
      </c>
      <c r="DS62" s="100">
        <v>410409.52</v>
      </c>
      <c r="DT62" s="100">
        <v>53802</v>
      </c>
      <c r="DU62" s="100">
        <v>6650</v>
      </c>
      <c r="DV62" s="100">
        <v>0</v>
      </c>
      <c r="DW62" s="100">
        <f>172204.2+120032.5-DT62-DU62-DV62</f>
        <v>231784.7</v>
      </c>
      <c r="DX62" s="100">
        <v>9905</v>
      </c>
      <c r="DY62" s="100">
        <v>302141.7</v>
      </c>
      <c r="DZ62" s="100">
        <v>-4290</v>
      </c>
      <c r="EA62" s="100">
        <v>-3521.14</v>
      </c>
      <c r="EB62" s="100">
        <v>-1847.66</v>
      </c>
      <c r="EC62" s="100">
        <f>-11008.93+(-3768.64)-DZ62-EA62-EB62</f>
        <v>-5118.7700000000004</v>
      </c>
      <c r="ED62" s="100">
        <v>99580.26</v>
      </c>
      <c r="EE62" s="100">
        <v>84802.69</v>
      </c>
      <c r="EF62" s="100">
        <v>35665.58</v>
      </c>
      <c r="EG62" s="100">
        <v>0</v>
      </c>
      <c r="EH62" s="100">
        <v>1660</v>
      </c>
      <c r="EI62" s="100">
        <f>160275.91+58399.45-EF62-EG62-EH62</f>
        <v>181349.77999999997</v>
      </c>
      <c r="EJ62" s="100">
        <v>273556.19</v>
      </c>
      <c r="EK62" s="100">
        <v>492231.55000000005</v>
      </c>
      <c r="EL62" s="100">
        <v>3852921.08</v>
      </c>
      <c r="EM62" s="100">
        <v>255934.75000000003</v>
      </c>
      <c r="EN62" s="100">
        <v>236142.68</v>
      </c>
      <c r="EO62" s="100">
        <f>24245074.94+3213213.82-EL62-EM62-EN62</f>
        <v>23113290.25</v>
      </c>
      <c r="EP62" s="100">
        <v>16515540.279999999</v>
      </c>
      <c r="EQ62" s="100">
        <v>43973829.039999999</v>
      </c>
      <c r="ER62" s="100">
        <v>2706535.35</v>
      </c>
      <c r="ES62" s="100">
        <v>396412.69</v>
      </c>
      <c r="ET62" s="100">
        <v>439401.91</v>
      </c>
      <c r="EU62" s="100">
        <f>4134212.91+2770740.73-ER62-ES62-ET62</f>
        <v>3362603.6900000009</v>
      </c>
      <c r="EV62" s="100">
        <v>80981.64</v>
      </c>
      <c r="EW62" s="100">
        <v>6985935.2799999993</v>
      </c>
      <c r="EX62" s="100">
        <v>450000</v>
      </c>
      <c r="EY62" s="100">
        <v>10500</v>
      </c>
      <c r="EZ62" s="100">
        <v>0</v>
      </c>
      <c r="FA62" s="100">
        <f>465000+0-EX62-EY62-EZ62</f>
        <v>4500</v>
      </c>
      <c r="FB62" s="100">
        <v>0</v>
      </c>
      <c r="FC62" s="100">
        <v>465000</v>
      </c>
      <c r="FD62" s="100">
        <f>475202+1030188.26</f>
        <v>1505390.26</v>
      </c>
      <c r="FE62" s="100">
        <f>308640+235203</f>
        <v>543843</v>
      </c>
      <c r="FF62" s="100">
        <f>136540+211304.88</f>
        <v>347844.88</v>
      </c>
      <c r="FG62" s="100">
        <f>1108285.24+1485149.89+689935.2+487983.95-FD62-FE62-FF62</f>
        <v>1374276.1400000006</v>
      </c>
      <c r="FH62" s="100">
        <v>0</v>
      </c>
      <c r="FI62" s="100">
        <v>3771354.2800000003</v>
      </c>
      <c r="FJ62" s="100">
        <v>0</v>
      </c>
      <c r="FK62" s="100">
        <v>0</v>
      </c>
      <c r="FL62" s="100">
        <v>0</v>
      </c>
      <c r="FM62" s="100">
        <v>0</v>
      </c>
      <c r="FN62" s="100">
        <v>0</v>
      </c>
      <c r="FO62" s="100">
        <v>0</v>
      </c>
      <c r="FP62" s="100">
        <v>197888.31</v>
      </c>
      <c r="FQ62" s="100">
        <v>52749.08</v>
      </c>
      <c r="FR62" s="100">
        <v>44613.17</v>
      </c>
      <c r="FS62" s="100">
        <f>250884.89+45013.17-FP62-FQ62-FR62</f>
        <v>647.5</v>
      </c>
      <c r="FT62" s="100">
        <v>2068709.81</v>
      </c>
      <c r="FU62" s="100">
        <v>2364607.87</v>
      </c>
      <c r="FV62" s="100">
        <v>0</v>
      </c>
      <c r="FW62" s="100">
        <v>0</v>
      </c>
      <c r="FX62" s="100">
        <v>0</v>
      </c>
      <c r="FY62" s="100">
        <v>0</v>
      </c>
      <c r="FZ62" s="100">
        <v>0</v>
      </c>
      <c r="GA62" s="100">
        <v>0</v>
      </c>
      <c r="GB62" s="100">
        <v>0</v>
      </c>
      <c r="GC62" s="100">
        <v>311352</v>
      </c>
      <c r="GD62" s="100">
        <v>0</v>
      </c>
      <c r="GE62" s="100">
        <f>311352+0-GB62-GC62-GD62</f>
        <v>0</v>
      </c>
      <c r="GF62" s="100">
        <v>0</v>
      </c>
      <c r="GG62" s="100">
        <v>311352</v>
      </c>
      <c r="GH62" s="100">
        <v>122165.23</v>
      </c>
      <c r="GI62" s="100">
        <v>37842.01</v>
      </c>
      <c r="GJ62" s="100">
        <v>32545.09</v>
      </c>
      <c r="GK62" s="100">
        <f>192986.98+72088.66-GH62-GI62-GJ62</f>
        <v>72523.310000000027</v>
      </c>
      <c r="GL62" s="100">
        <v>12000</v>
      </c>
      <c r="GM62" s="100">
        <v>277075.64</v>
      </c>
      <c r="GN62" s="100">
        <v>860799.22</v>
      </c>
      <c r="GO62" s="100">
        <v>112982.41</v>
      </c>
      <c r="GP62" s="100">
        <v>91873.88</v>
      </c>
      <c r="GQ62" s="100">
        <f>1277765.94+509041.31-GN62-GO62-GP62</f>
        <v>721151.74</v>
      </c>
      <c r="GR62" s="100">
        <v>0</v>
      </c>
      <c r="GS62" s="100">
        <v>1786807.25</v>
      </c>
      <c r="GT62" s="100">
        <v>274252.99</v>
      </c>
      <c r="GU62" s="100">
        <v>45804.800000000003</v>
      </c>
      <c r="GV62" s="100">
        <v>42417.36</v>
      </c>
      <c r="GW62" s="100">
        <f>446069.86+166915.13-GT62-GU62-GV62</f>
        <v>250509.84000000003</v>
      </c>
      <c r="GX62" s="100">
        <v>42377.93</v>
      </c>
      <c r="GY62" s="100">
        <v>655362.92000000004</v>
      </c>
      <c r="GZ62" s="100">
        <v>305233.37</v>
      </c>
      <c r="HA62" s="100">
        <v>74081.009999999995</v>
      </c>
      <c r="HB62" s="100">
        <v>50233.7</v>
      </c>
      <c r="HC62" s="100">
        <f>470991.34+190206.12-GZ62-HA62-HB62</f>
        <v>231649.37999999995</v>
      </c>
      <c r="HD62" s="100">
        <v>25186.15</v>
      </c>
      <c r="HE62" s="100">
        <v>686383.61</v>
      </c>
      <c r="HF62" s="100">
        <v>186459.19</v>
      </c>
      <c r="HG62" s="100">
        <v>30962.58</v>
      </c>
      <c r="HH62" s="100">
        <v>25167.91</v>
      </c>
      <c r="HI62" s="100">
        <f>308655.42+46309.36-HF62-HG62-HH62</f>
        <v>112375.09999999995</v>
      </c>
      <c r="HJ62" s="100">
        <v>247227.05</v>
      </c>
      <c r="HK62" s="100">
        <v>602191.83000000007</v>
      </c>
      <c r="HL62" s="100">
        <v>24084.53</v>
      </c>
      <c r="HM62" s="100">
        <v>4962.22</v>
      </c>
      <c r="HN62" s="100">
        <v>0.84</v>
      </c>
      <c r="HO62" s="100">
        <f>84002.5+92752.96-HL62-HM62-HN62</f>
        <v>147707.87000000002</v>
      </c>
      <c r="HP62" s="100">
        <v>2903.7</v>
      </c>
      <c r="HQ62" s="100">
        <v>179659.16000000003</v>
      </c>
      <c r="HR62" s="100">
        <v>81299.740000000005</v>
      </c>
      <c r="HS62" s="100">
        <v>638.38</v>
      </c>
      <c r="HT62" s="100">
        <v>2793.25</v>
      </c>
      <c r="HU62" s="100">
        <f>201837.07+108789.58-HR62-HS62-HT62</f>
        <v>225895.28000000003</v>
      </c>
      <c r="HV62" s="100">
        <v>190780.83</v>
      </c>
      <c r="HW62" s="100">
        <v>501407.48</v>
      </c>
      <c r="HX62" s="100">
        <v>82830.86</v>
      </c>
      <c r="HY62" s="100">
        <v>0</v>
      </c>
      <c r="HZ62" s="100">
        <v>0</v>
      </c>
      <c r="IA62" s="100">
        <f>82830.86+0-HX62-HY62-HZ62</f>
        <v>0</v>
      </c>
      <c r="IB62" s="100">
        <v>50535.17</v>
      </c>
      <c r="IC62" s="100">
        <v>133366.03</v>
      </c>
      <c r="ID62" s="100">
        <v>137374.25</v>
      </c>
      <c r="IE62" s="100">
        <v>95118.7</v>
      </c>
      <c r="IF62" s="100">
        <v>88485</v>
      </c>
      <c r="IG62" s="100">
        <f>269257.45+167128.83-ID62-IE62-IF62</f>
        <v>115408.33000000002</v>
      </c>
      <c r="IH62" s="100">
        <v>2934037</v>
      </c>
      <c r="II62" s="100">
        <v>3370423.2800000003</v>
      </c>
      <c r="IJ62" s="100">
        <v>90646.45</v>
      </c>
      <c r="IK62" s="100">
        <v>3916.96</v>
      </c>
      <c r="IL62" s="100">
        <v>12436.06</v>
      </c>
      <c r="IM62" s="100">
        <f>129518.35+58810.57-IJ62-IK62-IL62</f>
        <v>81329.450000000012</v>
      </c>
      <c r="IN62" s="100">
        <v>143497.41</v>
      </c>
      <c r="IO62" s="100">
        <v>331826.32999999996</v>
      </c>
      <c r="IP62" s="100">
        <v>9335.83</v>
      </c>
      <c r="IQ62" s="100">
        <v>6090.7</v>
      </c>
      <c r="IR62" s="100">
        <v>2262</v>
      </c>
      <c r="IS62" s="100">
        <f>17091.53+6197-IP62-IQ62-IR62</f>
        <v>5599.9999999999991</v>
      </c>
      <c r="IT62" s="100">
        <v>23779.439999999999</v>
      </c>
      <c r="IU62" s="100">
        <v>47067.97</v>
      </c>
      <c r="IV62" s="100">
        <v>296895.32</v>
      </c>
      <c r="IW62" s="100">
        <v>102568.3</v>
      </c>
      <c r="IX62" s="100">
        <v>40189.57</v>
      </c>
      <c r="IY62" s="100">
        <f>464711.53+136940.46-IV62-IW62-IX62</f>
        <v>161998.79999999999</v>
      </c>
      <c r="IZ62" s="100">
        <v>792404.53</v>
      </c>
      <c r="JA62" s="100">
        <v>1394056.52</v>
      </c>
      <c r="JB62" s="100">
        <v>7331190.8999999994</v>
      </c>
      <c r="JC62" s="100">
        <v>1829824.8399999999</v>
      </c>
      <c r="JD62" s="100">
        <v>1220264.6200000001</v>
      </c>
      <c r="JE62" s="100">
        <f>11700603.76+5548853.03-JB62-JC62-JD62</f>
        <v>6868176.4300000006</v>
      </c>
      <c r="JF62" s="100">
        <v>6614420.6600000001</v>
      </c>
      <c r="JG62" s="100">
        <v>23863877.449999999</v>
      </c>
      <c r="JH62" s="100">
        <v>0</v>
      </c>
      <c r="JI62" s="100">
        <v>0</v>
      </c>
      <c r="JJ62" s="100">
        <v>0</v>
      </c>
      <c r="JK62" s="100">
        <v>0</v>
      </c>
      <c r="JL62" s="100">
        <v>0</v>
      </c>
      <c r="JM62" s="100">
        <v>0</v>
      </c>
      <c r="JN62" s="100">
        <v>7331190.8999999994</v>
      </c>
      <c r="JO62" s="100">
        <v>1829824.8399999999</v>
      </c>
      <c r="JP62" s="100">
        <v>1220264.6200000001</v>
      </c>
      <c r="JQ62" s="100">
        <f>11700603.76+5548853.03-JN62-JO62-JP62</f>
        <v>6868176.4300000006</v>
      </c>
      <c r="JR62" s="100">
        <v>6614420.6600000001</v>
      </c>
      <c r="JS62" s="100">
        <v>23863877.449999999</v>
      </c>
      <c r="JU62" s="5">
        <f t="shared" si="78"/>
        <v>1824667.68</v>
      </c>
      <c r="JV62" s="29">
        <f t="shared" si="79"/>
        <v>0</v>
      </c>
      <c r="JW62" s="5">
        <f t="shared" si="80"/>
        <v>8917519.6600000001</v>
      </c>
      <c r="JX62" s="29">
        <f t="shared" si="81"/>
        <v>0</v>
      </c>
      <c r="JY62" s="5">
        <f t="shared" si="82"/>
        <v>371250</v>
      </c>
      <c r="JZ62" s="29">
        <f t="shared" si="83"/>
        <v>0</v>
      </c>
      <c r="KA62" s="5">
        <f t="shared" si="84"/>
        <v>1184135.96</v>
      </c>
      <c r="KB62" s="29">
        <f t="shared" si="85"/>
        <v>0</v>
      </c>
      <c r="KC62" s="5">
        <f t="shared" si="86"/>
        <v>0</v>
      </c>
      <c r="KD62" s="29">
        <f t="shared" si="87"/>
        <v>0</v>
      </c>
      <c r="KE62" s="5">
        <f t="shared" si="88"/>
        <v>0</v>
      </c>
      <c r="KF62" s="29">
        <f t="shared" si="89"/>
        <v>0</v>
      </c>
      <c r="KG62" s="5">
        <f t="shared" si="90"/>
        <v>4722610.18</v>
      </c>
      <c r="KH62" s="29">
        <f t="shared" si="91"/>
        <v>0</v>
      </c>
      <c r="KI62" s="5">
        <f t="shared" si="92"/>
        <v>1918214</v>
      </c>
      <c r="KJ62" s="29">
        <f t="shared" si="93"/>
        <v>0</v>
      </c>
      <c r="KK62" s="5">
        <f t="shared" si="94"/>
        <v>1746210.2000000002</v>
      </c>
      <c r="KL62" s="29">
        <f t="shared" si="95"/>
        <v>0</v>
      </c>
      <c r="KM62" s="5">
        <f t="shared" si="96"/>
        <v>0</v>
      </c>
      <c r="KN62" s="29">
        <f t="shared" si="97"/>
        <v>0</v>
      </c>
      <c r="KO62" s="5">
        <f t="shared" si="98"/>
        <v>78102.69</v>
      </c>
      <c r="KP62" s="29">
        <f t="shared" si="99"/>
        <v>0</v>
      </c>
      <c r="KQ62" s="5">
        <f t="shared" si="100"/>
        <v>410409.52</v>
      </c>
      <c r="KR62" s="29">
        <f t="shared" si="101"/>
        <v>0</v>
      </c>
      <c r="KS62" s="5">
        <f t="shared" si="102"/>
        <v>302141.7</v>
      </c>
      <c r="KT62" s="29">
        <f t="shared" si="103"/>
        <v>0</v>
      </c>
      <c r="KU62" s="5">
        <f t="shared" si="104"/>
        <v>84802.69</v>
      </c>
      <c r="KV62" s="29">
        <f t="shared" si="105"/>
        <v>0</v>
      </c>
      <c r="KW62" s="5">
        <f t="shared" si="106"/>
        <v>492231.55</v>
      </c>
      <c r="KX62" s="29">
        <f t="shared" si="107"/>
        <v>0</v>
      </c>
      <c r="KY62" s="5">
        <f t="shared" si="108"/>
        <v>43973829.039999999</v>
      </c>
      <c r="KZ62" s="29">
        <f t="shared" si="109"/>
        <v>0</v>
      </c>
      <c r="LA62" s="5">
        <f t="shared" si="110"/>
        <v>6985935.2800000003</v>
      </c>
      <c r="LB62" s="29">
        <f t="shared" si="111"/>
        <v>0</v>
      </c>
      <c r="LC62" s="5">
        <f t="shared" si="112"/>
        <v>465000</v>
      </c>
      <c r="LD62" s="29">
        <f t="shared" si="113"/>
        <v>0</v>
      </c>
      <c r="LE62" s="5">
        <f t="shared" si="114"/>
        <v>3771354.2800000007</v>
      </c>
      <c r="LF62" s="29">
        <f t="shared" si="115"/>
        <v>0</v>
      </c>
      <c r="LG62" s="5">
        <f t="shared" si="116"/>
        <v>0</v>
      </c>
      <c r="LH62" s="29">
        <f t="shared" si="117"/>
        <v>0</v>
      </c>
      <c r="LI62" s="5">
        <f t="shared" si="118"/>
        <v>2364607.87</v>
      </c>
      <c r="LJ62" s="29">
        <f t="shared" si="119"/>
        <v>0</v>
      </c>
      <c r="LK62" s="5">
        <f t="shared" si="120"/>
        <v>0</v>
      </c>
      <c r="LL62" s="29">
        <f t="shared" si="121"/>
        <v>0</v>
      </c>
      <c r="LM62" s="5">
        <f t="shared" si="122"/>
        <v>311352</v>
      </c>
      <c r="LN62" s="29">
        <f t="shared" si="123"/>
        <v>0</v>
      </c>
      <c r="LO62" s="5">
        <f t="shared" si="124"/>
        <v>277075.64</v>
      </c>
      <c r="LP62" s="29">
        <f t="shared" si="125"/>
        <v>0</v>
      </c>
      <c r="LQ62" s="5">
        <f t="shared" si="126"/>
        <v>1786807.25</v>
      </c>
      <c r="LR62" s="29">
        <f t="shared" si="127"/>
        <v>0</v>
      </c>
      <c r="LS62" s="5">
        <f t="shared" si="128"/>
        <v>655362.92000000004</v>
      </c>
      <c r="LT62" s="29">
        <f t="shared" si="129"/>
        <v>0</v>
      </c>
      <c r="LU62" s="5">
        <f t="shared" si="130"/>
        <v>686383.61</v>
      </c>
      <c r="LV62" s="29">
        <f t="shared" si="131"/>
        <v>0</v>
      </c>
      <c r="LW62" s="5">
        <f t="shared" si="132"/>
        <v>602191.82999999996</v>
      </c>
      <c r="LX62" s="29">
        <f t="shared" si="133"/>
        <v>0</v>
      </c>
      <c r="LY62" s="5">
        <f t="shared" si="134"/>
        <v>179659.16000000003</v>
      </c>
      <c r="LZ62" s="29">
        <f t="shared" si="135"/>
        <v>0</v>
      </c>
      <c r="MA62" s="5">
        <f t="shared" si="136"/>
        <v>501407.48</v>
      </c>
      <c r="MB62" s="29">
        <f t="shared" si="137"/>
        <v>0</v>
      </c>
      <c r="MC62" s="5">
        <f t="shared" si="138"/>
        <v>133366.03</v>
      </c>
      <c r="MD62" s="29">
        <f t="shared" si="139"/>
        <v>0</v>
      </c>
      <c r="ME62" s="5">
        <f t="shared" si="140"/>
        <v>3370423.2800000003</v>
      </c>
      <c r="MF62" s="29">
        <f t="shared" si="141"/>
        <v>0</v>
      </c>
      <c r="MG62" s="5">
        <f t="shared" si="142"/>
        <v>331826.33</v>
      </c>
      <c r="MH62" s="29">
        <f t="shared" si="143"/>
        <v>0</v>
      </c>
      <c r="MI62" s="5">
        <f t="shared" si="144"/>
        <v>47067.97</v>
      </c>
      <c r="MJ62" s="29">
        <f t="shared" si="145"/>
        <v>0</v>
      </c>
      <c r="MK62" s="5">
        <f t="shared" si="146"/>
        <v>1394056.52</v>
      </c>
      <c r="ML62" s="29">
        <f t="shared" si="147"/>
        <v>0</v>
      </c>
      <c r="MM62" s="5">
        <f t="shared" si="148"/>
        <v>23863877.449999999</v>
      </c>
      <c r="MN62" s="29">
        <f t="shared" si="149"/>
        <v>0</v>
      </c>
      <c r="MO62" s="5">
        <f t="shared" si="150"/>
        <v>0</v>
      </c>
      <c r="MP62" s="29">
        <f t="shared" si="151"/>
        <v>0</v>
      </c>
      <c r="MQ62" s="5">
        <f t="shared" si="152"/>
        <v>23863877.449999999</v>
      </c>
      <c r="MR62" s="29">
        <f t="shared" si="153"/>
        <v>0</v>
      </c>
      <c r="MT62" s="5">
        <f t="shared" si="76"/>
        <v>0</v>
      </c>
      <c r="MV62" s="4">
        <f t="shared" si="77"/>
        <v>0</v>
      </c>
    </row>
    <row r="63" spans="1:360" x14ac:dyDescent="0.15">
      <c r="A63" s="157" t="s">
        <v>340</v>
      </c>
      <c r="B63" s="28" t="s">
        <v>407</v>
      </c>
      <c r="C63" s="47">
        <v>204857</v>
      </c>
      <c r="D63" s="48">
        <v>2012</v>
      </c>
      <c r="E63" s="49">
        <v>1</v>
      </c>
      <c r="F63" s="49">
        <v>9</v>
      </c>
      <c r="G63" s="50">
        <v>8167</v>
      </c>
      <c r="H63" s="50">
        <v>8945</v>
      </c>
      <c r="I63" s="51">
        <v>628089553</v>
      </c>
      <c r="J63" s="51"/>
      <c r="K63" s="51">
        <v>152267</v>
      </c>
      <c r="L63" s="51"/>
      <c r="M63" s="51">
        <v>47885158</v>
      </c>
      <c r="N63" s="51"/>
      <c r="O63" s="51">
        <v>3093029</v>
      </c>
      <c r="P63" s="51"/>
      <c r="Q63" s="51">
        <v>291212230</v>
      </c>
      <c r="R63" s="51"/>
      <c r="S63" s="51">
        <v>552189875</v>
      </c>
      <c r="T63" s="51"/>
      <c r="U63" s="51">
        <v>20215</v>
      </c>
      <c r="V63" s="51"/>
      <c r="W63" s="51">
        <v>29179</v>
      </c>
      <c r="X63" s="51"/>
      <c r="Y63" s="51">
        <v>24228</v>
      </c>
      <c r="Z63" s="51"/>
      <c r="AA63" s="51">
        <v>33192</v>
      </c>
      <c r="AB63" s="51"/>
      <c r="AC63" s="72">
        <v>6</v>
      </c>
      <c r="AD63" s="72">
        <v>10</v>
      </c>
      <c r="AE63" s="72">
        <v>0</v>
      </c>
      <c r="AF63" s="29">
        <v>3756173</v>
      </c>
      <c r="AG63" s="29">
        <v>2628813</v>
      </c>
      <c r="AH63" s="29">
        <v>353751</v>
      </c>
      <c r="AI63" s="29">
        <v>134349</v>
      </c>
      <c r="AJ63" s="29">
        <v>220312</v>
      </c>
      <c r="AK63" s="73">
        <v>5</v>
      </c>
      <c r="AL63" s="29">
        <v>294609</v>
      </c>
      <c r="AM63" s="73">
        <v>6</v>
      </c>
      <c r="AN63" s="29">
        <v>104258</v>
      </c>
      <c r="AO63" s="73">
        <v>8</v>
      </c>
      <c r="AP63" s="29">
        <v>100349</v>
      </c>
      <c r="AQ63" s="73">
        <v>8</v>
      </c>
      <c r="AR63" s="29">
        <v>103092</v>
      </c>
      <c r="AS63" s="73">
        <v>16</v>
      </c>
      <c r="AT63" s="29">
        <v>97513</v>
      </c>
      <c r="AU63" s="73">
        <v>17</v>
      </c>
      <c r="AV63" s="29">
        <v>59181</v>
      </c>
      <c r="AW63" s="73">
        <v>12</v>
      </c>
      <c r="AX63" s="29">
        <v>56678</v>
      </c>
      <c r="AY63" s="73">
        <v>13</v>
      </c>
      <c r="AZ63" s="97">
        <v>490015</v>
      </c>
      <c r="BA63" s="97">
        <v>503613</v>
      </c>
      <c r="BB63" s="97">
        <v>5846</v>
      </c>
      <c r="BC63" s="97">
        <v>38927</v>
      </c>
      <c r="BD63" s="97">
        <v>110517</v>
      </c>
      <c r="BE63" s="97">
        <v>1148918</v>
      </c>
      <c r="BF63" s="97">
        <v>5725561</v>
      </c>
      <c r="BG63" s="97">
        <v>2274547</v>
      </c>
      <c r="BH63" s="97">
        <v>1217107</v>
      </c>
      <c r="BI63" s="97">
        <v>5321554</v>
      </c>
      <c r="BJ63" s="97">
        <v>3784207</v>
      </c>
      <c r="BK63" s="97">
        <v>18322976</v>
      </c>
      <c r="BL63" s="97">
        <v>725000</v>
      </c>
      <c r="BM63" s="97">
        <v>20000</v>
      </c>
      <c r="BN63" s="97">
        <v>0</v>
      </c>
      <c r="BO63" s="97">
        <v>4500</v>
      </c>
      <c r="BP63" s="97">
        <v>0</v>
      </c>
      <c r="BQ63" s="97">
        <v>749500</v>
      </c>
      <c r="BR63" s="97">
        <v>57431</v>
      </c>
      <c r="BS63" s="97">
        <v>181526</v>
      </c>
      <c r="BT63" s="97">
        <v>660</v>
      </c>
      <c r="BU63" s="97">
        <v>110474</v>
      </c>
      <c r="BV63" s="97">
        <v>1657199</v>
      </c>
      <c r="BW63" s="97">
        <v>2007290</v>
      </c>
      <c r="BX63" s="97">
        <v>0</v>
      </c>
      <c r="BY63" s="97">
        <v>0</v>
      </c>
      <c r="BZ63" s="97">
        <v>0</v>
      </c>
      <c r="CA63" s="97">
        <v>0</v>
      </c>
      <c r="CB63" s="97">
        <v>0</v>
      </c>
      <c r="CC63" s="97">
        <v>0</v>
      </c>
      <c r="CD63" s="97">
        <v>0</v>
      </c>
      <c r="CE63" s="97">
        <v>0</v>
      </c>
      <c r="CF63" s="97">
        <v>0</v>
      </c>
      <c r="CG63" s="97">
        <v>0</v>
      </c>
      <c r="CH63" s="97">
        <v>0</v>
      </c>
      <c r="CI63" s="97">
        <v>0</v>
      </c>
      <c r="CJ63" s="97">
        <v>0</v>
      </c>
      <c r="CK63" s="97">
        <v>0</v>
      </c>
      <c r="CL63" s="97">
        <v>0</v>
      </c>
      <c r="CM63" s="97">
        <v>0</v>
      </c>
      <c r="CN63" s="97">
        <v>0</v>
      </c>
      <c r="CO63" s="97">
        <v>0</v>
      </c>
      <c r="CP63" s="97">
        <v>764004</v>
      </c>
      <c r="CQ63" s="97">
        <v>275811</v>
      </c>
      <c r="CR63" s="97">
        <v>134425</v>
      </c>
      <c r="CS63" s="97">
        <v>664001</v>
      </c>
      <c r="CT63" s="97">
        <v>510164</v>
      </c>
      <c r="CU63" s="97">
        <v>2348405</v>
      </c>
      <c r="CV63" s="97">
        <v>880378</v>
      </c>
      <c r="CW63" s="97">
        <v>640541</v>
      </c>
      <c r="CX63" s="97">
        <v>70677</v>
      </c>
      <c r="CY63" s="97">
        <v>502822</v>
      </c>
      <c r="CZ63" s="97">
        <v>370971</v>
      </c>
      <c r="DA63" s="97">
        <v>2465389</v>
      </c>
      <c r="DB63" s="97">
        <v>0</v>
      </c>
      <c r="DC63" s="97">
        <v>0</v>
      </c>
      <c r="DD63" s="97">
        <v>0</v>
      </c>
      <c r="DE63" s="97">
        <v>0</v>
      </c>
      <c r="DF63" s="97">
        <v>0</v>
      </c>
      <c r="DG63" s="97">
        <v>0</v>
      </c>
      <c r="DH63" s="97">
        <v>25830</v>
      </c>
      <c r="DI63" s="97">
        <v>14787</v>
      </c>
      <c r="DJ63" s="97">
        <v>0</v>
      </c>
      <c r="DK63" s="97">
        <v>0</v>
      </c>
      <c r="DL63" s="97">
        <v>65519</v>
      </c>
      <c r="DM63" s="97">
        <v>106136</v>
      </c>
      <c r="DN63" s="97">
        <v>0</v>
      </c>
      <c r="DO63" s="97">
        <v>0</v>
      </c>
      <c r="DP63" s="97">
        <v>0</v>
      </c>
      <c r="DQ63" s="97">
        <v>0</v>
      </c>
      <c r="DR63" s="97">
        <v>930928</v>
      </c>
      <c r="DS63" s="97">
        <v>930928</v>
      </c>
      <c r="DT63" s="97">
        <v>28214</v>
      </c>
      <c r="DU63" s="97">
        <v>37700</v>
      </c>
      <c r="DV63" s="97">
        <v>8663</v>
      </c>
      <c r="DW63" s="97">
        <v>127472</v>
      </c>
      <c r="DX63" s="97">
        <v>0</v>
      </c>
      <c r="DY63" s="97">
        <v>202049</v>
      </c>
      <c r="DZ63" s="97">
        <v>0</v>
      </c>
      <c r="EA63" s="97">
        <v>0</v>
      </c>
      <c r="EB63" s="97">
        <v>0</v>
      </c>
      <c r="EC63" s="97">
        <v>0</v>
      </c>
      <c r="ED63" s="97">
        <v>0</v>
      </c>
      <c r="EE63" s="97">
        <v>0</v>
      </c>
      <c r="EF63" s="97">
        <v>11183</v>
      </c>
      <c r="EG63" s="97">
        <v>2175</v>
      </c>
      <c r="EH63" s="97">
        <v>0</v>
      </c>
      <c r="EI63" s="97">
        <v>25627</v>
      </c>
      <c r="EJ63" s="97">
        <v>350944</v>
      </c>
      <c r="EK63" s="97">
        <v>389929</v>
      </c>
      <c r="EL63" s="97">
        <v>8707616</v>
      </c>
      <c r="EM63" s="97">
        <v>3950700</v>
      </c>
      <c r="EN63" s="97">
        <v>1437378</v>
      </c>
      <c r="EO63" s="97">
        <v>6795377</v>
      </c>
      <c r="EP63" s="97">
        <v>7780449</v>
      </c>
      <c r="EQ63" s="97">
        <v>28671520</v>
      </c>
      <c r="ER63" s="97">
        <v>2577828</v>
      </c>
      <c r="ES63" s="97">
        <v>386584</v>
      </c>
      <c r="ET63" s="97">
        <v>450144</v>
      </c>
      <c r="EU63" s="97">
        <v>2970430</v>
      </c>
      <c r="EV63" s="97">
        <v>292544</v>
      </c>
      <c r="EW63" s="97">
        <v>6677530</v>
      </c>
      <c r="EX63" s="97">
        <v>350000</v>
      </c>
      <c r="EY63" s="97">
        <v>333000</v>
      </c>
      <c r="EZ63" s="97">
        <v>36000</v>
      </c>
      <c r="FA63" s="97">
        <v>500</v>
      </c>
      <c r="FB63" s="97">
        <v>0</v>
      </c>
      <c r="FC63" s="97">
        <v>719500</v>
      </c>
      <c r="FD63" s="97">
        <v>1611796</v>
      </c>
      <c r="FE63" s="97">
        <v>775660</v>
      </c>
      <c r="FF63" s="97">
        <v>412211</v>
      </c>
      <c r="FG63" s="97">
        <v>1565258</v>
      </c>
      <c r="FH63" s="97">
        <v>63</v>
      </c>
      <c r="FI63" s="97">
        <v>4364988</v>
      </c>
      <c r="FJ63" s="97">
        <v>0</v>
      </c>
      <c r="FK63" s="97">
        <v>0</v>
      </c>
      <c r="FL63" s="97">
        <v>0</v>
      </c>
      <c r="FM63" s="97">
        <v>0</v>
      </c>
      <c r="FN63" s="97">
        <v>0</v>
      </c>
      <c r="FO63" s="97">
        <v>0</v>
      </c>
      <c r="FP63" s="97">
        <v>170797</v>
      </c>
      <c r="FQ63" s="97">
        <v>98944</v>
      </c>
      <c r="FR63" s="97">
        <v>46596</v>
      </c>
      <c r="FS63" s="97">
        <v>47660</v>
      </c>
      <c r="FT63" s="97">
        <v>2098912</v>
      </c>
      <c r="FU63" s="97">
        <v>2462909</v>
      </c>
      <c r="FV63" s="97">
        <v>0</v>
      </c>
      <c r="FW63" s="97">
        <v>0</v>
      </c>
      <c r="FX63" s="97">
        <v>0</v>
      </c>
      <c r="FY63" s="97">
        <v>0</v>
      </c>
      <c r="FZ63" s="97">
        <v>0</v>
      </c>
      <c r="GA63" s="97">
        <v>0</v>
      </c>
      <c r="GB63" s="97">
        <v>0</v>
      </c>
      <c r="GC63" s="97">
        <v>0</v>
      </c>
      <c r="GD63" s="97">
        <v>0</v>
      </c>
      <c r="GE63" s="97">
        <v>0</v>
      </c>
      <c r="GF63" s="97">
        <v>0</v>
      </c>
      <c r="GG63" s="97">
        <v>0</v>
      </c>
      <c r="GH63" s="97">
        <v>232195</v>
      </c>
      <c r="GI63" s="97">
        <v>79721</v>
      </c>
      <c r="GJ63" s="97">
        <v>55495</v>
      </c>
      <c r="GK63" s="97">
        <v>120689</v>
      </c>
      <c r="GL63" s="97">
        <v>0</v>
      </c>
      <c r="GM63" s="97">
        <v>488100</v>
      </c>
      <c r="GN63" s="97">
        <v>1253257</v>
      </c>
      <c r="GO63" s="97">
        <v>405208</v>
      </c>
      <c r="GP63" s="97">
        <v>114754</v>
      </c>
      <c r="GQ63" s="97">
        <v>681741</v>
      </c>
      <c r="GR63" s="97">
        <v>0</v>
      </c>
      <c r="GS63" s="97">
        <v>2454960</v>
      </c>
      <c r="GT63" s="97">
        <v>316035</v>
      </c>
      <c r="GU63" s="97">
        <v>73972</v>
      </c>
      <c r="GV63" s="97">
        <v>28472</v>
      </c>
      <c r="GW63" s="97">
        <v>272094</v>
      </c>
      <c r="GX63" s="97">
        <v>261177</v>
      </c>
      <c r="GY63" s="97">
        <v>951750</v>
      </c>
      <c r="GZ63" s="97">
        <v>89200</v>
      </c>
      <c r="HA63" s="97">
        <v>84523</v>
      </c>
      <c r="HB63" s="97">
        <v>51904</v>
      </c>
      <c r="HC63" s="97">
        <v>74208</v>
      </c>
      <c r="HD63" s="97">
        <v>0</v>
      </c>
      <c r="HE63" s="97">
        <v>299835</v>
      </c>
      <c r="HF63" s="97">
        <v>159070</v>
      </c>
      <c r="HG63" s="97">
        <v>78714</v>
      </c>
      <c r="HH63" s="97">
        <v>14287</v>
      </c>
      <c r="HI63" s="97">
        <v>24218</v>
      </c>
      <c r="HJ63" s="97">
        <v>994621</v>
      </c>
      <c r="HK63" s="97">
        <v>1270910</v>
      </c>
      <c r="HL63" s="97">
        <v>28301</v>
      </c>
      <c r="HM63" s="97">
        <v>37700</v>
      </c>
      <c r="HN63" s="97">
        <v>10708</v>
      </c>
      <c r="HO63" s="97">
        <v>129850</v>
      </c>
      <c r="HP63" s="97">
        <v>0</v>
      </c>
      <c r="HQ63" s="97">
        <v>206559</v>
      </c>
      <c r="HR63" s="97">
        <v>268425</v>
      </c>
      <c r="HS63" s="97">
        <v>239782</v>
      </c>
      <c r="HT63" s="97">
        <v>14341</v>
      </c>
      <c r="HU63" s="97">
        <v>104789</v>
      </c>
      <c r="HV63" s="97">
        <v>302830</v>
      </c>
      <c r="HW63" s="97">
        <v>930167</v>
      </c>
      <c r="HX63" s="97">
        <v>0</v>
      </c>
      <c r="HY63" s="97">
        <v>0</v>
      </c>
      <c r="HZ63" s="97">
        <v>0</v>
      </c>
      <c r="IA63" s="97">
        <v>0</v>
      </c>
      <c r="IB63" s="97">
        <v>0</v>
      </c>
      <c r="IC63" s="97">
        <v>0</v>
      </c>
      <c r="ID63" s="97">
        <v>764004</v>
      </c>
      <c r="IE63" s="97">
        <v>275811</v>
      </c>
      <c r="IF63" s="97">
        <v>134425</v>
      </c>
      <c r="IG63" s="97">
        <v>664001</v>
      </c>
      <c r="IH63" s="97">
        <v>510164</v>
      </c>
      <c r="II63" s="97">
        <v>2348405</v>
      </c>
      <c r="IJ63" s="97">
        <v>1931</v>
      </c>
      <c r="IK63" s="97">
        <v>0</v>
      </c>
      <c r="IL63" s="97">
        <v>0</v>
      </c>
      <c r="IM63" s="97">
        <v>3843</v>
      </c>
      <c r="IN63" s="97">
        <v>319830</v>
      </c>
      <c r="IO63" s="97">
        <v>325604</v>
      </c>
      <c r="IP63" s="97">
        <v>830</v>
      </c>
      <c r="IQ63" s="97">
        <v>6299</v>
      </c>
      <c r="IR63" s="97">
        <v>640</v>
      </c>
      <c r="IS63" s="97">
        <v>18399</v>
      </c>
      <c r="IT63" s="97">
        <v>275922</v>
      </c>
      <c r="IU63" s="97">
        <v>302090</v>
      </c>
      <c r="IV63" s="97">
        <v>44431</v>
      </c>
      <c r="IW63" s="97">
        <v>155244</v>
      </c>
      <c r="IX63" s="97">
        <v>18134</v>
      </c>
      <c r="IY63" s="97">
        <v>182000</v>
      </c>
      <c r="IZ63" s="97">
        <v>205230</v>
      </c>
      <c r="JA63" s="97">
        <v>605039</v>
      </c>
      <c r="JB63" s="97">
        <v>7868100</v>
      </c>
      <c r="JC63" s="97">
        <v>3031162</v>
      </c>
      <c r="JD63" s="97">
        <v>1388111</v>
      </c>
      <c r="JE63" s="97">
        <v>6859680</v>
      </c>
      <c r="JF63" s="97">
        <v>5261293</v>
      </c>
      <c r="JG63" s="97">
        <v>24408346</v>
      </c>
      <c r="JH63" s="97">
        <v>0</v>
      </c>
      <c r="JI63" s="97">
        <v>0</v>
      </c>
      <c r="JJ63" s="97">
        <v>0</v>
      </c>
      <c r="JK63" s="97">
        <v>0</v>
      </c>
      <c r="JL63" s="97">
        <v>0</v>
      </c>
      <c r="JM63" s="97">
        <v>0</v>
      </c>
      <c r="JN63" s="97">
        <v>7868100</v>
      </c>
      <c r="JO63" s="97">
        <v>3031162</v>
      </c>
      <c r="JP63" s="97">
        <v>1388111</v>
      </c>
      <c r="JQ63" s="97">
        <v>6859680</v>
      </c>
      <c r="JR63" s="97">
        <v>5261293</v>
      </c>
      <c r="JS63" s="97">
        <v>24408346</v>
      </c>
      <c r="JU63" s="5">
        <f t="shared" si="78"/>
        <v>1148918</v>
      </c>
      <c r="JV63" s="29">
        <f t="shared" si="79"/>
        <v>0</v>
      </c>
      <c r="JW63" s="5">
        <f t="shared" si="80"/>
        <v>18322976</v>
      </c>
      <c r="JX63" s="29">
        <f t="shared" si="81"/>
        <v>0</v>
      </c>
      <c r="JY63" s="5">
        <f t="shared" si="82"/>
        <v>749500</v>
      </c>
      <c r="JZ63" s="29">
        <f t="shared" si="83"/>
        <v>0</v>
      </c>
      <c r="KA63" s="5">
        <f t="shared" si="84"/>
        <v>2007290</v>
      </c>
      <c r="KB63" s="29">
        <f t="shared" si="85"/>
        <v>0</v>
      </c>
      <c r="KC63" s="5">
        <f t="shared" si="86"/>
        <v>0</v>
      </c>
      <c r="KD63" s="29">
        <f t="shared" si="87"/>
        <v>0</v>
      </c>
      <c r="KE63" s="5">
        <f t="shared" si="88"/>
        <v>0</v>
      </c>
      <c r="KF63" s="29">
        <f t="shared" si="89"/>
        <v>0</v>
      </c>
      <c r="KG63" s="5">
        <f t="shared" si="90"/>
        <v>0</v>
      </c>
      <c r="KH63" s="29">
        <f t="shared" si="91"/>
        <v>0</v>
      </c>
      <c r="KI63" s="5">
        <f t="shared" si="92"/>
        <v>2348405</v>
      </c>
      <c r="KJ63" s="29">
        <f t="shared" si="93"/>
        <v>0</v>
      </c>
      <c r="KK63" s="5">
        <f t="shared" si="94"/>
        <v>2465389</v>
      </c>
      <c r="KL63" s="29">
        <f t="shared" si="95"/>
        <v>0</v>
      </c>
      <c r="KM63" s="5">
        <f t="shared" si="96"/>
        <v>0</v>
      </c>
      <c r="KN63" s="29">
        <f t="shared" si="97"/>
        <v>0</v>
      </c>
      <c r="KO63" s="5">
        <f t="shared" si="98"/>
        <v>106136</v>
      </c>
      <c r="KP63" s="29">
        <f t="shared" si="99"/>
        <v>0</v>
      </c>
      <c r="KQ63" s="5">
        <f t="shared" si="100"/>
        <v>930928</v>
      </c>
      <c r="KR63" s="29">
        <f t="shared" si="101"/>
        <v>0</v>
      </c>
      <c r="KS63" s="5">
        <f t="shared" si="102"/>
        <v>202049</v>
      </c>
      <c r="KT63" s="29">
        <f t="shared" si="103"/>
        <v>0</v>
      </c>
      <c r="KU63" s="5">
        <f t="shared" si="104"/>
        <v>0</v>
      </c>
      <c r="KV63" s="29">
        <f t="shared" si="105"/>
        <v>0</v>
      </c>
      <c r="KW63" s="5">
        <f t="shared" si="106"/>
        <v>389929</v>
      </c>
      <c r="KX63" s="29">
        <f t="shared" si="107"/>
        <v>0</v>
      </c>
      <c r="KY63" s="5">
        <f t="shared" si="108"/>
        <v>28671520</v>
      </c>
      <c r="KZ63" s="29">
        <f t="shared" si="109"/>
        <v>0</v>
      </c>
      <c r="LA63" s="5">
        <f t="shared" si="110"/>
        <v>6677530</v>
      </c>
      <c r="LB63" s="29">
        <f t="shared" si="111"/>
        <v>0</v>
      </c>
      <c r="LC63" s="5">
        <f t="shared" si="112"/>
        <v>719500</v>
      </c>
      <c r="LD63" s="29">
        <f t="shared" si="113"/>
        <v>0</v>
      </c>
      <c r="LE63" s="5">
        <f t="shared" si="114"/>
        <v>4364988</v>
      </c>
      <c r="LF63" s="29">
        <f t="shared" si="115"/>
        <v>0</v>
      </c>
      <c r="LG63" s="5">
        <f t="shared" si="116"/>
        <v>0</v>
      </c>
      <c r="LH63" s="29">
        <f t="shared" si="117"/>
        <v>0</v>
      </c>
      <c r="LI63" s="5">
        <f t="shared" si="118"/>
        <v>2462909</v>
      </c>
      <c r="LJ63" s="29">
        <f t="shared" si="119"/>
        <v>0</v>
      </c>
      <c r="LK63" s="5">
        <f t="shared" si="120"/>
        <v>0</v>
      </c>
      <c r="LL63" s="29">
        <f t="shared" si="121"/>
        <v>0</v>
      </c>
      <c r="LM63" s="5">
        <f t="shared" si="122"/>
        <v>0</v>
      </c>
      <c r="LN63" s="29">
        <f t="shared" si="123"/>
        <v>0</v>
      </c>
      <c r="LO63" s="5">
        <f t="shared" si="124"/>
        <v>488100</v>
      </c>
      <c r="LP63" s="29">
        <f t="shared" si="125"/>
        <v>0</v>
      </c>
      <c r="LQ63" s="5">
        <f t="shared" si="126"/>
        <v>2454960</v>
      </c>
      <c r="LR63" s="29">
        <f t="shared" si="127"/>
        <v>0</v>
      </c>
      <c r="LS63" s="5">
        <f t="shared" si="128"/>
        <v>951750</v>
      </c>
      <c r="LT63" s="29">
        <f t="shared" si="129"/>
        <v>0</v>
      </c>
      <c r="LU63" s="5">
        <f t="shared" si="130"/>
        <v>299835</v>
      </c>
      <c r="LV63" s="29">
        <f t="shared" si="131"/>
        <v>0</v>
      </c>
      <c r="LW63" s="5">
        <f t="shared" si="132"/>
        <v>1270910</v>
      </c>
      <c r="LX63" s="29">
        <f t="shared" si="133"/>
        <v>0</v>
      </c>
      <c r="LY63" s="5">
        <f t="shared" si="134"/>
        <v>206559</v>
      </c>
      <c r="LZ63" s="29">
        <f t="shared" si="135"/>
        <v>0</v>
      </c>
      <c r="MA63" s="5">
        <f t="shared" si="136"/>
        <v>930167</v>
      </c>
      <c r="MB63" s="29">
        <f t="shared" si="137"/>
        <v>0</v>
      </c>
      <c r="MC63" s="5">
        <f t="shared" si="138"/>
        <v>0</v>
      </c>
      <c r="MD63" s="29">
        <f t="shared" si="139"/>
        <v>0</v>
      </c>
      <c r="ME63" s="5">
        <f t="shared" si="140"/>
        <v>2348405</v>
      </c>
      <c r="MF63" s="29">
        <f t="shared" si="141"/>
        <v>0</v>
      </c>
      <c r="MG63" s="5">
        <f t="shared" si="142"/>
        <v>325604</v>
      </c>
      <c r="MH63" s="29">
        <f t="shared" si="143"/>
        <v>0</v>
      </c>
      <c r="MI63" s="5">
        <f t="shared" si="144"/>
        <v>302090</v>
      </c>
      <c r="MJ63" s="29">
        <f t="shared" si="145"/>
        <v>0</v>
      </c>
      <c r="MK63" s="5">
        <f t="shared" si="146"/>
        <v>605039</v>
      </c>
      <c r="ML63" s="29">
        <f t="shared" si="147"/>
        <v>0</v>
      </c>
      <c r="MM63" s="5">
        <f t="shared" si="148"/>
        <v>24408346</v>
      </c>
      <c r="MN63" s="29">
        <f t="shared" si="149"/>
        <v>0</v>
      </c>
      <c r="MO63" s="5">
        <f t="shared" si="150"/>
        <v>0</v>
      </c>
      <c r="MP63" s="29">
        <f t="shared" si="151"/>
        <v>0</v>
      </c>
      <c r="MQ63" s="5">
        <f t="shared" si="152"/>
        <v>24408346</v>
      </c>
      <c r="MR63" s="29">
        <f t="shared" si="153"/>
        <v>0</v>
      </c>
      <c r="MT63" s="5">
        <f t="shared" si="76"/>
        <v>0</v>
      </c>
      <c r="MV63" s="4">
        <f t="shared" si="77"/>
        <v>0</v>
      </c>
    </row>
    <row r="64" spans="1:360" x14ac:dyDescent="0.15">
      <c r="A64" s="157" t="s">
        <v>341</v>
      </c>
      <c r="B64" s="28" t="s">
        <v>407</v>
      </c>
      <c r="C64" s="47">
        <v>204796</v>
      </c>
      <c r="D64" s="48">
        <v>2012</v>
      </c>
      <c r="E64" s="49">
        <v>1</v>
      </c>
      <c r="F64" s="49">
        <v>3</v>
      </c>
      <c r="G64" s="50">
        <v>20583</v>
      </c>
      <c r="H64" s="50">
        <v>18651</v>
      </c>
      <c r="I64" s="51">
        <v>4576716000</v>
      </c>
      <c r="J64" s="51"/>
      <c r="K64" s="51">
        <v>17344967</v>
      </c>
      <c r="L64" s="51"/>
      <c r="M64" s="64">
        <v>160062000</v>
      </c>
      <c r="N64" s="51"/>
      <c r="O64" s="64">
        <v>177032054</v>
      </c>
      <c r="P64" s="51"/>
      <c r="Q64" s="64">
        <v>2476984000</v>
      </c>
      <c r="R64" s="51"/>
      <c r="S64" s="51">
        <v>2130716000</v>
      </c>
      <c r="T64" s="51"/>
      <c r="U64" s="51">
        <v>23086</v>
      </c>
      <c r="V64" s="51"/>
      <c r="W64" s="51">
        <v>37981</v>
      </c>
      <c r="X64" s="51"/>
      <c r="Y64" s="51">
        <v>26847</v>
      </c>
      <c r="Z64" s="51"/>
      <c r="AA64" s="51">
        <v>42975</v>
      </c>
      <c r="AB64" s="51"/>
      <c r="AC64" s="72">
        <v>18</v>
      </c>
      <c r="AD64" s="72">
        <v>18</v>
      </c>
      <c r="AE64" s="72">
        <v>2</v>
      </c>
      <c r="AF64" s="29">
        <v>7544719</v>
      </c>
      <c r="AG64" s="29">
        <v>7247592</v>
      </c>
      <c r="AH64" s="29">
        <v>895554</v>
      </c>
      <c r="AI64" s="29">
        <v>391970</v>
      </c>
      <c r="AJ64" s="29">
        <v>512187</v>
      </c>
      <c r="AK64" s="73">
        <v>15</v>
      </c>
      <c r="AL64" s="29">
        <v>480175</v>
      </c>
      <c r="AM64" s="73">
        <v>16</v>
      </c>
      <c r="AN64" s="29">
        <v>166070</v>
      </c>
      <c r="AO64" s="73">
        <v>16</v>
      </c>
      <c r="AP64" s="29">
        <v>147618</v>
      </c>
      <c r="AQ64" s="73">
        <v>18</v>
      </c>
      <c r="AR64" s="29">
        <v>154215</v>
      </c>
      <c r="AS64" s="73">
        <v>32</v>
      </c>
      <c r="AT64" s="29">
        <v>147206</v>
      </c>
      <c r="AU64" s="73">
        <v>33</v>
      </c>
      <c r="AV64" s="29">
        <v>59277</v>
      </c>
      <c r="AW64" s="73">
        <v>27</v>
      </c>
      <c r="AX64" s="29">
        <v>56101</v>
      </c>
      <c r="AY64" s="73">
        <v>28</v>
      </c>
      <c r="AZ64" s="97">
        <v>41046031</v>
      </c>
      <c r="BA64" s="97">
        <v>6483530</v>
      </c>
      <c r="BB64" s="97">
        <v>381704</v>
      </c>
      <c r="BC64" s="97">
        <v>514444</v>
      </c>
      <c r="BD64" s="97">
        <v>681306</v>
      </c>
      <c r="BE64" s="97">
        <v>49107015</v>
      </c>
      <c r="BF64" s="97">
        <v>0</v>
      </c>
      <c r="BG64" s="97">
        <v>0</v>
      </c>
      <c r="BH64" s="97">
        <v>0</v>
      </c>
      <c r="BI64" s="97">
        <v>0</v>
      </c>
      <c r="BJ64" s="97">
        <v>0</v>
      </c>
      <c r="BK64" s="97">
        <v>0</v>
      </c>
      <c r="BL64" s="97">
        <v>3940040</v>
      </c>
      <c r="BM64" s="97">
        <v>525547</v>
      </c>
      <c r="BN64" s="97">
        <v>0</v>
      </c>
      <c r="BO64" s="97">
        <v>0</v>
      </c>
      <c r="BP64" s="97">
        <v>0</v>
      </c>
      <c r="BQ64" s="97">
        <v>4465587</v>
      </c>
      <c r="BR64" s="97">
        <v>170068</v>
      </c>
      <c r="BS64" s="97">
        <v>84168</v>
      </c>
      <c r="BT64" s="97">
        <v>68682</v>
      </c>
      <c r="BU64" s="97">
        <v>0</v>
      </c>
      <c r="BV64" s="97">
        <v>18783384</v>
      </c>
      <c r="BW64" s="97">
        <v>19106302</v>
      </c>
      <c r="BX64" s="97">
        <v>0</v>
      </c>
      <c r="BY64" s="97">
        <v>0</v>
      </c>
      <c r="BZ64" s="97">
        <v>0</v>
      </c>
      <c r="CA64" s="97">
        <v>0</v>
      </c>
      <c r="CB64" s="97">
        <v>0</v>
      </c>
      <c r="CC64" s="97">
        <v>0</v>
      </c>
      <c r="CD64" s="97">
        <v>0</v>
      </c>
      <c r="CE64" s="97">
        <v>0</v>
      </c>
      <c r="CF64" s="97">
        <v>0</v>
      </c>
      <c r="CG64" s="97">
        <v>0</v>
      </c>
      <c r="CH64" s="97">
        <v>0</v>
      </c>
      <c r="CI64" s="97">
        <v>0</v>
      </c>
      <c r="CJ64" s="97">
        <v>0</v>
      </c>
      <c r="CK64" s="97">
        <v>0</v>
      </c>
      <c r="CL64" s="97">
        <v>0</v>
      </c>
      <c r="CM64" s="97">
        <v>0</v>
      </c>
      <c r="CN64" s="97">
        <v>0</v>
      </c>
      <c r="CO64" s="97">
        <v>0</v>
      </c>
      <c r="CP64" s="97">
        <v>0</v>
      </c>
      <c r="CQ64" s="97">
        <v>0</v>
      </c>
      <c r="CR64" s="97">
        <v>0</v>
      </c>
      <c r="CS64" s="97">
        <v>0</v>
      </c>
      <c r="CT64" s="97">
        <v>0</v>
      </c>
      <c r="CU64" s="97">
        <v>0</v>
      </c>
      <c r="CV64" s="97">
        <v>13157169</v>
      </c>
      <c r="CW64" s="97">
        <v>9562791</v>
      </c>
      <c r="CX64" s="97">
        <v>0</v>
      </c>
      <c r="CY64" s="97">
        <v>0</v>
      </c>
      <c r="CZ64" s="97">
        <v>0</v>
      </c>
      <c r="DA64" s="97">
        <v>22719960</v>
      </c>
      <c r="DB64" s="97">
        <v>1286050</v>
      </c>
      <c r="DC64" s="97">
        <v>701500</v>
      </c>
      <c r="DD64" s="97">
        <v>0</v>
      </c>
      <c r="DE64" s="97">
        <v>0</v>
      </c>
      <c r="DF64" s="97">
        <v>0</v>
      </c>
      <c r="DG64" s="97">
        <v>1987550</v>
      </c>
      <c r="DH64" s="97">
        <v>3392030</v>
      </c>
      <c r="DI64" s="97">
        <v>582209</v>
      </c>
      <c r="DJ64" s="97">
        <v>83016</v>
      </c>
      <c r="DK64" s="97">
        <v>180081</v>
      </c>
      <c r="DL64" s="97">
        <v>1950500</v>
      </c>
      <c r="DM64" s="97">
        <v>6187836</v>
      </c>
      <c r="DN64" s="97">
        <v>330000</v>
      </c>
      <c r="DO64" s="97">
        <v>57000</v>
      </c>
      <c r="DP64" s="97">
        <v>57000</v>
      </c>
      <c r="DQ64" s="97">
        <v>675500</v>
      </c>
      <c r="DR64" s="97">
        <v>8570441</v>
      </c>
      <c r="DS64" s="97">
        <v>9689941</v>
      </c>
      <c r="DT64" s="97">
        <v>544773</v>
      </c>
      <c r="DU64" s="97">
        <v>124604</v>
      </c>
      <c r="DV64" s="97">
        <v>28870</v>
      </c>
      <c r="DW64" s="97">
        <v>2058139</v>
      </c>
      <c r="DX64" s="97">
        <v>0</v>
      </c>
      <c r="DY64" s="97">
        <v>2756386</v>
      </c>
      <c r="DZ64" s="97">
        <v>0</v>
      </c>
      <c r="EA64" s="97">
        <v>0</v>
      </c>
      <c r="EB64" s="97">
        <v>0</v>
      </c>
      <c r="EC64" s="97">
        <v>0</v>
      </c>
      <c r="ED64" s="97">
        <v>149193</v>
      </c>
      <c r="EE64" s="97">
        <v>149193</v>
      </c>
      <c r="EF64" s="97">
        <v>0</v>
      </c>
      <c r="EG64" s="97">
        <v>0</v>
      </c>
      <c r="EH64" s="97">
        <v>0</v>
      </c>
      <c r="EI64" s="97">
        <v>0</v>
      </c>
      <c r="EJ64" s="97">
        <v>25873287</v>
      </c>
      <c r="EK64" s="97">
        <v>25873287</v>
      </c>
      <c r="EL64" s="97">
        <v>63866161</v>
      </c>
      <c r="EM64" s="97">
        <v>18121349</v>
      </c>
      <c r="EN64" s="97">
        <v>619272</v>
      </c>
      <c r="EO64" s="97">
        <v>3428164</v>
      </c>
      <c r="EP64" s="97">
        <v>56008111</v>
      </c>
      <c r="EQ64" s="97">
        <v>142043057</v>
      </c>
      <c r="ER64" s="97">
        <v>2979556</v>
      </c>
      <c r="ES64" s="97">
        <v>524888</v>
      </c>
      <c r="ET64" s="97">
        <v>551464</v>
      </c>
      <c r="EU64" s="97">
        <v>11004155</v>
      </c>
      <c r="EV64" s="97">
        <v>0</v>
      </c>
      <c r="EW64" s="97">
        <v>15060063</v>
      </c>
      <c r="EX64" s="97">
        <v>6638071</v>
      </c>
      <c r="EY64" s="97">
        <v>816616</v>
      </c>
      <c r="EZ64" s="97">
        <v>135009</v>
      </c>
      <c r="FA64" s="97">
        <v>81334</v>
      </c>
      <c r="FB64" s="97">
        <v>0</v>
      </c>
      <c r="FC64" s="97">
        <v>7671030</v>
      </c>
      <c r="FD64" s="97">
        <v>6154456</v>
      </c>
      <c r="FE64" s="97">
        <v>2892312</v>
      </c>
      <c r="FF64" s="97">
        <v>1266696</v>
      </c>
      <c r="FG64" s="97">
        <v>6455115</v>
      </c>
      <c r="FH64" s="97">
        <v>0</v>
      </c>
      <c r="FI64" s="97">
        <v>16768579</v>
      </c>
      <c r="FJ64" s="97">
        <v>0</v>
      </c>
      <c r="FK64" s="97">
        <v>0</v>
      </c>
      <c r="FL64" s="97">
        <v>0</v>
      </c>
      <c r="FM64" s="97">
        <v>0</v>
      </c>
      <c r="FN64" s="97">
        <v>0</v>
      </c>
      <c r="FO64" s="97">
        <v>0</v>
      </c>
      <c r="FP64" s="97">
        <v>660120</v>
      </c>
      <c r="FQ64" s="97">
        <v>232568</v>
      </c>
      <c r="FR64" s="97">
        <v>141543</v>
      </c>
      <c r="FS64" s="97">
        <v>207784</v>
      </c>
      <c r="FT64" s="97">
        <v>13492630</v>
      </c>
      <c r="FU64" s="97">
        <v>14734645</v>
      </c>
      <c r="FV64" s="97">
        <v>0</v>
      </c>
      <c r="FW64" s="97">
        <v>0</v>
      </c>
      <c r="FX64" s="97">
        <v>0</v>
      </c>
      <c r="FY64" s="97">
        <v>0</v>
      </c>
      <c r="FZ64" s="97">
        <v>0</v>
      </c>
      <c r="GA64" s="97">
        <v>0</v>
      </c>
      <c r="GB64" s="97">
        <v>1372883</v>
      </c>
      <c r="GC64" s="97">
        <v>0</v>
      </c>
      <c r="GD64" s="97">
        <v>0</v>
      </c>
      <c r="GE64" s="97">
        <v>0</v>
      </c>
      <c r="GF64" s="97">
        <v>0</v>
      </c>
      <c r="GG64" s="97">
        <v>1372883</v>
      </c>
      <c r="GH64" s="97">
        <v>344987</v>
      </c>
      <c r="GI64" s="97">
        <v>290211</v>
      </c>
      <c r="GJ64" s="97">
        <v>84177</v>
      </c>
      <c r="GK64" s="97">
        <v>570248</v>
      </c>
      <c r="GL64" s="97">
        <v>0</v>
      </c>
      <c r="GM64" s="97">
        <v>1289623</v>
      </c>
      <c r="GN64" s="97">
        <v>2697602</v>
      </c>
      <c r="GO64" s="97">
        <v>625648</v>
      </c>
      <c r="GP64" s="97">
        <v>452816</v>
      </c>
      <c r="GQ64" s="97">
        <v>3218257</v>
      </c>
      <c r="GR64" s="97">
        <v>0</v>
      </c>
      <c r="GS64" s="97">
        <v>6994323</v>
      </c>
      <c r="GT64" s="97">
        <v>302958</v>
      </c>
      <c r="GU64" s="97">
        <v>9699</v>
      </c>
      <c r="GV64" s="97">
        <v>7517</v>
      </c>
      <c r="GW64" s="97">
        <v>523673</v>
      </c>
      <c r="GX64" s="97">
        <v>0</v>
      </c>
      <c r="GY64" s="97">
        <v>843847</v>
      </c>
      <c r="GZ64" s="97">
        <v>9619299</v>
      </c>
      <c r="HA64" s="97">
        <v>1624289</v>
      </c>
      <c r="HB64" s="97">
        <v>385989</v>
      </c>
      <c r="HC64" s="97">
        <v>658054</v>
      </c>
      <c r="HD64" s="97">
        <v>0</v>
      </c>
      <c r="HE64" s="97">
        <v>12287631</v>
      </c>
      <c r="HF64" s="97">
        <v>0</v>
      </c>
      <c r="HG64" s="97">
        <v>0</v>
      </c>
      <c r="HH64" s="97">
        <v>0</v>
      </c>
      <c r="HI64" s="97">
        <v>0</v>
      </c>
      <c r="HJ64" s="97">
        <v>2558050</v>
      </c>
      <c r="HK64" s="97">
        <v>2558050</v>
      </c>
      <c r="HL64" s="97">
        <v>332102</v>
      </c>
      <c r="HM64" s="97">
        <v>133195</v>
      </c>
      <c r="HN64" s="97">
        <v>39209</v>
      </c>
      <c r="HO64" s="97">
        <v>2021463</v>
      </c>
      <c r="HP64" s="97">
        <v>0</v>
      </c>
      <c r="HQ64" s="97">
        <v>2525969</v>
      </c>
      <c r="HR64" s="97">
        <v>3253758</v>
      </c>
      <c r="HS64" s="97">
        <v>0</v>
      </c>
      <c r="HT64" s="97">
        <v>0</v>
      </c>
      <c r="HU64" s="97">
        <v>2566376</v>
      </c>
      <c r="HV64" s="97">
        <v>0</v>
      </c>
      <c r="HW64" s="97">
        <v>5820134</v>
      </c>
      <c r="HX64" s="97">
        <v>0</v>
      </c>
      <c r="HY64" s="97">
        <v>0</v>
      </c>
      <c r="HZ64" s="97">
        <v>0</v>
      </c>
      <c r="IA64" s="97">
        <v>0</v>
      </c>
      <c r="IB64" s="97">
        <v>395481</v>
      </c>
      <c r="IC64" s="97">
        <v>395481</v>
      </c>
      <c r="ID64" s="97">
        <v>0</v>
      </c>
      <c r="IE64" s="97">
        <v>0</v>
      </c>
      <c r="IF64" s="97">
        <v>0</v>
      </c>
      <c r="IG64" s="97">
        <v>0</v>
      </c>
      <c r="IH64" s="97">
        <v>0</v>
      </c>
      <c r="II64" s="97">
        <v>0</v>
      </c>
      <c r="IJ64" s="97">
        <v>0</v>
      </c>
      <c r="IK64" s="97">
        <v>0</v>
      </c>
      <c r="IL64" s="97">
        <v>0</v>
      </c>
      <c r="IM64" s="97">
        <v>0</v>
      </c>
      <c r="IN64" s="97">
        <v>1429962</v>
      </c>
      <c r="IO64" s="97">
        <v>1429962</v>
      </c>
      <c r="IP64" s="97">
        <v>4320</v>
      </c>
      <c r="IQ64" s="97">
        <v>545</v>
      </c>
      <c r="IR64" s="97">
        <v>885</v>
      </c>
      <c r="IS64" s="97">
        <v>15049</v>
      </c>
      <c r="IT64" s="97">
        <v>0</v>
      </c>
      <c r="IU64" s="97">
        <v>20799</v>
      </c>
      <c r="IV64" s="97">
        <v>0</v>
      </c>
      <c r="IW64" s="97">
        <v>0</v>
      </c>
      <c r="IX64" s="97">
        <v>0</v>
      </c>
      <c r="IY64" s="97">
        <v>0</v>
      </c>
      <c r="IZ64" s="97">
        <v>34646393</v>
      </c>
      <c r="JA64" s="97">
        <v>34646393</v>
      </c>
      <c r="JB64" s="97">
        <v>34360112</v>
      </c>
      <c r="JC64" s="97">
        <v>7149971</v>
      </c>
      <c r="JD64" s="97">
        <v>3065305</v>
      </c>
      <c r="JE64" s="97">
        <v>27321508</v>
      </c>
      <c r="JF64" s="97">
        <v>52522516</v>
      </c>
      <c r="JG64" s="97">
        <v>124419412</v>
      </c>
      <c r="JH64" s="97">
        <v>0</v>
      </c>
      <c r="JI64" s="97">
        <v>0</v>
      </c>
      <c r="JJ64" s="97">
        <v>0</v>
      </c>
      <c r="JK64" s="97">
        <v>0</v>
      </c>
      <c r="JL64" s="97">
        <v>9326498</v>
      </c>
      <c r="JM64" s="97">
        <v>9326498</v>
      </c>
      <c r="JN64" s="97">
        <v>34360112</v>
      </c>
      <c r="JO64" s="118">
        <v>7149971</v>
      </c>
      <c r="JP64" s="118">
        <v>3065305</v>
      </c>
      <c r="JQ64" s="118">
        <v>27321508</v>
      </c>
      <c r="JR64" s="118">
        <v>61849014</v>
      </c>
      <c r="JS64" s="118">
        <v>133745910</v>
      </c>
      <c r="JU64" s="5">
        <f t="shared" si="78"/>
        <v>49107015</v>
      </c>
      <c r="JV64" s="29">
        <f t="shared" si="79"/>
        <v>0</v>
      </c>
      <c r="JW64" s="5">
        <f t="shared" si="80"/>
        <v>0</v>
      </c>
      <c r="JX64" s="29">
        <f t="shared" si="81"/>
        <v>0</v>
      </c>
      <c r="JY64" s="5">
        <f t="shared" si="82"/>
        <v>4465587</v>
      </c>
      <c r="JZ64" s="29">
        <f t="shared" si="83"/>
        <v>0</v>
      </c>
      <c r="KA64" s="5">
        <f t="shared" si="84"/>
        <v>19106302</v>
      </c>
      <c r="KB64" s="29">
        <f t="shared" si="85"/>
        <v>0</v>
      </c>
      <c r="KC64" s="5">
        <f t="shared" si="86"/>
        <v>0</v>
      </c>
      <c r="KD64" s="29">
        <f t="shared" si="87"/>
        <v>0</v>
      </c>
      <c r="KE64" s="5">
        <f t="shared" si="88"/>
        <v>0</v>
      </c>
      <c r="KF64" s="29">
        <f t="shared" si="89"/>
        <v>0</v>
      </c>
      <c r="KG64" s="5">
        <f t="shared" si="90"/>
        <v>0</v>
      </c>
      <c r="KH64" s="29">
        <f t="shared" si="91"/>
        <v>0</v>
      </c>
      <c r="KI64" s="5">
        <f t="shared" si="92"/>
        <v>0</v>
      </c>
      <c r="KJ64" s="29">
        <f t="shared" si="93"/>
        <v>0</v>
      </c>
      <c r="KK64" s="5">
        <f t="shared" si="94"/>
        <v>22719960</v>
      </c>
      <c r="KL64" s="29">
        <f t="shared" si="95"/>
        <v>0</v>
      </c>
      <c r="KM64" s="5">
        <f t="shared" si="96"/>
        <v>1987550</v>
      </c>
      <c r="KN64" s="29">
        <f t="shared" si="97"/>
        <v>0</v>
      </c>
      <c r="KO64" s="5">
        <f t="shared" si="98"/>
        <v>6187836</v>
      </c>
      <c r="KP64" s="29">
        <f t="shared" si="99"/>
        <v>0</v>
      </c>
      <c r="KQ64" s="5">
        <f t="shared" si="100"/>
        <v>9689941</v>
      </c>
      <c r="KR64" s="29">
        <f t="shared" si="101"/>
        <v>0</v>
      </c>
      <c r="KS64" s="5">
        <f t="shared" si="102"/>
        <v>2756386</v>
      </c>
      <c r="KT64" s="29">
        <f t="shared" si="103"/>
        <v>0</v>
      </c>
      <c r="KU64" s="5">
        <f t="shared" si="104"/>
        <v>149193</v>
      </c>
      <c r="KV64" s="29">
        <f t="shared" si="105"/>
        <v>0</v>
      </c>
      <c r="KW64" s="5">
        <f t="shared" si="106"/>
        <v>25873287</v>
      </c>
      <c r="KX64" s="29">
        <f t="shared" si="107"/>
        <v>0</v>
      </c>
      <c r="KY64" s="5">
        <f t="shared" si="108"/>
        <v>142043057</v>
      </c>
      <c r="KZ64" s="29">
        <f t="shared" si="109"/>
        <v>0</v>
      </c>
      <c r="LA64" s="5">
        <f t="shared" si="110"/>
        <v>15060063</v>
      </c>
      <c r="LB64" s="29">
        <f t="shared" si="111"/>
        <v>0</v>
      </c>
      <c r="LC64" s="5">
        <f t="shared" si="112"/>
        <v>7671030</v>
      </c>
      <c r="LD64" s="29">
        <f t="shared" si="113"/>
        <v>0</v>
      </c>
      <c r="LE64" s="5">
        <f t="shared" si="114"/>
        <v>16768579</v>
      </c>
      <c r="LF64" s="29">
        <f t="shared" si="115"/>
        <v>0</v>
      </c>
      <c r="LG64" s="5">
        <f t="shared" si="116"/>
        <v>0</v>
      </c>
      <c r="LH64" s="29">
        <f t="shared" si="117"/>
        <v>0</v>
      </c>
      <c r="LI64" s="5">
        <f t="shared" si="118"/>
        <v>14734645</v>
      </c>
      <c r="LJ64" s="29">
        <f t="shared" si="119"/>
        <v>0</v>
      </c>
      <c r="LK64" s="5">
        <f t="shared" si="120"/>
        <v>0</v>
      </c>
      <c r="LL64" s="29">
        <f t="shared" si="121"/>
        <v>0</v>
      </c>
      <c r="LM64" s="5">
        <f t="shared" si="122"/>
        <v>1372883</v>
      </c>
      <c r="LN64" s="29">
        <f t="shared" si="123"/>
        <v>0</v>
      </c>
      <c r="LO64" s="5">
        <f t="shared" si="124"/>
        <v>1289623</v>
      </c>
      <c r="LP64" s="29">
        <f t="shared" si="125"/>
        <v>0</v>
      </c>
      <c r="LQ64" s="5">
        <f t="shared" si="126"/>
        <v>6994323</v>
      </c>
      <c r="LR64" s="29">
        <f t="shared" si="127"/>
        <v>0</v>
      </c>
      <c r="LS64" s="5">
        <f t="shared" si="128"/>
        <v>843847</v>
      </c>
      <c r="LT64" s="29">
        <f t="shared" si="129"/>
        <v>0</v>
      </c>
      <c r="LU64" s="5">
        <f t="shared" si="130"/>
        <v>12287631</v>
      </c>
      <c r="LV64" s="29">
        <f t="shared" si="131"/>
        <v>0</v>
      </c>
      <c r="LW64" s="5">
        <f t="shared" si="132"/>
        <v>2558050</v>
      </c>
      <c r="LX64" s="29">
        <f t="shared" si="133"/>
        <v>0</v>
      </c>
      <c r="LY64" s="5">
        <f t="shared" si="134"/>
        <v>2525969</v>
      </c>
      <c r="LZ64" s="29">
        <f t="shared" si="135"/>
        <v>0</v>
      </c>
      <c r="MA64" s="5">
        <f t="shared" si="136"/>
        <v>5820134</v>
      </c>
      <c r="MB64" s="29">
        <f t="shared" si="137"/>
        <v>0</v>
      </c>
      <c r="MC64" s="5">
        <f t="shared" si="138"/>
        <v>395481</v>
      </c>
      <c r="MD64" s="29">
        <f t="shared" si="139"/>
        <v>0</v>
      </c>
      <c r="ME64" s="5">
        <f t="shared" si="140"/>
        <v>0</v>
      </c>
      <c r="MF64" s="29">
        <f t="shared" si="141"/>
        <v>0</v>
      </c>
      <c r="MG64" s="5">
        <f t="shared" si="142"/>
        <v>1429962</v>
      </c>
      <c r="MH64" s="29">
        <f t="shared" si="143"/>
        <v>0</v>
      </c>
      <c r="MI64" s="5">
        <f t="shared" si="144"/>
        <v>20799</v>
      </c>
      <c r="MJ64" s="29">
        <f t="shared" si="145"/>
        <v>0</v>
      </c>
      <c r="MK64" s="5">
        <f t="shared" si="146"/>
        <v>34646393</v>
      </c>
      <c r="ML64" s="29">
        <f t="shared" si="147"/>
        <v>0</v>
      </c>
      <c r="MM64" s="5">
        <f t="shared" si="148"/>
        <v>124419412</v>
      </c>
      <c r="MN64" s="29">
        <f t="shared" si="149"/>
        <v>0</v>
      </c>
      <c r="MO64" s="5">
        <f t="shared" si="150"/>
        <v>9326498</v>
      </c>
      <c r="MP64" s="29">
        <f t="shared" si="151"/>
        <v>0</v>
      </c>
      <c r="MQ64" s="5">
        <f t="shared" si="152"/>
        <v>133745910</v>
      </c>
      <c r="MR64" s="29">
        <f t="shared" si="153"/>
        <v>0</v>
      </c>
      <c r="MT64" s="5">
        <f t="shared" si="76"/>
        <v>0</v>
      </c>
      <c r="MV64" s="4">
        <f t="shared" si="77"/>
        <v>0</v>
      </c>
    </row>
    <row r="65" spans="1:371" x14ac:dyDescent="0.15">
      <c r="A65" s="18" t="s">
        <v>342</v>
      </c>
      <c r="B65" s="28" t="s">
        <v>405</v>
      </c>
      <c r="C65" s="48">
        <v>207500</v>
      </c>
      <c r="D65" s="48">
        <v>2012</v>
      </c>
      <c r="E65" s="49">
        <v>1</v>
      </c>
      <c r="F65" s="49">
        <v>2</v>
      </c>
      <c r="G65" s="50">
        <v>8548</v>
      </c>
      <c r="H65" s="50">
        <v>9093</v>
      </c>
      <c r="I65" s="51">
        <v>825424000</v>
      </c>
      <c r="J65" s="51"/>
      <c r="K65" s="51">
        <v>9001121</v>
      </c>
      <c r="L65" s="51"/>
      <c r="M65" s="51">
        <v>79948000</v>
      </c>
      <c r="N65" s="51"/>
      <c r="O65" s="51">
        <v>125123844</v>
      </c>
      <c r="P65" s="51"/>
      <c r="Q65" s="51">
        <v>754129000</v>
      </c>
      <c r="R65" s="51"/>
      <c r="S65" s="51">
        <v>474368000</v>
      </c>
      <c r="T65" s="51"/>
      <c r="U65" s="51">
        <v>17850</v>
      </c>
      <c r="V65" s="51"/>
      <c r="W65" s="51">
        <v>28802</v>
      </c>
      <c r="X65" s="51"/>
      <c r="Y65" s="51">
        <v>22161</v>
      </c>
      <c r="Z65" s="51"/>
      <c r="AA65" s="51">
        <v>33114</v>
      </c>
      <c r="AB65" s="51"/>
      <c r="AC65" s="74">
        <v>10</v>
      </c>
      <c r="AD65" s="74">
        <v>11</v>
      </c>
      <c r="AE65" s="74">
        <v>0</v>
      </c>
      <c r="AF65" s="29">
        <v>4896616</v>
      </c>
      <c r="AG65" s="29">
        <v>4073442</v>
      </c>
      <c r="AH65" s="29">
        <v>921856</v>
      </c>
      <c r="AI65" s="29">
        <v>523178</v>
      </c>
      <c r="AJ65" s="29">
        <v>1334285.07</v>
      </c>
      <c r="AK65" s="73">
        <v>7.5</v>
      </c>
      <c r="AL65" s="29">
        <v>1205892.25</v>
      </c>
      <c r="AM65" s="73">
        <v>8</v>
      </c>
      <c r="AN65" s="29">
        <v>372299.88</v>
      </c>
      <c r="AO65" s="73">
        <v>8.5</v>
      </c>
      <c r="AP65" s="29">
        <v>351616.56</v>
      </c>
      <c r="AQ65" s="73">
        <v>9</v>
      </c>
      <c r="AR65" s="29">
        <v>256466</v>
      </c>
      <c r="AS65" s="73">
        <v>22.5</v>
      </c>
      <c r="AT65" s="29">
        <v>230819.4</v>
      </c>
      <c r="AU65" s="73">
        <v>25</v>
      </c>
      <c r="AV65" s="29">
        <v>104620.8</v>
      </c>
      <c r="AW65" s="73">
        <v>17.5</v>
      </c>
      <c r="AX65" s="29">
        <v>91543.2</v>
      </c>
      <c r="AY65" s="73">
        <v>20</v>
      </c>
      <c r="AZ65" s="138">
        <v>32516003</v>
      </c>
      <c r="BA65" s="138">
        <v>2186834</v>
      </c>
      <c r="BB65" s="138">
        <v>1076442</v>
      </c>
      <c r="BC65" s="138">
        <v>502207</v>
      </c>
      <c r="BD65" s="138">
        <v>0</v>
      </c>
      <c r="BE65" s="138">
        <v>36281486</v>
      </c>
      <c r="BF65" s="97">
        <v>0</v>
      </c>
      <c r="BG65" s="97">
        <v>0</v>
      </c>
      <c r="BH65" s="97">
        <v>0</v>
      </c>
      <c r="BI65" s="97">
        <v>0</v>
      </c>
      <c r="BJ65" s="97">
        <v>0</v>
      </c>
      <c r="BK65" s="97">
        <v>0</v>
      </c>
      <c r="BL65" s="138">
        <v>925000</v>
      </c>
      <c r="BM65" s="138">
        <v>92500</v>
      </c>
      <c r="BN65" s="138">
        <v>0</v>
      </c>
      <c r="BO65" s="138">
        <v>15000</v>
      </c>
      <c r="BP65" s="138">
        <v>0</v>
      </c>
      <c r="BQ65" s="138">
        <v>1032500</v>
      </c>
      <c r="BR65" s="138">
        <v>13811227</v>
      </c>
      <c r="BS65" s="138">
        <v>2865746</v>
      </c>
      <c r="BT65" s="138">
        <v>1173382</v>
      </c>
      <c r="BU65" s="138">
        <v>1843495</v>
      </c>
      <c r="BV65" s="138">
        <v>12886423</v>
      </c>
      <c r="BW65" s="138">
        <v>32580273</v>
      </c>
      <c r="BX65" s="97">
        <v>0</v>
      </c>
      <c r="BY65" s="97">
        <v>0</v>
      </c>
      <c r="BZ65" s="97">
        <v>0</v>
      </c>
      <c r="CA65" s="97">
        <v>0</v>
      </c>
      <c r="CB65" s="97">
        <v>0</v>
      </c>
      <c r="CC65" s="97">
        <v>0</v>
      </c>
      <c r="CD65" s="97">
        <v>0</v>
      </c>
      <c r="CE65" s="97">
        <v>0</v>
      </c>
      <c r="CF65" s="97">
        <v>0</v>
      </c>
      <c r="CG65" s="97">
        <v>0</v>
      </c>
      <c r="CH65" s="97">
        <v>0</v>
      </c>
      <c r="CI65" s="97">
        <v>0</v>
      </c>
      <c r="CJ65" s="97">
        <v>0</v>
      </c>
      <c r="CK65" s="97">
        <v>0</v>
      </c>
      <c r="CL65" s="97">
        <v>0</v>
      </c>
      <c r="CM65" s="97">
        <v>0</v>
      </c>
      <c r="CN65" s="97">
        <v>0</v>
      </c>
      <c r="CO65" s="97">
        <v>0</v>
      </c>
      <c r="CP65" s="97">
        <v>0</v>
      </c>
      <c r="CQ65" s="97">
        <v>0</v>
      </c>
      <c r="CR65" s="97">
        <v>0</v>
      </c>
      <c r="CS65" s="97">
        <v>0</v>
      </c>
      <c r="CT65" s="97">
        <v>0</v>
      </c>
      <c r="CU65" s="97">
        <v>0</v>
      </c>
      <c r="CV65" s="138">
        <v>10488444</v>
      </c>
      <c r="CW65" s="138">
        <v>2494871</v>
      </c>
      <c r="CX65" s="138">
        <v>46581</v>
      </c>
      <c r="CY65" s="138">
        <v>1244591</v>
      </c>
      <c r="CZ65" s="138">
        <v>2038372</v>
      </c>
      <c r="DA65" s="138">
        <v>16312859</v>
      </c>
      <c r="DB65" s="97">
        <v>308527</v>
      </c>
      <c r="DC65" s="97">
        <v>0</v>
      </c>
      <c r="DD65" s="97">
        <v>0</v>
      </c>
      <c r="DE65" s="97">
        <v>0</v>
      </c>
      <c r="DF65" s="97">
        <v>0</v>
      </c>
      <c r="DG65" s="97">
        <v>308527</v>
      </c>
      <c r="DH65" s="97">
        <v>1051863</v>
      </c>
      <c r="DI65" s="97">
        <v>210451</v>
      </c>
      <c r="DJ65" s="97">
        <v>199879</v>
      </c>
      <c r="DK65" s="97">
        <v>105572</v>
      </c>
      <c r="DL65" s="97">
        <v>722555</v>
      </c>
      <c r="DM65" s="97">
        <v>2290320</v>
      </c>
      <c r="DN65" s="97">
        <v>250124</v>
      </c>
      <c r="DO65" s="97">
        <v>0</v>
      </c>
      <c r="DP65" s="97">
        <v>0</v>
      </c>
      <c r="DQ65" s="97">
        <v>0</v>
      </c>
      <c r="DR65" s="97">
        <v>12903785</v>
      </c>
      <c r="DS65" s="97">
        <v>13153909</v>
      </c>
      <c r="DT65" s="97">
        <v>0</v>
      </c>
      <c r="DU65" s="97">
        <v>0</v>
      </c>
      <c r="DV65" s="97">
        <v>0</v>
      </c>
      <c r="DW65" s="97">
        <v>0</v>
      </c>
      <c r="DX65" s="97">
        <v>0</v>
      </c>
      <c r="DY65" s="97">
        <v>0</v>
      </c>
      <c r="DZ65" s="97">
        <v>416404</v>
      </c>
      <c r="EA65" s="97">
        <v>287528</v>
      </c>
      <c r="EB65" s="97">
        <v>158445</v>
      </c>
      <c r="EC65" s="97">
        <v>811121</v>
      </c>
      <c r="ED65" s="97">
        <v>-863674</v>
      </c>
      <c r="EE65" s="97">
        <v>809824</v>
      </c>
      <c r="EF65" s="97">
        <v>58061</v>
      </c>
      <c r="EG65" s="97">
        <v>8840</v>
      </c>
      <c r="EH65" s="97">
        <v>66059</v>
      </c>
      <c r="EI65" s="97">
        <v>155678</v>
      </c>
      <c r="EJ65" s="97">
        <v>3398280</v>
      </c>
      <c r="EK65" s="97">
        <v>3686918</v>
      </c>
      <c r="EL65" s="97">
        <v>59825653</v>
      </c>
      <c r="EM65" s="97">
        <v>8146770</v>
      </c>
      <c r="EN65" s="97">
        <v>2720788</v>
      </c>
      <c r="EO65" s="97">
        <v>4677664</v>
      </c>
      <c r="EP65" s="97">
        <v>31085741</v>
      </c>
      <c r="EQ65" s="97">
        <v>106456616</v>
      </c>
      <c r="ER65" s="97">
        <v>2601418</v>
      </c>
      <c r="ES65" s="97">
        <v>358467</v>
      </c>
      <c r="ET65" s="97">
        <v>455465</v>
      </c>
      <c r="EU65" s="97">
        <v>5554708</v>
      </c>
      <c r="EV65" s="97">
        <v>406318</v>
      </c>
      <c r="EW65" s="97">
        <v>9376376</v>
      </c>
      <c r="EX65" s="97">
        <v>1250000</v>
      </c>
      <c r="EY65" s="97">
        <v>486800</v>
      </c>
      <c r="EZ65" s="97">
        <v>41000</v>
      </c>
      <c r="FA65" s="97">
        <v>91048</v>
      </c>
      <c r="FB65" s="97">
        <v>0</v>
      </c>
      <c r="FC65" s="97">
        <v>1868848</v>
      </c>
      <c r="FD65" s="97">
        <v>10223952</v>
      </c>
      <c r="FE65" s="97">
        <v>3200492</v>
      </c>
      <c r="FF65" s="97">
        <v>2127346</v>
      </c>
      <c r="FG65" s="97">
        <v>5221246</v>
      </c>
      <c r="FH65" s="97">
        <v>0</v>
      </c>
      <c r="FI65" s="97">
        <v>20773036</v>
      </c>
      <c r="FJ65" s="97">
        <v>0</v>
      </c>
      <c r="FK65" s="97">
        <v>0</v>
      </c>
      <c r="FL65" s="97">
        <v>0</v>
      </c>
      <c r="FM65" s="97">
        <v>0</v>
      </c>
      <c r="FN65" s="97">
        <v>0</v>
      </c>
      <c r="FO65" s="97">
        <v>0</v>
      </c>
      <c r="FP65" s="105">
        <v>704560</v>
      </c>
      <c r="FQ65" s="105">
        <v>347471</v>
      </c>
      <c r="FR65" s="105">
        <v>287363</v>
      </c>
      <c r="FS65" s="105">
        <v>209229</v>
      </c>
      <c r="FT65" s="105">
        <v>14087032</v>
      </c>
      <c r="FU65" s="105">
        <v>15635655</v>
      </c>
      <c r="FV65" s="97">
        <v>0</v>
      </c>
      <c r="FW65" s="97">
        <v>0</v>
      </c>
      <c r="FX65" s="97">
        <v>0</v>
      </c>
      <c r="FY65" s="97">
        <v>0</v>
      </c>
      <c r="FZ65" s="97">
        <v>0</v>
      </c>
      <c r="GA65" s="97">
        <v>0</v>
      </c>
      <c r="GB65" s="97">
        <v>0</v>
      </c>
      <c r="GC65" s="97">
        <v>0</v>
      </c>
      <c r="GD65" s="97">
        <v>0</v>
      </c>
      <c r="GE65" s="97">
        <v>107411</v>
      </c>
      <c r="GF65" s="97">
        <v>0</v>
      </c>
      <c r="GG65" s="97">
        <v>107411</v>
      </c>
      <c r="GH65" s="97">
        <v>473520</v>
      </c>
      <c r="GI65" s="97">
        <v>225514</v>
      </c>
      <c r="GJ65" s="97">
        <v>172214</v>
      </c>
      <c r="GK65" s="97">
        <v>573786</v>
      </c>
      <c r="GL65" s="97">
        <v>0</v>
      </c>
      <c r="GM65" s="97">
        <v>1445034</v>
      </c>
      <c r="GN65" s="97">
        <v>1812416</v>
      </c>
      <c r="GO65" s="97">
        <v>514196</v>
      </c>
      <c r="GP65" s="97">
        <v>706029</v>
      </c>
      <c r="GQ65" s="97">
        <v>3081880</v>
      </c>
      <c r="GR65" s="97">
        <v>107163</v>
      </c>
      <c r="GS65" s="97">
        <v>6221684</v>
      </c>
      <c r="GT65" s="97">
        <v>1044852</v>
      </c>
      <c r="GU65" s="97">
        <v>189142</v>
      </c>
      <c r="GV65" s="97">
        <v>195719</v>
      </c>
      <c r="GW65" s="97">
        <v>1340720</v>
      </c>
      <c r="GX65" s="97">
        <v>274088</v>
      </c>
      <c r="GY65" s="97">
        <v>3044521</v>
      </c>
      <c r="GZ65" s="97">
        <v>3784621</v>
      </c>
      <c r="HA65" s="97">
        <v>710662</v>
      </c>
      <c r="HB65" s="97">
        <v>523262</v>
      </c>
      <c r="HC65" s="97">
        <v>690958</v>
      </c>
      <c r="HD65" s="97">
        <v>2545730</v>
      </c>
      <c r="HE65" s="97">
        <v>8255233</v>
      </c>
      <c r="HF65" s="97">
        <v>197284</v>
      </c>
      <c r="HG65" s="97">
        <v>141218</v>
      </c>
      <c r="HH65" s="97">
        <v>70061</v>
      </c>
      <c r="HI65" s="97">
        <v>88753</v>
      </c>
      <c r="HJ65" s="97">
        <v>1394954</v>
      </c>
      <c r="HK65" s="97">
        <v>1892270</v>
      </c>
      <c r="HL65" s="97">
        <v>0</v>
      </c>
      <c r="HM65" s="97">
        <v>0</v>
      </c>
      <c r="HN65" s="97">
        <v>0</v>
      </c>
      <c r="HO65" s="97">
        <v>0</v>
      </c>
      <c r="HP65" s="97">
        <v>0</v>
      </c>
      <c r="HQ65" s="97">
        <v>0</v>
      </c>
      <c r="HR65" s="97">
        <v>985087</v>
      </c>
      <c r="HS65" s="97">
        <v>173214</v>
      </c>
      <c r="HT65" s="97">
        <v>164462</v>
      </c>
      <c r="HU65" s="97">
        <v>1737910</v>
      </c>
      <c r="HV65" s="97">
        <v>17995306</v>
      </c>
      <c r="HW65" s="97">
        <v>21055979</v>
      </c>
      <c r="HX65" s="97">
        <v>0</v>
      </c>
      <c r="HY65" s="97">
        <v>0</v>
      </c>
      <c r="HZ65" s="97">
        <v>0</v>
      </c>
      <c r="IA65" s="97">
        <v>0</v>
      </c>
      <c r="IB65" s="97">
        <v>147575</v>
      </c>
      <c r="IC65" s="97">
        <v>147575</v>
      </c>
      <c r="ID65" s="97">
        <v>0</v>
      </c>
      <c r="IE65" s="97">
        <v>0</v>
      </c>
      <c r="IF65" s="97">
        <v>0</v>
      </c>
      <c r="IG65" s="97">
        <v>0</v>
      </c>
      <c r="IH65" s="97">
        <v>0</v>
      </c>
      <c r="II65" s="97">
        <v>0</v>
      </c>
      <c r="IJ65" s="97">
        <v>184825</v>
      </c>
      <c r="IK65" s="97">
        <v>13798</v>
      </c>
      <c r="IL65" s="97">
        <v>40870</v>
      </c>
      <c r="IM65" s="97">
        <v>407445</v>
      </c>
      <c r="IN65" s="97">
        <v>437770</v>
      </c>
      <c r="IO65" s="97">
        <v>1084708</v>
      </c>
      <c r="IP65" s="97">
        <v>3739</v>
      </c>
      <c r="IQ65" s="97">
        <v>320</v>
      </c>
      <c r="IR65" s="97">
        <v>3222</v>
      </c>
      <c r="IS65" s="97">
        <v>12815</v>
      </c>
      <c r="IT65" s="97">
        <v>67921</v>
      </c>
      <c r="IU65" s="97">
        <v>88017</v>
      </c>
      <c r="IV65" s="97">
        <v>408216</v>
      </c>
      <c r="IW65" s="97">
        <v>253145</v>
      </c>
      <c r="IX65" s="97">
        <v>175668</v>
      </c>
      <c r="IY65" s="97">
        <v>441433</v>
      </c>
      <c r="IZ65" s="97">
        <v>3975519</v>
      </c>
      <c r="JA65" s="97">
        <v>5253981</v>
      </c>
      <c r="JB65" s="97">
        <v>23674490</v>
      </c>
      <c r="JC65" s="97">
        <v>6614439</v>
      </c>
      <c r="JD65" s="97">
        <v>4962681</v>
      </c>
      <c r="JE65" s="97">
        <v>19559342</v>
      </c>
      <c r="JF65" s="97">
        <v>41439376</v>
      </c>
      <c r="JG65" s="97">
        <v>96250328</v>
      </c>
      <c r="JH65" s="97">
        <v>0</v>
      </c>
      <c r="JI65" s="97">
        <v>0</v>
      </c>
      <c r="JJ65" s="97">
        <v>0</v>
      </c>
      <c r="JK65" s="97">
        <v>0</v>
      </c>
      <c r="JL65" s="97">
        <v>1910439</v>
      </c>
      <c r="JM65" s="97">
        <v>1910439</v>
      </c>
      <c r="JN65" s="97">
        <v>23674490</v>
      </c>
      <c r="JO65" s="97">
        <v>6614439</v>
      </c>
      <c r="JP65" s="97">
        <v>4962681</v>
      </c>
      <c r="JQ65" s="97">
        <v>19559342</v>
      </c>
      <c r="JR65" s="97">
        <v>43349815</v>
      </c>
      <c r="JS65" s="97">
        <v>98160767</v>
      </c>
      <c r="JU65" s="5">
        <f t="shared" si="78"/>
        <v>36281486</v>
      </c>
      <c r="JV65" s="29">
        <f t="shared" si="79"/>
        <v>0</v>
      </c>
      <c r="JW65" s="5">
        <f t="shared" si="80"/>
        <v>0</v>
      </c>
      <c r="JX65" s="29">
        <f t="shared" si="81"/>
        <v>0</v>
      </c>
      <c r="JY65" s="5">
        <f t="shared" si="82"/>
        <v>1032500</v>
      </c>
      <c r="JZ65" s="29">
        <f t="shared" si="83"/>
        <v>0</v>
      </c>
      <c r="KA65" s="5">
        <f t="shared" si="84"/>
        <v>32580273</v>
      </c>
      <c r="KB65" s="29">
        <f t="shared" si="85"/>
        <v>0</v>
      </c>
      <c r="KC65" s="5">
        <f t="shared" si="86"/>
        <v>0</v>
      </c>
      <c r="KD65" s="29">
        <f t="shared" si="87"/>
        <v>0</v>
      </c>
      <c r="KE65" s="5">
        <f t="shared" si="88"/>
        <v>0</v>
      </c>
      <c r="KF65" s="29">
        <f t="shared" si="89"/>
        <v>0</v>
      </c>
      <c r="KG65" s="5">
        <f t="shared" si="90"/>
        <v>0</v>
      </c>
      <c r="KH65" s="29">
        <f t="shared" si="91"/>
        <v>0</v>
      </c>
      <c r="KI65" s="5">
        <f t="shared" si="92"/>
        <v>0</v>
      </c>
      <c r="KJ65" s="29">
        <f t="shared" si="93"/>
        <v>0</v>
      </c>
      <c r="KK65" s="5">
        <f t="shared" si="94"/>
        <v>16312859</v>
      </c>
      <c r="KL65" s="29">
        <f t="shared" si="95"/>
        <v>0</v>
      </c>
      <c r="KM65" s="5">
        <f t="shared" si="96"/>
        <v>308527</v>
      </c>
      <c r="KN65" s="29">
        <f t="shared" si="97"/>
        <v>0</v>
      </c>
      <c r="KO65" s="5">
        <f t="shared" si="98"/>
        <v>2290320</v>
      </c>
      <c r="KP65" s="29">
        <f t="shared" si="99"/>
        <v>0</v>
      </c>
      <c r="KQ65" s="5">
        <f t="shared" si="100"/>
        <v>13153909</v>
      </c>
      <c r="KR65" s="29">
        <f t="shared" si="101"/>
        <v>0</v>
      </c>
      <c r="KS65" s="5">
        <f t="shared" si="102"/>
        <v>0</v>
      </c>
      <c r="KT65" s="29">
        <f t="shared" si="103"/>
        <v>0</v>
      </c>
      <c r="KU65" s="5">
        <f t="shared" si="104"/>
        <v>809824</v>
      </c>
      <c r="KV65" s="29">
        <f t="shared" si="105"/>
        <v>0</v>
      </c>
      <c r="KW65" s="5">
        <f t="shared" si="106"/>
        <v>3686918</v>
      </c>
      <c r="KX65" s="29">
        <f t="shared" si="107"/>
        <v>0</v>
      </c>
      <c r="KY65" s="5">
        <f t="shared" si="108"/>
        <v>106456616</v>
      </c>
      <c r="KZ65" s="29">
        <f t="shared" si="109"/>
        <v>0</v>
      </c>
      <c r="LA65" s="5">
        <f t="shared" si="110"/>
        <v>9376376</v>
      </c>
      <c r="LB65" s="29">
        <f t="shared" si="111"/>
        <v>0</v>
      </c>
      <c r="LC65" s="5">
        <f t="shared" si="112"/>
        <v>1868848</v>
      </c>
      <c r="LD65" s="29">
        <f t="shared" si="113"/>
        <v>0</v>
      </c>
      <c r="LE65" s="5">
        <f t="shared" si="114"/>
        <v>20773036</v>
      </c>
      <c r="LF65" s="29">
        <f t="shared" si="115"/>
        <v>0</v>
      </c>
      <c r="LG65" s="5">
        <f t="shared" si="116"/>
        <v>0</v>
      </c>
      <c r="LH65" s="29">
        <f t="shared" si="117"/>
        <v>0</v>
      </c>
      <c r="LI65" s="5">
        <f t="shared" si="118"/>
        <v>15635655</v>
      </c>
      <c r="LJ65" s="29">
        <f t="shared" si="119"/>
        <v>0</v>
      </c>
      <c r="LK65" s="5">
        <f t="shared" si="120"/>
        <v>0</v>
      </c>
      <c r="LL65" s="29">
        <f t="shared" si="121"/>
        <v>0</v>
      </c>
      <c r="LM65" s="5">
        <f t="shared" si="122"/>
        <v>107411</v>
      </c>
      <c r="LN65" s="29">
        <f t="shared" si="123"/>
        <v>0</v>
      </c>
      <c r="LO65" s="5">
        <f t="shared" si="124"/>
        <v>1445034</v>
      </c>
      <c r="LP65" s="29">
        <f t="shared" si="125"/>
        <v>0</v>
      </c>
      <c r="LQ65" s="5">
        <f t="shared" si="126"/>
        <v>6221684</v>
      </c>
      <c r="LR65" s="29">
        <f t="shared" si="127"/>
        <v>0</v>
      </c>
      <c r="LS65" s="5">
        <f t="shared" si="128"/>
        <v>3044521</v>
      </c>
      <c r="LT65" s="29">
        <f t="shared" si="129"/>
        <v>0</v>
      </c>
      <c r="LU65" s="5">
        <f t="shared" si="130"/>
        <v>8255233</v>
      </c>
      <c r="LV65" s="29">
        <f t="shared" si="131"/>
        <v>0</v>
      </c>
      <c r="LW65" s="5">
        <f t="shared" si="132"/>
        <v>1892270</v>
      </c>
      <c r="LX65" s="29">
        <f t="shared" si="133"/>
        <v>0</v>
      </c>
      <c r="LY65" s="5">
        <f t="shared" si="134"/>
        <v>0</v>
      </c>
      <c r="LZ65" s="29">
        <f t="shared" si="135"/>
        <v>0</v>
      </c>
      <c r="MA65" s="5">
        <f t="shared" si="136"/>
        <v>21055979</v>
      </c>
      <c r="MB65" s="29">
        <f t="shared" si="137"/>
        <v>0</v>
      </c>
      <c r="MC65" s="5">
        <f t="shared" si="138"/>
        <v>147575</v>
      </c>
      <c r="MD65" s="29">
        <f t="shared" si="139"/>
        <v>0</v>
      </c>
      <c r="ME65" s="5">
        <f t="shared" si="140"/>
        <v>0</v>
      </c>
      <c r="MF65" s="29">
        <f t="shared" si="141"/>
        <v>0</v>
      </c>
      <c r="MG65" s="5">
        <f t="shared" si="142"/>
        <v>1084708</v>
      </c>
      <c r="MH65" s="29">
        <f t="shared" si="143"/>
        <v>0</v>
      </c>
      <c r="MI65" s="5">
        <f t="shared" si="144"/>
        <v>88017</v>
      </c>
      <c r="MJ65" s="29">
        <f t="shared" si="145"/>
        <v>0</v>
      </c>
      <c r="MK65" s="5">
        <f t="shared" si="146"/>
        <v>5253981</v>
      </c>
      <c r="ML65" s="29">
        <f t="shared" si="147"/>
        <v>0</v>
      </c>
      <c r="MM65" s="5">
        <f t="shared" si="148"/>
        <v>96250328</v>
      </c>
      <c r="MN65" s="29">
        <f t="shared" si="149"/>
        <v>0</v>
      </c>
      <c r="MO65" s="5">
        <f t="shared" si="150"/>
        <v>1910439</v>
      </c>
      <c r="MP65" s="29">
        <f t="shared" si="151"/>
        <v>0</v>
      </c>
      <c r="MQ65" s="5">
        <f t="shared" si="152"/>
        <v>98160767</v>
      </c>
      <c r="MR65" s="29">
        <f t="shared" si="153"/>
        <v>0</v>
      </c>
      <c r="MT65" s="5">
        <f t="shared" si="76"/>
        <v>0</v>
      </c>
      <c r="MV65" s="4">
        <f t="shared" ref="MV65:MV91" si="155">IF(MT65=0,0,1)</f>
        <v>0</v>
      </c>
    </row>
    <row r="66" spans="1:371" x14ac:dyDescent="0.15">
      <c r="A66" s="158" t="s">
        <v>343</v>
      </c>
      <c r="B66" s="28" t="s">
        <v>461</v>
      </c>
      <c r="C66" s="48">
        <v>176017</v>
      </c>
      <c r="D66" s="48">
        <v>2012</v>
      </c>
      <c r="E66" s="49">
        <v>1</v>
      </c>
      <c r="F66" s="49">
        <v>2</v>
      </c>
      <c r="G66" s="50">
        <v>8398</v>
      </c>
      <c r="H66" s="50">
        <v>7944</v>
      </c>
      <c r="I66" s="51">
        <v>992190000</v>
      </c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>
        <v>17450</v>
      </c>
      <c r="V66" s="51"/>
      <c r="W66" s="51">
        <v>28050</v>
      </c>
      <c r="X66" s="51"/>
      <c r="Y66" s="51">
        <v>21150</v>
      </c>
      <c r="Z66" s="51"/>
      <c r="AA66" s="51">
        <v>31750</v>
      </c>
      <c r="AB66" s="51"/>
      <c r="AC66" s="72">
        <v>9</v>
      </c>
      <c r="AD66" s="72">
        <v>9</v>
      </c>
      <c r="AE66" s="72">
        <v>0</v>
      </c>
      <c r="AF66" s="29">
        <v>2458779</v>
      </c>
      <c r="AG66" s="29">
        <v>1622892</v>
      </c>
      <c r="AH66" s="29">
        <v>555877</v>
      </c>
      <c r="AI66" s="29">
        <v>212793</v>
      </c>
      <c r="AJ66" s="29">
        <v>963915.69</v>
      </c>
      <c r="AK66" s="73">
        <v>6.5</v>
      </c>
      <c r="AL66" s="29">
        <v>895064.57</v>
      </c>
      <c r="AM66" s="73">
        <v>7</v>
      </c>
      <c r="AN66" s="29">
        <v>218980.62</v>
      </c>
      <c r="AO66" s="73">
        <v>6.5</v>
      </c>
      <c r="AP66" s="29">
        <v>203339.14</v>
      </c>
      <c r="AQ66" s="73">
        <v>7</v>
      </c>
      <c r="AR66" s="29">
        <v>298459.8</v>
      </c>
      <c r="AS66" s="73">
        <v>20</v>
      </c>
      <c r="AT66" s="29">
        <v>298459.8</v>
      </c>
      <c r="AU66" s="73">
        <v>20</v>
      </c>
      <c r="AV66" s="29">
        <v>89788.14</v>
      </c>
      <c r="AW66" s="73">
        <v>14</v>
      </c>
      <c r="AX66" s="29">
        <v>89788.14</v>
      </c>
      <c r="AY66" s="73">
        <v>14</v>
      </c>
      <c r="AZ66" s="100">
        <v>18575105</v>
      </c>
      <c r="BA66" s="100">
        <v>2976961</v>
      </c>
      <c r="BB66" s="100">
        <v>453365</v>
      </c>
      <c r="BC66" s="100">
        <v>361882</v>
      </c>
      <c r="BD66" s="100">
        <v>715315</v>
      </c>
      <c r="BE66" s="100">
        <v>23082628</v>
      </c>
      <c r="BF66" s="100">
        <v>0</v>
      </c>
      <c r="BG66" s="100">
        <v>0</v>
      </c>
      <c r="BH66" s="100">
        <v>0</v>
      </c>
      <c r="BI66" s="100">
        <v>0</v>
      </c>
      <c r="BJ66" s="100">
        <v>1921359</v>
      </c>
      <c r="BK66" s="100">
        <v>1921359</v>
      </c>
      <c r="BL66" s="100">
        <v>200000</v>
      </c>
      <c r="BM66" s="100">
        <v>85000</v>
      </c>
      <c r="BN66" s="100">
        <v>2500</v>
      </c>
      <c r="BO66" s="100">
        <v>102942</v>
      </c>
      <c r="BP66" s="100">
        <v>0</v>
      </c>
      <c r="BQ66" s="100">
        <v>390442</v>
      </c>
      <c r="BR66" s="100">
        <v>6365498</v>
      </c>
      <c r="BS66" s="100">
        <v>4582560</v>
      </c>
      <c r="BT66" s="100">
        <v>178478</v>
      </c>
      <c r="BU66" s="100">
        <v>1640384</v>
      </c>
      <c r="BV66" s="100">
        <v>13230482</v>
      </c>
      <c r="BW66" s="100">
        <v>25997402</v>
      </c>
      <c r="BX66" s="100">
        <v>0</v>
      </c>
      <c r="BY66" s="100">
        <v>0</v>
      </c>
      <c r="BZ66" s="100">
        <v>0</v>
      </c>
      <c r="CA66" s="100">
        <v>0</v>
      </c>
      <c r="CB66" s="100">
        <v>0</v>
      </c>
      <c r="CC66" s="100">
        <v>0</v>
      </c>
      <c r="CD66" s="100">
        <v>0</v>
      </c>
      <c r="CE66" s="100">
        <v>0</v>
      </c>
      <c r="CF66" s="100">
        <v>0</v>
      </c>
      <c r="CG66" s="100">
        <v>0</v>
      </c>
      <c r="CH66" s="100">
        <v>600000</v>
      </c>
      <c r="CI66" s="100">
        <v>600000</v>
      </c>
      <c r="CJ66" s="100">
        <v>0</v>
      </c>
      <c r="CK66" s="100">
        <v>0</v>
      </c>
      <c r="CL66" s="100">
        <v>0</v>
      </c>
      <c r="CM66" s="100">
        <v>0</v>
      </c>
      <c r="CN66" s="100">
        <v>2480085</v>
      </c>
      <c r="CO66" s="100">
        <v>2480085</v>
      </c>
      <c r="CP66" s="100">
        <v>0</v>
      </c>
      <c r="CQ66" s="100">
        <v>0</v>
      </c>
      <c r="CR66" s="100">
        <v>0</v>
      </c>
      <c r="CS66" s="100">
        <v>0</v>
      </c>
      <c r="CT66" s="100">
        <v>1283243</v>
      </c>
      <c r="CU66" s="100">
        <v>1283243</v>
      </c>
      <c r="CV66" s="100">
        <v>11249803</v>
      </c>
      <c r="CW66" s="100">
        <v>3592714</v>
      </c>
      <c r="CX66" s="100">
        <v>11924</v>
      </c>
      <c r="CY66" s="100">
        <v>312639</v>
      </c>
      <c r="CZ66" s="100">
        <v>7469889</v>
      </c>
      <c r="DA66" s="100">
        <v>22636969</v>
      </c>
      <c r="DB66" s="100">
        <v>0</v>
      </c>
      <c r="DC66" s="100">
        <v>0</v>
      </c>
      <c r="DD66" s="100">
        <v>0</v>
      </c>
      <c r="DE66" s="100">
        <v>0</v>
      </c>
      <c r="DF66" s="100">
        <v>4295000</v>
      </c>
      <c r="DG66" s="100">
        <v>4295000</v>
      </c>
      <c r="DH66" s="100">
        <v>348928</v>
      </c>
      <c r="DI66" s="100">
        <v>34095</v>
      </c>
      <c r="DJ66" s="100">
        <v>19839</v>
      </c>
      <c r="DK66" s="100">
        <v>23550</v>
      </c>
      <c r="DL66" s="100">
        <v>229466</v>
      </c>
      <c r="DM66" s="100">
        <v>655878</v>
      </c>
      <c r="DN66" s="100">
        <v>0</v>
      </c>
      <c r="DO66" s="100">
        <v>0</v>
      </c>
      <c r="DP66" s="100">
        <v>0</v>
      </c>
      <c r="DQ66" s="100">
        <v>0</v>
      </c>
      <c r="DR66" s="100">
        <v>2515771</v>
      </c>
      <c r="DS66" s="100">
        <v>2515771</v>
      </c>
      <c r="DT66" s="100">
        <v>0</v>
      </c>
      <c r="DU66" s="100">
        <v>0</v>
      </c>
      <c r="DV66" s="100">
        <v>0</v>
      </c>
      <c r="DW66" s="100">
        <v>0</v>
      </c>
      <c r="DX66" s="100">
        <v>0</v>
      </c>
      <c r="DY66" s="100">
        <v>0</v>
      </c>
      <c r="DZ66" s="100">
        <v>242907</v>
      </c>
      <c r="EA66" s="100">
        <v>103907</v>
      </c>
      <c r="EB66" s="100">
        <v>-6603</v>
      </c>
      <c r="EC66" s="100">
        <v>-47692</v>
      </c>
      <c r="ED66" s="114">
        <v>-1285760</v>
      </c>
      <c r="EE66" s="100">
        <v>-993241</v>
      </c>
      <c r="EF66" s="100">
        <v>762288</v>
      </c>
      <c r="EG66" s="100">
        <v>804</v>
      </c>
      <c r="EH66" s="100">
        <v>0</v>
      </c>
      <c r="EI66" s="100">
        <v>127601</v>
      </c>
      <c r="EJ66" s="100">
        <v>1514369</v>
      </c>
      <c r="EK66" s="100">
        <v>2405062</v>
      </c>
      <c r="EL66" s="100">
        <v>37744529</v>
      </c>
      <c r="EM66" s="100">
        <v>11376041</v>
      </c>
      <c r="EN66" s="100">
        <v>659503</v>
      </c>
      <c r="EO66" s="100">
        <v>2521306</v>
      </c>
      <c r="EP66" s="100">
        <v>34969219</v>
      </c>
      <c r="EQ66" s="100">
        <v>87270598</v>
      </c>
      <c r="ER66" s="100">
        <v>1551065</v>
      </c>
      <c r="ES66" s="100">
        <v>248054</v>
      </c>
      <c r="ET66" s="100">
        <v>248042</v>
      </c>
      <c r="EU66" s="100">
        <v>2034510</v>
      </c>
      <c r="EV66" s="100">
        <v>4122253</v>
      </c>
      <c r="EW66" s="100">
        <v>8203924</v>
      </c>
      <c r="EX66" s="100">
        <v>450000</v>
      </c>
      <c r="EY66" s="100">
        <v>125735</v>
      </c>
      <c r="EZ66" s="100">
        <v>240519</v>
      </c>
      <c r="FA66" s="100">
        <v>58202</v>
      </c>
      <c r="FB66" s="100">
        <v>0</v>
      </c>
      <c r="FC66" s="100">
        <v>874456</v>
      </c>
      <c r="FD66" s="100">
        <v>7413400</v>
      </c>
      <c r="FE66" s="100">
        <v>2694476</v>
      </c>
      <c r="FF66" s="100">
        <v>914435</v>
      </c>
      <c r="FG66" s="100">
        <v>3892745</v>
      </c>
      <c r="FH66" s="100">
        <v>0</v>
      </c>
      <c r="FI66" s="100">
        <v>14915056</v>
      </c>
      <c r="FJ66" s="100">
        <v>0</v>
      </c>
      <c r="FK66" s="100">
        <v>0</v>
      </c>
      <c r="FL66" s="100">
        <v>0</v>
      </c>
      <c r="FM66" s="100">
        <v>0</v>
      </c>
      <c r="FN66" s="100">
        <v>0</v>
      </c>
      <c r="FO66" s="100">
        <v>0</v>
      </c>
      <c r="FP66" s="100">
        <v>1031358</v>
      </c>
      <c r="FQ66" s="100">
        <v>295169</v>
      </c>
      <c r="FR66" s="100">
        <v>130133</v>
      </c>
      <c r="FS66" s="100">
        <v>352561</v>
      </c>
      <c r="FT66" s="100">
        <v>8184996</v>
      </c>
      <c r="FU66" s="100">
        <v>9994217</v>
      </c>
      <c r="FV66" s="100">
        <v>0</v>
      </c>
      <c r="FW66" s="100">
        <v>0</v>
      </c>
      <c r="FX66" s="100">
        <v>0</v>
      </c>
      <c r="FY66" s="100">
        <v>0</v>
      </c>
      <c r="FZ66" s="100">
        <v>0</v>
      </c>
      <c r="GA66" s="100">
        <v>0</v>
      </c>
      <c r="GB66" s="100">
        <v>0</v>
      </c>
      <c r="GC66" s="100">
        <v>0</v>
      </c>
      <c r="GD66" s="100">
        <v>0</v>
      </c>
      <c r="GE66" s="100">
        <v>0</v>
      </c>
      <c r="GF66" s="100">
        <v>50676</v>
      </c>
      <c r="GG66" s="100">
        <v>50676</v>
      </c>
      <c r="GH66" s="100">
        <v>232373</v>
      </c>
      <c r="GI66" s="100">
        <v>202947</v>
      </c>
      <c r="GJ66" s="100">
        <v>67897</v>
      </c>
      <c r="GK66" s="100">
        <v>265453</v>
      </c>
      <c r="GL66" s="100">
        <v>0</v>
      </c>
      <c r="GM66" s="100">
        <v>768670</v>
      </c>
      <c r="GN66" s="100">
        <v>2191815</v>
      </c>
      <c r="GO66" s="100">
        <v>759346</v>
      </c>
      <c r="GP66" s="100">
        <v>364348</v>
      </c>
      <c r="GQ66" s="100">
        <v>1686881</v>
      </c>
      <c r="GR66" s="100">
        <v>69812</v>
      </c>
      <c r="GS66" s="100">
        <v>5072202</v>
      </c>
      <c r="GT66" s="100">
        <v>511199</v>
      </c>
      <c r="GU66" s="100">
        <v>89117</v>
      </c>
      <c r="GV66" s="100">
        <v>25795</v>
      </c>
      <c r="GW66" s="100">
        <v>341246</v>
      </c>
      <c r="GX66" s="100">
        <v>1026147</v>
      </c>
      <c r="GY66" s="100">
        <v>1993504</v>
      </c>
      <c r="GZ66" s="100">
        <v>158837</v>
      </c>
      <c r="HA66" s="100">
        <v>115600</v>
      </c>
      <c r="HB66" s="100">
        <v>148682</v>
      </c>
      <c r="HC66" s="100">
        <v>167295</v>
      </c>
      <c r="HD66" s="100">
        <v>1093028</v>
      </c>
      <c r="HE66" s="100">
        <v>1683442</v>
      </c>
      <c r="HF66" s="100">
        <v>0</v>
      </c>
      <c r="HG66" s="100">
        <v>0</v>
      </c>
      <c r="HH66" s="100">
        <v>0</v>
      </c>
      <c r="HI66" s="100">
        <v>0</v>
      </c>
      <c r="HJ66" s="100">
        <v>1873078</v>
      </c>
      <c r="HK66" s="100">
        <v>1873078</v>
      </c>
      <c r="HL66" s="100">
        <v>0</v>
      </c>
      <c r="HM66" s="100">
        <v>0</v>
      </c>
      <c r="HN66" s="100">
        <v>0</v>
      </c>
      <c r="HO66" s="100">
        <v>0</v>
      </c>
      <c r="HP66" s="100">
        <v>0</v>
      </c>
      <c r="HQ66" s="100">
        <v>0</v>
      </c>
      <c r="HR66" s="100">
        <v>82567</v>
      </c>
      <c r="HS66" s="100">
        <v>56335</v>
      </c>
      <c r="HT66" s="100">
        <v>16362</v>
      </c>
      <c r="HU66" s="100">
        <v>79789</v>
      </c>
      <c r="HV66" s="100">
        <v>11223280</v>
      </c>
      <c r="HW66" s="100">
        <v>11458333</v>
      </c>
      <c r="HX66" s="100">
        <v>0</v>
      </c>
      <c r="HY66" s="100">
        <v>0</v>
      </c>
      <c r="HZ66" s="100">
        <v>0</v>
      </c>
      <c r="IA66" s="100">
        <v>0</v>
      </c>
      <c r="IB66" s="100">
        <v>338245</v>
      </c>
      <c r="IC66" s="100">
        <v>338245</v>
      </c>
      <c r="ID66" s="100">
        <v>0</v>
      </c>
      <c r="IE66" s="100">
        <v>0</v>
      </c>
      <c r="IF66" s="100">
        <v>0</v>
      </c>
      <c r="IG66" s="100">
        <v>0</v>
      </c>
      <c r="IH66" s="100">
        <v>1283243</v>
      </c>
      <c r="II66" s="100">
        <v>1283243</v>
      </c>
      <c r="IJ66" s="100">
        <v>95968</v>
      </c>
      <c r="IK66" s="100">
        <v>14594</v>
      </c>
      <c r="IL66" s="100">
        <v>11654</v>
      </c>
      <c r="IM66" s="100">
        <v>177952</v>
      </c>
      <c r="IN66" s="100">
        <v>459637</v>
      </c>
      <c r="IO66" s="100">
        <v>759805</v>
      </c>
      <c r="IP66" s="100">
        <v>42495</v>
      </c>
      <c r="IQ66" s="100">
        <v>22421</v>
      </c>
      <c r="IR66" s="100">
        <v>8227</v>
      </c>
      <c r="IS66" s="100">
        <v>30195</v>
      </c>
      <c r="IT66" s="100">
        <v>36320</v>
      </c>
      <c r="IU66" s="100">
        <v>139658</v>
      </c>
      <c r="IV66" s="100">
        <v>12477095</v>
      </c>
      <c r="IW66" s="100">
        <v>9122038</v>
      </c>
      <c r="IX66" s="100">
        <v>237783</v>
      </c>
      <c r="IY66" s="100">
        <v>1842102</v>
      </c>
      <c r="IZ66" s="100">
        <v>13695092</v>
      </c>
      <c r="JA66" s="100">
        <v>37374110</v>
      </c>
      <c r="JB66" s="100">
        <v>26238172</v>
      </c>
      <c r="JC66" s="100">
        <v>13745832</v>
      </c>
      <c r="JD66" s="100">
        <v>2413877</v>
      </c>
      <c r="JE66" s="100">
        <v>10928931</v>
      </c>
      <c r="JF66" s="100">
        <v>43455807</v>
      </c>
      <c r="JG66" s="100">
        <v>96782619</v>
      </c>
      <c r="JH66" s="100">
        <v>0</v>
      </c>
      <c r="JI66" s="114">
        <v>0</v>
      </c>
      <c r="JJ66" s="100">
        <v>0</v>
      </c>
      <c r="JK66" s="100">
        <v>0</v>
      </c>
      <c r="JL66" s="100">
        <v>0</v>
      </c>
      <c r="JM66" s="100">
        <v>0</v>
      </c>
      <c r="JN66" s="100">
        <v>26238172</v>
      </c>
      <c r="JO66" s="100">
        <v>13745832</v>
      </c>
      <c r="JP66" s="100">
        <v>2413877</v>
      </c>
      <c r="JQ66" s="100">
        <v>10928931</v>
      </c>
      <c r="JR66" s="100">
        <v>43455807</v>
      </c>
      <c r="JS66" s="100">
        <v>96782619</v>
      </c>
      <c r="JU66" s="5">
        <f t="shared" si="78"/>
        <v>23082628</v>
      </c>
      <c r="JV66" s="29">
        <f t="shared" si="79"/>
        <v>0</v>
      </c>
      <c r="JW66" s="5">
        <f t="shared" si="80"/>
        <v>1921359</v>
      </c>
      <c r="JX66" s="29">
        <f t="shared" si="81"/>
        <v>0</v>
      </c>
      <c r="JY66" s="5">
        <f t="shared" si="82"/>
        <v>390442</v>
      </c>
      <c r="JZ66" s="29">
        <f t="shared" si="83"/>
        <v>0</v>
      </c>
      <c r="KA66" s="5">
        <f t="shared" si="84"/>
        <v>25997402</v>
      </c>
      <c r="KB66" s="29">
        <f t="shared" si="85"/>
        <v>0</v>
      </c>
      <c r="KC66" s="5">
        <f t="shared" si="86"/>
        <v>0</v>
      </c>
      <c r="KD66" s="29">
        <f t="shared" si="87"/>
        <v>0</v>
      </c>
      <c r="KE66" s="5">
        <f t="shared" si="88"/>
        <v>600000</v>
      </c>
      <c r="KF66" s="29">
        <f t="shared" si="89"/>
        <v>0</v>
      </c>
      <c r="KG66" s="5">
        <f t="shared" si="90"/>
        <v>2480085</v>
      </c>
      <c r="KH66" s="29">
        <f t="shared" si="91"/>
        <v>0</v>
      </c>
      <c r="KI66" s="5">
        <f t="shared" si="92"/>
        <v>1283243</v>
      </c>
      <c r="KJ66" s="29">
        <f t="shared" si="93"/>
        <v>0</v>
      </c>
      <c r="KK66" s="5">
        <f t="shared" si="94"/>
        <v>22636969</v>
      </c>
      <c r="KL66" s="29">
        <f t="shared" si="95"/>
        <v>0</v>
      </c>
      <c r="KM66" s="5">
        <f t="shared" si="96"/>
        <v>4295000</v>
      </c>
      <c r="KN66" s="29">
        <f t="shared" si="97"/>
        <v>0</v>
      </c>
      <c r="KO66" s="5">
        <f t="shared" si="98"/>
        <v>655878</v>
      </c>
      <c r="KP66" s="29">
        <f t="shared" si="99"/>
        <v>0</v>
      </c>
      <c r="KQ66" s="5">
        <f t="shared" si="100"/>
        <v>2515771</v>
      </c>
      <c r="KR66" s="29">
        <f t="shared" si="101"/>
        <v>0</v>
      </c>
      <c r="KS66" s="5">
        <f t="shared" si="102"/>
        <v>0</v>
      </c>
      <c r="KT66" s="29">
        <f t="shared" si="103"/>
        <v>0</v>
      </c>
      <c r="KU66" s="5">
        <f t="shared" si="104"/>
        <v>-993241</v>
      </c>
      <c r="KV66" s="29">
        <f t="shared" si="105"/>
        <v>0</v>
      </c>
      <c r="KW66" s="5">
        <f t="shared" si="106"/>
        <v>2405062</v>
      </c>
      <c r="KX66" s="29">
        <f t="shared" si="107"/>
        <v>0</v>
      </c>
      <c r="KY66" s="5">
        <f t="shared" si="108"/>
        <v>87270598</v>
      </c>
      <c r="KZ66" s="29">
        <f t="shared" si="109"/>
        <v>0</v>
      </c>
      <c r="LA66" s="5">
        <f t="shared" si="110"/>
        <v>8203924</v>
      </c>
      <c r="LB66" s="29">
        <f t="shared" si="111"/>
        <v>0</v>
      </c>
      <c r="LC66" s="5">
        <f t="shared" si="112"/>
        <v>874456</v>
      </c>
      <c r="LD66" s="29">
        <f t="shared" si="113"/>
        <v>0</v>
      </c>
      <c r="LE66" s="5">
        <f t="shared" si="114"/>
        <v>14915056</v>
      </c>
      <c r="LF66" s="29">
        <f t="shared" si="115"/>
        <v>0</v>
      </c>
      <c r="LG66" s="5">
        <f t="shared" si="116"/>
        <v>0</v>
      </c>
      <c r="LH66" s="29">
        <f t="shared" si="117"/>
        <v>0</v>
      </c>
      <c r="LI66" s="5">
        <f t="shared" si="118"/>
        <v>9994217</v>
      </c>
      <c r="LJ66" s="29">
        <f t="shared" si="119"/>
        <v>0</v>
      </c>
      <c r="LK66" s="5">
        <f t="shared" si="120"/>
        <v>0</v>
      </c>
      <c r="LL66" s="29">
        <f t="shared" si="121"/>
        <v>0</v>
      </c>
      <c r="LM66" s="5">
        <f t="shared" si="122"/>
        <v>50676</v>
      </c>
      <c r="LN66" s="29">
        <f t="shared" si="123"/>
        <v>0</v>
      </c>
      <c r="LO66" s="5">
        <f t="shared" si="124"/>
        <v>768670</v>
      </c>
      <c r="LP66" s="29">
        <f t="shared" si="125"/>
        <v>0</v>
      </c>
      <c r="LQ66" s="5">
        <f t="shared" si="126"/>
        <v>5072202</v>
      </c>
      <c r="LR66" s="29">
        <f t="shared" si="127"/>
        <v>0</v>
      </c>
      <c r="LS66" s="5">
        <f t="shared" si="128"/>
        <v>1993504</v>
      </c>
      <c r="LT66" s="29">
        <f t="shared" si="129"/>
        <v>0</v>
      </c>
      <c r="LU66" s="5">
        <f t="shared" si="130"/>
        <v>1683442</v>
      </c>
      <c r="LV66" s="29">
        <f t="shared" si="131"/>
        <v>0</v>
      </c>
      <c r="LW66" s="5">
        <f t="shared" si="132"/>
        <v>1873078</v>
      </c>
      <c r="LX66" s="29">
        <f t="shared" si="133"/>
        <v>0</v>
      </c>
      <c r="LY66" s="5">
        <f t="shared" si="134"/>
        <v>0</v>
      </c>
      <c r="LZ66" s="29">
        <f t="shared" si="135"/>
        <v>0</v>
      </c>
      <c r="MA66" s="5">
        <f t="shared" si="136"/>
        <v>11458333</v>
      </c>
      <c r="MB66" s="29">
        <f t="shared" si="137"/>
        <v>0</v>
      </c>
      <c r="MC66" s="5">
        <f t="shared" si="138"/>
        <v>338245</v>
      </c>
      <c r="MD66" s="29">
        <f t="shared" si="139"/>
        <v>0</v>
      </c>
      <c r="ME66" s="5">
        <f t="shared" si="140"/>
        <v>1283243</v>
      </c>
      <c r="MF66" s="29">
        <f t="shared" si="141"/>
        <v>0</v>
      </c>
      <c r="MG66" s="5">
        <f t="shared" si="142"/>
        <v>759805</v>
      </c>
      <c r="MH66" s="29">
        <f t="shared" si="143"/>
        <v>0</v>
      </c>
      <c r="MI66" s="5">
        <f t="shared" si="144"/>
        <v>139658</v>
      </c>
      <c r="MJ66" s="29">
        <f t="shared" si="145"/>
        <v>0</v>
      </c>
      <c r="MK66" s="5">
        <f t="shared" si="146"/>
        <v>37374110</v>
      </c>
      <c r="ML66" s="29">
        <f t="shared" si="147"/>
        <v>0</v>
      </c>
      <c r="MM66" s="5">
        <f t="shared" si="148"/>
        <v>96782619</v>
      </c>
      <c r="MN66" s="29">
        <f t="shared" si="149"/>
        <v>0</v>
      </c>
      <c r="MO66" s="5">
        <f t="shared" si="150"/>
        <v>0</v>
      </c>
      <c r="MP66" s="29">
        <f t="shared" si="151"/>
        <v>0</v>
      </c>
      <c r="MQ66" s="5">
        <f t="shared" si="152"/>
        <v>96782619</v>
      </c>
      <c r="MR66" s="29">
        <f t="shared" si="153"/>
        <v>0</v>
      </c>
      <c r="MT66" s="5">
        <f t="shared" ref="MT66:MT92" si="156">SUM(JV66,JX66,JZ66,KD66,KF66,KH66,KJ66,KL66,KN66,KP66,KR66,KT66,KV66,KX66,KZ66,LB66,LD66,LF66,LJ66,LL66,LN66,LP66,LR66,LT66,LV66,LX66,LZ66,MB66,MD66,MF66,MH66,MJ66,ML66,MN66,MP66,MR66)</f>
        <v>0</v>
      </c>
      <c r="MV66" s="4">
        <f t="shared" si="155"/>
        <v>0</v>
      </c>
      <c r="NG66" s="15"/>
    </row>
    <row r="67" spans="1:371" x14ac:dyDescent="0.15">
      <c r="A67" s="155" t="s">
        <v>344</v>
      </c>
      <c r="B67" s="28" t="s">
        <v>406</v>
      </c>
      <c r="C67" s="47">
        <v>209551</v>
      </c>
      <c r="D67" s="48">
        <v>2012</v>
      </c>
      <c r="E67" s="49">
        <v>1</v>
      </c>
      <c r="F67" s="49">
        <v>4</v>
      </c>
      <c r="G67" s="50">
        <v>9072</v>
      </c>
      <c r="H67" s="50">
        <v>9638</v>
      </c>
      <c r="I67" s="51">
        <v>735646000</v>
      </c>
      <c r="J67" s="51"/>
      <c r="K67" s="51">
        <v>19484893</v>
      </c>
      <c r="L67" s="51"/>
      <c r="M67" s="51">
        <v>55101645</v>
      </c>
      <c r="N67" s="51"/>
      <c r="O67" s="51">
        <v>230961277</v>
      </c>
      <c r="P67" s="51"/>
      <c r="Q67" s="51">
        <v>658173581</v>
      </c>
      <c r="R67" s="51"/>
      <c r="S67" s="51">
        <v>566319497</v>
      </c>
      <c r="T67" s="51"/>
      <c r="U67" s="51">
        <v>19434</v>
      </c>
      <c r="V67" s="51"/>
      <c r="W67" s="51">
        <v>38289</v>
      </c>
      <c r="X67" s="51"/>
      <c r="Y67" s="51">
        <v>21846</v>
      </c>
      <c r="Z67" s="51"/>
      <c r="AA67" s="51">
        <v>40701</v>
      </c>
      <c r="AB67" s="51"/>
      <c r="AC67" s="30">
        <v>8</v>
      </c>
      <c r="AD67" s="30">
        <v>11</v>
      </c>
      <c r="AE67" s="30">
        <v>0</v>
      </c>
      <c r="AF67" s="29">
        <v>4507980</v>
      </c>
      <c r="AG67" s="29">
        <v>3778748</v>
      </c>
      <c r="AH67" s="29">
        <v>1023636</v>
      </c>
      <c r="AI67" s="29">
        <v>315965</v>
      </c>
      <c r="AJ67" s="29">
        <v>1159298</v>
      </c>
      <c r="AK67" s="73">
        <v>5.5</v>
      </c>
      <c r="AL67" s="29">
        <v>1062689</v>
      </c>
      <c r="AM67" s="73">
        <v>6</v>
      </c>
      <c r="AN67" s="29">
        <v>251480</v>
      </c>
      <c r="AO67" s="73">
        <v>8.5</v>
      </c>
      <c r="AP67" s="29">
        <v>237509</v>
      </c>
      <c r="AQ67" s="73">
        <v>9</v>
      </c>
      <c r="AR67" s="29">
        <v>315643</v>
      </c>
      <c r="AS67" s="73">
        <v>18.5</v>
      </c>
      <c r="AT67" s="29">
        <v>278066</v>
      </c>
      <c r="AU67" s="73">
        <v>21</v>
      </c>
      <c r="AV67" s="29">
        <v>108635</v>
      </c>
      <c r="AW67" s="73">
        <v>16.5</v>
      </c>
      <c r="AX67" s="29">
        <v>94341</v>
      </c>
      <c r="AY67" s="73">
        <v>19</v>
      </c>
      <c r="AZ67" s="97">
        <v>19431447</v>
      </c>
      <c r="BA67" s="97">
        <v>2961486</v>
      </c>
      <c r="BB67" s="97">
        <v>204623</v>
      </c>
      <c r="BC67" s="97">
        <v>749119</v>
      </c>
      <c r="BD67" s="97">
        <v>2967</v>
      </c>
      <c r="BE67" s="97">
        <f>SUM(AZ67:BD67)</f>
        <v>23349642</v>
      </c>
      <c r="BF67" s="97">
        <v>0</v>
      </c>
      <c r="BG67" s="97">
        <v>0</v>
      </c>
      <c r="BH67" s="97">
        <v>0</v>
      </c>
      <c r="BI67" s="97">
        <v>0</v>
      </c>
      <c r="BJ67" s="97">
        <v>1524044</v>
      </c>
      <c r="BK67" s="97">
        <v>1524044</v>
      </c>
      <c r="BL67" s="97">
        <v>2100000</v>
      </c>
      <c r="BM67" s="97">
        <v>56537</v>
      </c>
      <c r="BN67" s="97">
        <v>0</v>
      </c>
      <c r="BO67" s="97">
        <v>16204</v>
      </c>
      <c r="BP67" s="97">
        <v>0</v>
      </c>
      <c r="BQ67" s="97">
        <f>SUM(BL67:BP67)</f>
        <v>2172741</v>
      </c>
      <c r="BR67" s="97">
        <v>14484661</v>
      </c>
      <c r="BS67" s="97">
        <v>1110900</v>
      </c>
      <c r="BT67" s="97">
        <v>0</v>
      </c>
      <c r="BU67" s="97">
        <v>149721</v>
      </c>
      <c r="BV67" s="97">
        <v>16642333</v>
      </c>
      <c r="BW67" s="97">
        <f>SUM(BR67:BV67)</f>
        <v>32387615</v>
      </c>
      <c r="BX67" s="97">
        <v>31000</v>
      </c>
      <c r="BY67" s="97">
        <v>8500</v>
      </c>
      <c r="BZ67" s="97">
        <v>8500</v>
      </c>
      <c r="CA67" s="97">
        <v>58000</v>
      </c>
      <c r="CB67" s="97">
        <v>22000</v>
      </c>
      <c r="CC67" s="97">
        <f>SUM(BX67:CB67)</f>
        <v>128000</v>
      </c>
      <c r="CD67" s="97">
        <v>0</v>
      </c>
      <c r="CE67" s="97">
        <v>0</v>
      </c>
      <c r="CF67" s="97">
        <v>0</v>
      </c>
      <c r="CG67" s="97">
        <v>0</v>
      </c>
      <c r="CH67" s="97">
        <v>951816</v>
      </c>
      <c r="CI67" s="97">
        <v>951816</v>
      </c>
      <c r="CJ67" s="97">
        <v>0</v>
      </c>
      <c r="CK67" s="97">
        <v>0</v>
      </c>
      <c r="CL67" s="97">
        <v>0</v>
      </c>
      <c r="CM67" s="97">
        <v>0</v>
      </c>
      <c r="CN67" s="97">
        <v>1615035</v>
      </c>
      <c r="CO67" s="97">
        <v>1615035</v>
      </c>
      <c r="CP67" s="97">
        <v>0</v>
      </c>
      <c r="CQ67" s="97">
        <v>0</v>
      </c>
      <c r="CR67" s="97">
        <v>0</v>
      </c>
      <c r="CS67" s="97">
        <v>0</v>
      </c>
      <c r="CT67" s="97">
        <v>0</v>
      </c>
      <c r="CU67" s="97">
        <v>0</v>
      </c>
      <c r="CV67" s="97">
        <v>11101101</v>
      </c>
      <c r="CW67" s="97">
        <v>3011471</v>
      </c>
      <c r="CX67" s="97">
        <v>0</v>
      </c>
      <c r="CY67" s="97">
        <v>1800</v>
      </c>
      <c r="CZ67" s="97">
        <v>866628</v>
      </c>
      <c r="DA67" s="97">
        <f>SUM(CV67:CZ67)</f>
        <v>14981000</v>
      </c>
      <c r="DB67" s="97">
        <v>0</v>
      </c>
      <c r="DC67" s="97">
        <v>0</v>
      </c>
      <c r="DD67" s="97">
        <v>0</v>
      </c>
      <c r="DE67" s="97">
        <v>0</v>
      </c>
      <c r="DF67" s="97">
        <v>278362</v>
      </c>
      <c r="DG67" s="97">
        <v>278362</v>
      </c>
      <c r="DH67" s="97">
        <v>1843075</v>
      </c>
      <c r="DI67" s="97">
        <v>562734</v>
      </c>
      <c r="DJ67" s="97">
        <v>73707</v>
      </c>
      <c r="DK67" s="97">
        <v>482410</v>
      </c>
      <c r="DL67" s="97">
        <v>1888135</v>
      </c>
      <c r="DM67" s="97">
        <f>SUM(DH67:DL67)</f>
        <v>4850061</v>
      </c>
      <c r="DN67" s="97">
        <v>24353</v>
      </c>
      <c r="DO67" s="97">
        <v>0</v>
      </c>
      <c r="DP67" s="97">
        <v>0</v>
      </c>
      <c r="DQ67" s="97">
        <v>18000</v>
      </c>
      <c r="DR67" s="97">
        <v>8151396</v>
      </c>
      <c r="DS67" s="97">
        <f>SUM(DN67:DR67)</f>
        <v>8193749</v>
      </c>
      <c r="DT67" s="97">
        <v>213557</v>
      </c>
      <c r="DU67" s="97">
        <v>93025</v>
      </c>
      <c r="DV67" s="97">
        <v>7637</v>
      </c>
      <c r="DW67" s="97">
        <v>639871</v>
      </c>
      <c r="DX67" s="97">
        <v>35310</v>
      </c>
      <c r="DY67" s="97">
        <v>989400</v>
      </c>
      <c r="DZ67" s="97">
        <v>34977</v>
      </c>
      <c r="EA67" s="97">
        <v>0</v>
      </c>
      <c r="EB67" s="97">
        <v>0</v>
      </c>
      <c r="EC67" s="97">
        <v>3896</v>
      </c>
      <c r="ED67" s="97">
        <v>107473</v>
      </c>
      <c r="EE67" s="97">
        <f>SUM(DZ67:ED67)</f>
        <v>146346</v>
      </c>
      <c r="EF67" s="97">
        <v>2688561</v>
      </c>
      <c r="EG67" s="97">
        <v>345621</v>
      </c>
      <c r="EH67" s="97">
        <v>51242</v>
      </c>
      <c r="EI67" s="97">
        <v>173514</v>
      </c>
      <c r="EJ67" s="97">
        <v>1424115</v>
      </c>
      <c r="EK67" s="97">
        <v>4683053</v>
      </c>
      <c r="EL67" s="97">
        <v>51952732</v>
      </c>
      <c r="EM67" s="97">
        <v>8150274</v>
      </c>
      <c r="EN67" s="97">
        <v>345709</v>
      </c>
      <c r="EO67" s="97">
        <v>2292535</v>
      </c>
      <c r="EP67" s="97">
        <v>31894579</v>
      </c>
      <c r="EQ67" s="97">
        <f>SUM(EL67:EP67)</f>
        <v>94635829</v>
      </c>
      <c r="ER67" s="97">
        <v>2943912</v>
      </c>
      <c r="ES67" s="97">
        <v>395972</v>
      </c>
      <c r="ET67" s="97">
        <v>518395</v>
      </c>
      <c r="EU67" s="97">
        <v>4428449</v>
      </c>
      <c r="EV67" s="97">
        <v>1316577</v>
      </c>
      <c r="EW67" s="97">
        <f>SUM(ER67:EV67)</f>
        <v>9603305</v>
      </c>
      <c r="EX67" s="97">
        <v>3093972</v>
      </c>
      <c r="EY67" s="97">
        <v>662645</v>
      </c>
      <c r="EZ67" s="97">
        <v>116300</v>
      </c>
      <c r="FA67" s="97">
        <v>82056</v>
      </c>
      <c r="FB67" s="97">
        <v>0</v>
      </c>
      <c r="FC67" s="97">
        <f>SUM(EX67:FB67)</f>
        <v>3954973</v>
      </c>
      <c r="FD67" s="97">
        <v>7249142</v>
      </c>
      <c r="FE67" s="97">
        <v>2879623</v>
      </c>
      <c r="FF67" s="97">
        <v>1257003</v>
      </c>
      <c r="FG67" s="97">
        <v>4759838</v>
      </c>
      <c r="FH67" s="97">
        <v>0</v>
      </c>
      <c r="FI67" s="97">
        <v>16145606</v>
      </c>
      <c r="FJ67" s="97">
        <v>31000</v>
      </c>
      <c r="FK67" s="97">
        <v>8500</v>
      </c>
      <c r="FL67" s="97">
        <v>8500</v>
      </c>
      <c r="FM67" s="97">
        <v>58000</v>
      </c>
      <c r="FN67" s="97">
        <v>0</v>
      </c>
      <c r="FO67" s="97">
        <v>106000</v>
      </c>
      <c r="FP67" s="97">
        <v>0</v>
      </c>
      <c r="FQ67" s="97">
        <v>0</v>
      </c>
      <c r="FR67" s="97">
        <v>0</v>
      </c>
      <c r="FS67" s="97">
        <v>0</v>
      </c>
      <c r="FT67" s="97">
        <v>14730442</v>
      </c>
      <c r="FU67" s="97">
        <v>14730442</v>
      </c>
      <c r="FV67" s="97">
        <v>0</v>
      </c>
      <c r="FW67" s="97">
        <v>0</v>
      </c>
      <c r="FX67" s="97">
        <v>0</v>
      </c>
      <c r="FY67" s="97">
        <v>0</v>
      </c>
      <c r="FZ67" s="97">
        <v>22000</v>
      </c>
      <c r="GA67" s="97">
        <v>22000</v>
      </c>
      <c r="GB67" s="97">
        <v>0</v>
      </c>
      <c r="GC67" s="97">
        <v>0</v>
      </c>
      <c r="GD67" s="97">
        <v>0</v>
      </c>
      <c r="GE67" s="97">
        <v>0</v>
      </c>
      <c r="GF67" s="97">
        <v>0</v>
      </c>
      <c r="GG67" s="97">
        <v>0</v>
      </c>
      <c r="GH67" s="97">
        <v>606918</v>
      </c>
      <c r="GI67" s="97">
        <v>287390</v>
      </c>
      <c r="GJ67" s="97">
        <v>92834</v>
      </c>
      <c r="GK67" s="97">
        <v>352459</v>
      </c>
      <c r="GL67" s="97">
        <v>0</v>
      </c>
      <c r="GM67" s="97">
        <v>1339601</v>
      </c>
      <c r="GN67" s="97">
        <v>1180623</v>
      </c>
      <c r="GO67" s="97">
        <v>522452</v>
      </c>
      <c r="GP67" s="97">
        <v>258331</v>
      </c>
      <c r="GQ67" s="97">
        <v>2128598</v>
      </c>
      <c r="GR67" s="97">
        <v>0</v>
      </c>
      <c r="GS67" s="97">
        <v>4090004</v>
      </c>
      <c r="GT67" s="97">
        <v>893880</v>
      </c>
      <c r="GU67" s="97">
        <v>39161</v>
      </c>
      <c r="GV67" s="97">
        <v>20324</v>
      </c>
      <c r="GW67" s="97">
        <v>247040</v>
      </c>
      <c r="GX67" s="97">
        <v>0</v>
      </c>
      <c r="GY67" s="97">
        <v>1200405</v>
      </c>
      <c r="GZ67" s="97">
        <v>1406671</v>
      </c>
      <c r="HA67" s="97">
        <v>439933</v>
      </c>
      <c r="HB67" s="97">
        <v>155693</v>
      </c>
      <c r="HC67" s="97">
        <v>212257</v>
      </c>
      <c r="HD67" s="97">
        <v>0</v>
      </c>
      <c r="HE67" s="97">
        <v>2214554</v>
      </c>
      <c r="HF67" s="97">
        <v>35981</v>
      </c>
      <c r="HG67" s="97">
        <v>22529</v>
      </c>
      <c r="HH67" s="97">
        <v>8631</v>
      </c>
      <c r="HI67" s="97">
        <v>98004</v>
      </c>
      <c r="HJ67" s="97">
        <v>1093527</v>
      </c>
      <c r="HK67" s="97">
        <v>1258672</v>
      </c>
      <c r="HL67" s="97">
        <v>49024</v>
      </c>
      <c r="HM67" s="97">
        <v>134371</v>
      </c>
      <c r="HN67" s="97">
        <v>21013</v>
      </c>
      <c r="HO67" s="97">
        <v>481193</v>
      </c>
      <c r="HP67" s="97">
        <v>0</v>
      </c>
      <c r="HQ67" s="97">
        <v>685601</v>
      </c>
      <c r="HR67" s="97">
        <v>310796</v>
      </c>
      <c r="HS67" s="97">
        <v>31398</v>
      </c>
      <c r="HT67" s="97">
        <v>17279</v>
      </c>
      <c r="HU67" s="97">
        <v>161839</v>
      </c>
      <c r="HV67" s="97">
        <v>23906749</v>
      </c>
      <c r="HW67" s="97">
        <v>24428061</v>
      </c>
      <c r="HX67" s="97">
        <v>0</v>
      </c>
      <c r="HY67" s="97">
        <v>0</v>
      </c>
      <c r="HZ67" s="97">
        <v>0</v>
      </c>
      <c r="IA67" s="97">
        <v>0</v>
      </c>
      <c r="IB67" s="97">
        <v>272263</v>
      </c>
      <c r="IC67" s="97">
        <v>272263</v>
      </c>
      <c r="ID67" s="97">
        <v>0</v>
      </c>
      <c r="IE67" s="97">
        <v>0</v>
      </c>
      <c r="IF67" s="97">
        <v>0</v>
      </c>
      <c r="IG67" s="97">
        <v>0</v>
      </c>
      <c r="IH67" s="97">
        <v>0</v>
      </c>
      <c r="II67" s="97">
        <v>0</v>
      </c>
      <c r="IJ67" s="97">
        <v>198273</v>
      </c>
      <c r="IK67" s="97">
        <v>25495</v>
      </c>
      <c r="IL67" s="97">
        <v>22658</v>
      </c>
      <c r="IM67" s="97">
        <v>136013</v>
      </c>
      <c r="IN67" s="97">
        <v>712074</v>
      </c>
      <c r="IO67" s="97">
        <v>1094513</v>
      </c>
      <c r="IP67" s="97">
        <v>630</v>
      </c>
      <c r="IQ67" s="97">
        <v>1155</v>
      </c>
      <c r="IR67" s="97">
        <v>640</v>
      </c>
      <c r="IS67" s="97">
        <v>14481</v>
      </c>
      <c r="IT67" s="97">
        <v>61587</v>
      </c>
      <c r="IU67" s="97">
        <v>78493</v>
      </c>
      <c r="IV67" s="97">
        <v>1402115</v>
      </c>
      <c r="IW67" s="97">
        <v>236061</v>
      </c>
      <c r="IX67" s="97">
        <v>138055</v>
      </c>
      <c r="IY67" s="97">
        <v>732814</v>
      </c>
      <c r="IZ67" s="97">
        <v>5975812</v>
      </c>
      <c r="JA67" s="97">
        <v>8484857</v>
      </c>
      <c r="JB67" s="97">
        <v>19402937</v>
      </c>
      <c r="JC67" s="97">
        <v>5686685</v>
      </c>
      <c r="JD67" s="97">
        <v>2635656</v>
      </c>
      <c r="JE67" s="97">
        <v>13893041</v>
      </c>
      <c r="JF67" s="97">
        <v>48091031</v>
      </c>
      <c r="JG67" s="97">
        <v>89709350</v>
      </c>
      <c r="JH67" s="97">
        <v>0</v>
      </c>
      <c r="JI67" s="97">
        <v>0</v>
      </c>
      <c r="JJ67" s="97">
        <v>0</v>
      </c>
      <c r="JK67" s="97">
        <v>0</v>
      </c>
      <c r="JL67" s="97">
        <v>0</v>
      </c>
      <c r="JM67" s="97">
        <v>0</v>
      </c>
      <c r="JN67" s="97">
        <v>19402937</v>
      </c>
      <c r="JO67" s="118">
        <v>5686685</v>
      </c>
      <c r="JP67" s="118">
        <v>2635656</v>
      </c>
      <c r="JQ67" s="118">
        <v>13893041</v>
      </c>
      <c r="JR67" s="118">
        <v>48091031</v>
      </c>
      <c r="JS67" s="118">
        <v>89709350</v>
      </c>
      <c r="JU67" s="5">
        <f t="shared" si="78"/>
        <v>23349642</v>
      </c>
      <c r="JV67" s="29">
        <f t="shared" si="79"/>
        <v>0</v>
      </c>
      <c r="JW67" s="5">
        <f t="shared" si="80"/>
        <v>1524044</v>
      </c>
      <c r="JX67" s="29">
        <f t="shared" si="81"/>
        <v>0</v>
      </c>
      <c r="JY67" s="5">
        <f t="shared" si="82"/>
        <v>2172741</v>
      </c>
      <c r="JZ67" s="29">
        <f t="shared" si="83"/>
        <v>0</v>
      </c>
      <c r="KA67" s="5">
        <f t="shared" si="84"/>
        <v>32387615</v>
      </c>
      <c r="KB67" s="29">
        <f t="shared" si="85"/>
        <v>0</v>
      </c>
      <c r="KC67" s="5">
        <f t="shared" si="86"/>
        <v>128000</v>
      </c>
      <c r="KD67" s="29">
        <f t="shared" si="87"/>
        <v>0</v>
      </c>
      <c r="KE67" s="5">
        <f t="shared" si="88"/>
        <v>951816</v>
      </c>
      <c r="KF67" s="29">
        <f t="shared" si="89"/>
        <v>0</v>
      </c>
      <c r="KG67" s="5">
        <f t="shared" si="90"/>
        <v>1615035</v>
      </c>
      <c r="KH67" s="29">
        <f t="shared" si="91"/>
        <v>0</v>
      </c>
      <c r="KI67" s="5">
        <f t="shared" si="92"/>
        <v>0</v>
      </c>
      <c r="KJ67" s="29">
        <f t="shared" si="93"/>
        <v>0</v>
      </c>
      <c r="KK67" s="5">
        <f t="shared" si="94"/>
        <v>14981000</v>
      </c>
      <c r="KL67" s="29">
        <f t="shared" si="95"/>
        <v>0</v>
      </c>
      <c r="KM67" s="5">
        <f t="shared" si="96"/>
        <v>278362</v>
      </c>
      <c r="KN67" s="29">
        <f t="shared" si="97"/>
        <v>0</v>
      </c>
      <c r="KO67" s="5">
        <f t="shared" si="98"/>
        <v>4850061</v>
      </c>
      <c r="KP67" s="29">
        <f t="shared" si="99"/>
        <v>0</v>
      </c>
      <c r="KQ67" s="5">
        <f t="shared" si="100"/>
        <v>8193749</v>
      </c>
      <c r="KR67" s="29">
        <f t="shared" si="101"/>
        <v>0</v>
      </c>
      <c r="KS67" s="5">
        <f t="shared" si="102"/>
        <v>989400</v>
      </c>
      <c r="KT67" s="29">
        <f t="shared" si="103"/>
        <v>0</v>
      </c>
      <c r="KU67" s="5">
        <f t="shared" si="104"/>
        <v>146346</v>
      </c>
      <c r="KV67" s="29">
        <f t="shared" si="105"/>
        <v>0</v>
      </c>
      <c r="KW67" s="5">
        <f t="shared" si="106"/>
        <v>4683053</v>
      </c>
      <c r="KX67" s="29">
        <f t="shared" si="107"/>
        <v>0</v>
      </c>
      <c r="KY67" s="5">
        <f t="shared" si="108"/>
        <v>94635829</v>
      </c>
      <c r="KZ67" s="29">
        <f t="shared" si="109"/>
        <v>0</v>
      </c>
      <c r="LA67" s="5">
        <f t="shared" si="110"/>
        <v>9603305</v>
      </c>
      <c r="LB67" s="29">
        <f t="shared" si="111"/>
        <v>0</v>
      </c>
      <c r="LC67" s="5">
        <f t="shared" si="112"/>
        <v>3954973</v>
      </c>
      <c r="LD67" s="29">
        <f t="shared" si="113"/>
        <v>0</v>
      </c>
      <c r="LE67" s="5">
        <f t="shared" si="114"/>
        <v>16145606</v>
      </c>
      <c r="LF67" s="29">
        <f t="shared" si="115"/>
        <v>0</v>
      </c>
      <c r="LG67" s="5">
        <f t="shared" si="116"/>
        <v>106000</v>
      </c>
      <c r="LH67" s="29">
        <f t="shared" si="117"/>
        <v>0</v>
      </c>
      <c r="LI67" s="5">
        <f t="shared" si="118"/>
        <v>14730442</v>
      </c>
      <c r="LJ67" s="29">
        <f t="shared" si="119"/>
        <v>0</v>
      </c>
      <c r="LK67" s="5">
        <f t="shared" si="120"/>
        <v>22000</v>
      </c>
      <c r="LL67" s="29">
        <f t="shared" si="121"/>
        <v>0</v>
      </c>
      <c r="LM67" s="5">
        <f t="shared" si="122"/>
        <v>0</v>
      </c>
      <c r="LN67" s="29">
        <f t="shared" si="123"/>
        <v>0</v>
      </c>
      <c r="LO67" s="5">
        <f t="shared" si="124"/>
        <v>1339601</v>
      </c>
      <c r="LP67" s="29">
        <f t="shared" si="125"/>
        <v>0</v>
      </c>
      <c r="LQ67" s="5">
        <f t="shared" si="126"/>
        <v>4090004</v>
      </c>
      <c r="LR67" s="29">
        <f t="shared" si="127"/>
        <v>0</v>
      </c>
      <c r="LS67" s="5">
        <f t="shared" si="128"/>
        <v>1200405</v>
      </c>
      <c r="LT67" s="29">
        <f t="shared" si="129"/>
        <v>0</v>
      </c>
      <c r="LU67" s="5">
        <f t="shared" si="130"/>
        <v>2214554</v>
      </c>
      <c r="LV67" s="29">
        <f t="shared" si="131"/>
        <v>0</v>
      </c>
      <c r="LW67" s="5">
        <f t="shared" si="132"/>
        <v>1258672</v>
      </c>
      <c r="LX67" s="29">
        <f t="shared" si="133"/>
        <v>0</v>
      </c>
      <c r="LY67" s="5">
        <f t="shared" si="134"/>
        <v>685601</v>
      </c>
      <c r="LZ67" s="29">
        <f t="shared" si="135"/>
        <v>0</v>
      </c>
      <c r="MA67" s="5">
        <f t="shared" si="136"/>
        <v>24428061</v>
      </c>
      <c r="MB67" s="29">
        <f t="shared" si="137"/>
        <v>0</v>
      </c>
      <c r="MC67" s="5">
        <f t="shared" si="138"/>
        <v>272263</v>
      </c>
      <c r="MD67" s="29">
        <f t="shared" si="139"/>
        <v>0</v>
      </c>
      <c r="ME67" s="5">
        <f t="shared" si="140"/>
        <v>0</v>
      </c>
      <c r="MF67" s="29">
        <f t="shared" si="141"/>
        <v>0</v>
      </c>
      <c r="MG67" s="5">
        <f t="shared" si="142"/>
        <v>1094513</v>
      </c>
      <c r="MH67" s="29">
        <f t="shared" si="143"/>
        <v>0</v>
      </c>
      <c r="MI67" s="5">
        <f t="shared" si="144"/>
        <v>78493</v>
      </c>
      <c r="MJ67" s="29">
        <f t="shared" si="145"/>
        <v>0</v>
      </c>
      <c r="MK67" s="5">
        <f t="shared" si="146"/>
        <v>8484857</v>
      </c>
      <c r="ML67" s="29">
        <f t="shared" si="147"/>
        <v>0</v>
      </c>
      <c r="MM67" s="5">
        <f t="shared" si="148"/>
        <v>89709350</v>
      </c>
      <c r="MN67" s="29">
        <f t="shared" si="149"/>
        <v>0</v>
      </c>
      <c r="MO67" s="5">
        <f t="shared" si="150"/>
        <v>0</v>
      </c>
      <c r="MP67" s="29">
        <f t="shared" si="151"/>
        <v>0</v>
      </c>
      <c r="MQ67" s="5">
        <f t="shared" si="152"/>
        <v>89709350</v>
      </c>
      <c r="MR67" s="29">
        <f t="shared" si="153"/>
        <v>0</v>
      </c>
      <c r="MT67" s="5">
        <f t="shared" si="156"/>
        <v>0</v>
      </c>
      <c r="MV67" s="4">
        <f t="shared" si="155"/>
        <v>0</v>
      </c>
      <c r="NG67" s="15"/>
    </row>
    <row r="68" spans="1:371" x14ac:dyDescent="0.15">
      <c r="A68" s="156" t="s">
        <v>345</v>
      </c>
      <c r="B68" s="28" t="s">
        <v>461</v>
      </c>
      <c r="C68" s="47">
        <v>176080</v>
      </c>
      <c r="D68" s="48">
        <v>2012</v>
      </c>
      <c r="E68" s="49">
        <v>1</v>
      </c>
      <c r="F68" s="49">
        <v>4</v>
      </c>
      <c r="G68" s="50">
        <v>9052</v>
      </c>
      <c r="H68" s="50">
        <v>7828</v>
      </c>
      <c r="I68" s="51">
        <v>802005000</v>
      </c>
      <c r="J68" s="51"/>
      <c r="K68" s="51">
        <v>7319218</v>
      </c>
      <c r="L68" s="51"/>
      <c r="M68" s="51">
        <v>40306000</v>
      </c>
      <c r="N68" s="51"/>
      <c r="O68" s="51">
        <v>84949591</v>
      </c>
      <c r="P68" s="51"/>
      <c r="Q68" s="51">
        <v>251610000</v>
      </c>
      <c r="R68" s="51"/>
      <c r="S68" s="51">
        <v>652103000</v>
      </c>
      <c r="T68" s="51"/>
      <c r="U68" s="51">
        <v>20132</v>
      </c>
      <c r="V68" s="51"/>
      <c r="W68" s="51">
        <v>33848</v>
      </c>
      <c r="X68" s="51"/>
      <c r="Y68" s="51">
        <v>22583</v>
      </c>
      <c r="Z68" s="51"/>
      <c r="AA68" s="51">
        <v>36299</v>
      </c>
      <c r="AB68" s="51"/>
      <c r="AC68" s="72">
        <v>9</v>
      </c>
      <c r="AD68" s="72">
        <v>11</v>
      </c>
      <c r="AE68" s="72">
        <v>0</v>
      </c>
      <c r="AF68" s="29">
        <v>4831430</v>
      </c>
      <c r="AG68" s="87">
        <v>3542265</v>
      </c>
      <c r="AH68" s="29">
        <v>612556</v>
      </c>
      <c r="AI68" s="29">
        <v>273475</v>
      </c>
      <c r="AJ68" s="29">
        <v>528237</v>
      </c>
      <c r="AK68" s="73">
        <v>7</v>
      </c>
      <c r="AL68" s="29">
        <v>528237</v>
      </c>
      <c r="AM68" s="73">
        <v>7</v>
      </c>
      <c r="AN68" s="29">
        <v>162979.67000000001</v>
      </c>
      <c r="AO68" s="73">
        <v>9</v>
      </c>
      <c r="AP68" s="29">
        <v>162979.67000000001</v>
      </c>
      <c r="AQ68" s="73">
        <v>9</v>
      </c>
      <c r="AR68" s="29">
        <v>179548.7</v>
      </c>
      <c r="AS68" s="88">
        <v>20</v>
      </c>
      <c r="AT68" s="89">
        <v>179548.7</v>
      </c>
      <c r="AU68" s="88">
        <v>20</v>
      </c>
      <c r="AV68" s="89">
        <v>82406.75</v>
      </c>
      <c r="AW68" s="88">
        <v>16</v>
      </c>
      <c r="AX68" s="89">
        <v>82406.75</v>
      </c>
      <c r="AY68" s="88">
        <v>16</v>
      </c>
      <c r="AZ68" s="119">
        <v>7110799</v>
      </c>
      <c r="BA68" s="114">
        <v>1139302</v>
      </c>
      <c r="BB68" s="120">
        <v>110165</v>
      </c>
      <c r="BC68" s="97">
        <v>871005</v>
      </c>
      <c r="BD68" s="120">
        <v>309880</v>
      </c>
      <c r="BE68" s="120">
        <v>9541151</v>
      </c>
      <c r="BF68" s="120">
        <v>1364452</v>
      </c>
      <c r="BG68" s="120">
        <v>785515</v>
      </c>
      <c r="BH68" s="120">
        <v>59950</v>
      </c>
      <c r="BI68" s="121">
        <v>232305</v>
      </c>
      <c r="BJ68" s="120">
        <v>0</v>
      </c>
      <c r="BK68" s="120">
        <v>2442222</v>
      </c>
      <c r="BL68" s="120">
        <v>2053972</v>
      </c>
      <c r="BM68" s="120">
        <v>121030</v>
      </c>
      <c r="BN68" s="120">
        <v>3000</v>
      </c>
      <c r="BO68" s="121">
        <v>74584</v>
      </c>
      <c r="BP68" s="120">
        <v>0</v>
      </c>
      <c r="BQ68" s="120">
        <v>2252586</v>
      </c>
      <c r="BR68" s="120">
        <v>1501097</v>
      </c>
      <c r="BS68" s="120">
        <v>82671</v>
      </c>
      <c r="BT68" s="120">
        <v>38512</v>
      </c>
      <c r="BU68" s="120">
        <v>336702</v>
      </c>
      <c r="BV68" s="120">
        <v>7857938</v>
      </c>
      <c r="BW68" s="120">
        <v>9816920</v>
      </c>
      <c r="BX68" s="120">
        <v>0</v>
      </c>
      <c r="BY68" s="122">
        <v>0</v>
      </c>
      <c r="BZ68" s="120">
        <v>0</v>
      </c>
      <c r="CA68" s="120">
        <v>0</v>
      </c>
      <c r="CB68" s="120">
        <v>0</v>
      </c>
      <c r="CC68" s="120">
        <v>0</v>
      </c>
      <c r="CD68" s="120">
        <v>0</v>
      </c>
      <c r="CE68" s="120">
        <v>315512</v>
      </c>
      <c r="CF68" s="120">
        <v>0</v>
      </c>
      <c r="CG68" s="120">
        <v>603780</v>
      </c>
      <c r="CH68" s="120">
        <v>1172</v>
      </c>
      <c r="CI68" s="97">
        <v>920464</v>
      </c>
      <c r="CJ68" s="120">
        <v>0</v>
      </c>
      <c r="CK68" s="120">
        <v>0</v>
      </c>
      <c r="CL68" s="120">
        <v>727069</v>
      </c>
      <c r="CM68" s="120">
        <v>3730947</v>
      </c>
      <c r="CN68" s="120">
        <v>6042057</v>
      </c>
      <c r="CO68" s="97">
        <v>10500073</v>
      </c>
      <c r="CP68" s="120">
        <v>0</v>
      </c>
      <c r="CQ68" s="97">
        <v>0</v>
      </c>
      <c r="CR68" s="120">
        <v>0</v>
      </c>
      <c r="CS68" s="114">
        <v>0</v>
      </c>
      <c r="CT68" s="120">
        <v>4864660</v>
      </c>
      <c r="CU68" s="120">
        <v>4864660</v>
      </c>
      <c r="CV68" s="120">
        <v>2769310</v>
      </c>
      <c r="CW68" s="97">
        <v>4666</v>
      </c>
      <c r="CX68" s="120">
        <v>15104</v>
      </c>
      <c r="CY68" s="120">
        <v>55117</v>
      </c>
      <c r="CZ68" s="120">
        <v>1682508</v>
      </c>
      <c r="DA68" s="120">
        <v>4526705</v>
      </c>
      <c r="DB68" s="120">
        <v>5318091</v>
      </c>
      <c r="DC68" s="97">
        <v>2926738</v>
      </c>
      <c r="DD68" s="120">
        <v>0</v>
      </c>
      <c r="DE68" s="120">
        <v>0</v>
      </c>
      <c r="DF68" s="120">
        <v>0</v>
      </c>
      <c r="DG68" s="120">
        <v>8244829</v>
      </c>
      <c r="DH68" s="122">
        <v>384961</v>
      </c>
      <c r="DI68" s="123">
        <v>83569</v>
      </c>
      <c r="DJ68" s="120">
        <v>14673</v>
      </c>
      <c r="DK68" s="120">
        <v>66899</v>
      </c>
      <c r="DL68" s="120">
        <v>373489</v>
      </c>
      <c r="DM68" s="120">
        <v>923591</v>
      </c>
      <c r="DN68" s="120">
        <v>0</v>
      </c>
      <c r="DO68" s="97">
        <v>0</v>
      </c>
      <c r="DP68" s="120">
        <v>0</v>
      </c>
      <c r="DQ68" s="120">
        <v>16997</v>
      </c>
      <c r="DR68" s="120">
        <v>3321904</v>
      </c>
      <c r="DS68" s="120">
        <v>3338901</v>
      </c>
      <c r="DT68" s="120">
        <v>163839</v>
      </c>
      <c r="DU68" s="97">
        <v>30364</v>
      </c>
      <c r="DV68" s="120">
        <v>109950</v>
      </c>
      <c r="DW68" s="120">
        <v>672124</v>
      </c>
      <c r="DX68" s="120">
        <v>29045</v>
      </c>
      <c r="DY68" s="120">
        <v>1005322</v>
      </c>
      <c r="DZ68" s="114">
        <v>0</v>
      </c>
      <c r="EA68" s="97">
        <v>0</v>
      </c>
      <c r="EB68" s="97">
        <v>0</v>
      </c>
      <c r="EC68" s="97">
        <v>0</v>
      </c>
      <c r="ED68" s="97">
        <v>52452</v>
      </c>
      <c r="EE68" s="97">
        <v>52452</v>
      </c>
      <c r="EF68" s="97">
        <v>425</v>
      </c>
      <c r="EG68" s="97">
        <v>0</v>
      </c>
      <c r="EH68" s="120">
        <v>0</v>
      </c>
      <c r="EI68" s="120">
        <v>125</v>
      </c>
      <c r="EJ68" s="120">
        <v>276411</v>
      </c>
      <c r="EK68" s="120">
        <v>276961</v>
      </c>
      <c r="EL68" s="120">
        <v>20666946</v>
      </c>
      <c r="EM68" s="123">
        <v>5489367</v>
      </c>
      <c r="EN68" s="120">
        <v>1078423</v>
      </c>
      <c r="EO68" s="120">
        <v>6660585</v>
      </c>
      <c r="EP68" s="120">
        <v>24811516</v>
      </c>
      <c r="EQ68" s="120">
        <v>58706837</v>
      </c>
      <c r="ER68" s="120">
        <v>3175070</v>
      </c>
      <c r="ES68" s="123">
        <v>431953</v>
      </c>
      <c r="ET68" s="120">
        <v>366893</v>
      </c>
      <c r="EU68" s="120">
        <v>4399779</v>
      </c>
      <c r="EV68" s="121">
        <v>82028</v>
      </c>
      <c r="EW68" s="120">
        <v>8455723</v>
      </c>
      <c r="EX68" s="122">
        <v>1575000</v>
      </c>
      <c r="EY68" s="123">
        <v>526537</v>
      </c>
      <c r="EZ68" s="120">
        <v>57524</v>
      </c>
      <c r="FA68" s="120">
        <v>64160</v>
      </c>
      <c r="FB68" s="120">
        <v>0</v>
      </c>
      <c r="FC68" s="120">
        <v>2223221</v>
      </c>
      <c r="FD68" s="120">
        <v>3729593</v>
      </c>
      <c r="FE68" s="120">
        <v>1886802</v>
      </c>
      <c r="FF68" s="120">
        <v>639288</v>
      </c>
      <c r="FG68" s="120">
        <v>3818275</v>
      </c>
      <c r="FH68" s="120">
        <v>0</v>
      </c>
      <c r="FI68" s="120">
        <v>10073958</v>
      </c>
      <c r="FJ68" s="120">
        <v>0</v>
      </c>
      <c r="FK68" s="120">
        <v>0</v>
      </c>
      <c r="FL68" s="120">
        <v>0</v>
      </c>
      <c r="FM68" s="120">
        <v>0</v>
      </c>
      <c r="FN68" s="120">
        <v>0</v>
      </c>
      <c r="FO68" s="121">
        <v>0</v>
      </c>
      <c r="FP68" s="120">
        <v>476720</v>
      </c>
      <c r="FQ68" s="121">
        <v>63423</v>
      </c>
      <c r="FR68" s="120">
        <v>112940</v>
      </c>
      <c r="FS68" s="121">
        <v>312813</v>
      </c>
      <c r="FT68" s="120">
        <v>5863247</v>
      </c>
      <c r="FU68" s="120">
        <v>6829143</v>
      </c>
      <c r="FV68" s="120">
        <v>0</v>
      </c>
      <c r="FW68" s="124">
        <v>0</v>
      </c>
      <c r="FX68" s="124">
        <v>0</v>
      </c>
      <c r="FY68" s="125">
        <v>0</v>
      </c>
      <c r="FZ68" s="125">
        <v>0</v>
      </c>
      <c r="GA68" s="124">
        <v>0</v>
      </c>
      <c r="GB68" s="125">
        <v>0</v>
      </c>
      <c r="GC68" s="125">
        <v>0</v>
      </c>
      <c r="GD68" s="124">
        <v>414991</v>
      </c>
      <c r="GE68" s="124">
        <v>0</v>
      </c>
      <c r="GF68" s="125">
        <v>0</v>
      </c>
      <c r="GG68" s="125">
        <v>414991</v>
      </c>
      <c r="GH68" s="124">
        <v>361288</v>
      </c>
      <c r="GI68" s="125">
        <v>138984</v>
      </c>
      <c r="GJ68" s="124">
        <v>109312</v>
      </c>
      <c r="GK68" s="125">
        <v>276447</v>
      </c>
      <c r="GL68" s="124">
        <v>26951</v>
      </c>
      <c r="GM68" s="125">
        <v>912982</v>
      </c>
      <c r="GN68" s="124">
        <v>361288</v>
      </c>
      <c r="GO68" s="125">
        <v>138984</v>
      </c>
      <c r="GP68" s="124">
        <v>109312</v>
      </c>
      <c r="GQ68" s="125">
        <v>276447</v>
      </c>
      <c r="GR68" s="124">
        <v>26951</v>
      </c>
      <c r="GS68" s="125">
        <v>912982</v>
      </c>
      <c r="GT68" s="124">
        <v>177584</v>
      </c>
      <c r="GU68" s="125">
        <v>7207</v>
      </c>
      <c r="GV68" s="124">
        <v>17477</v>
      </c>
      <c r="GW68" s="125">
        <v>160884</v>
      </c>
      <c r="GX68" s="124">
        <v>148991</v>
      </c>
      <c r="GY68" s="125">
        <v>512143</v>
      </c>
      <c r="GZ68" s="124">
        <v>237797</v>
      </c>
      <c r="HA68" s="125">
        <v>140740</v>
      </c>
      <c r="HB68" s="125">
        <v>110211</v>
      </c>
      <c r="HC68" s="124">
        <v>287835</v>
      </c>
      <c r="HD68" s="124">
        <v>713065</v>
      </c>
      <c r="HE68" s="124">
        <v>1489648</v>
      </c>
      <c r="HF68" s="124">
        <v>25093</v>
      </c>
      <c r="HG68" s="125">
        <v>23876</v>
      </c>
      <c r="HH68" s="124">
        <v>8417</v>
      </c>
      <c r="HI68" s="125">
        <v>36325</v>
      </c>
      <c r="HJ68" s="125">
        <v>1119449</v>
      </c>
      <c r="HK68" s="125">
        <v>1213160</v>
      </c>
      <c r="HL68" s="124">
        <v>230847</v>
      </c>
      <c r="HM68" s="125">
        <v>16854</v>
      </c>
      <c r="HN68" s="125">
        <v>55796</v>
      </c>
      <c r="HO68" s="125">
        <v>606689</v>
      </c>
      <c r="HP68" s="125">
        <v>28171</v>
      </c>
      <c r="HQ68" s="124">
        <v>938357</v>
      </c>
      <c r="HR68" s="125">
        <v>19893</v>
      </c>
      <c r="HS68" s="125">
        <v>24256</v>
      </c>
      <c r="HT68" s="125">
        <v>10984</v>
      </c>
      <c r="HU68" s="125">
        <v>119077</v>
      </c>
      <c r="HV68" s="124">
        <v>10093346</v>
      </c>
      <c r="HW68" s="125">
        <v>10267556</v>
      </c>
      <c r="HX68" s="125">
        <v>0</v>
      </c>
      <c r="HY68" s="125">
        <v>0</v>
      </c>
      <c r="HZ68" s="125">
        <v>0</v>
      </c>
      <c r="IA68" s="124">
        <v>0</v>
      </c>
      <c r="IB68" s="124">
        <v>65344</v>
      </c>
      <c r="IC68" s="125">
        <v>65344</v>
      </c>
      <c r="ID68" s="125">
        <v>0</v>
      </c>
      <c r="IE68" s="125">
        <v>0</v>
      </c>
      <c r="IF68" s="125">
        <v>0</v>
      </c>
      <c r="IG68" s="124">
        <v>0</v>
      </c>
      <c r="IH68" s="124">
        <v>4864660</v>
      </c>
      <c r="II68" s="124">
        <v>4864660</v>
      </c>
      <c r="IJ68" s="125">
        <v>152024</v>
      </c>
      <c r="IK68" s="125">
        <v>19534</v>
      </c>
      <c r="IL68" s="125">
        <v>8849</v>
      </c>
      <c r="IM68" s="114">
        <v>177062</v>
      </c>
      <c r="IN68" s="125">
        <v>719106</v>
      </c>
      <c r="IO68" s="125">
        <v>1076575</v>
      </c>
      <c r="IP68" s="124">
        <v>1900</v>
      </c>
      <c r="IQ68" s="125">
        <v>544</v>
      </c>
      <c r="IR68" s="125">
        <v>860</v>
      </c>
      <c r="IS68" s="125">
        <v>3997</v>
      </c>
      <c r="IT68" s="125">
        <v>1561873</v>
      </c>
      <c r="IU68" s="125">
        <v>1569174</v>
      </c>
      <c r="IV68" s="125">
        <v>710606</v>
      </c>
      <c r="IW68" s="124">
        <v>104255</v>
      </c>
      <c r="IX68" s="124">
        <v>67284</v>
      </c>
      <c r="IY68" s="125">
        <v>442667</v>
      </c>
      <c r="IZ68" s="124">
        <v>2292101</v>
      </c>
      <c r="JA68" s="125">
        <v>3616913</v>
      </c>
      <c r="JB68" s="125">
        <v>11903213</v>
      </c>
      <c r="JC68" s="124">
        <v>3669596</v>
      </c>
      <c r="JD68" s="125">
        <v>2185902</v>
      </c>
      <c r="JE68" s="125">
        <v>12399740</v>
      </c>
      <c r="JF68" s="124">
        <v>27660581</v>
      </c>
      <c r="JG68" s="124">
        <v>57819032</v>
      </c>
      <c r="JH68" s="125">
        <v>0</v>
      </c>
      <c r="JI68" s="124">
        <v>0</v>
      </c>
      <c r="JJ68" s="125">
        <v>0</v>
      </c>
      <c r="JK68" s="114">
        <v>0</v>
      </c>
      <c r="JL68" s="125">
        <v>887805</v>
      </c>
      <c r="JM68" s="124">
        <v>887805</v>
      </c>
      <c r="JN68" s="125">
        <v>11903213</v>
      </c>
      <c r="JO68" s="125">
        <v>3669596</v>
      </c>
      <c r="JP68" s="124">
        <v>2185902</v>
      </c>
      <c r="JQ68" s="125">
        <v>12399740</v>
      </c>
      <c r="JR68" s="125">
        <v>28548386</v>
      </c>
      <c r="JS68" s="97">
        <v>58706837</v>
      </c>
      <c r="JU68" s="5">
        <f t="shared" si="78"/>
        <v>9541151</v>
      </c>
      <c r="JV68" s="29">
        <f t="shared" si="79"/>
        <v>0</v>
      </c>
      <c r="JW68" s="5">
        <f t="shared" si="80"/>
        <v>2442222</v>
      </c>
      <c r="JX68" s="29">
        <f t="shared" si="81"/>
        <v>0</v>
      </c>
      <c r="JY68" s="5">
        <f t="shared" si="82"/>
        <v>2252586</v>
      </c>
      <c r="JZ68" s="29">
        <f t="shared" si="83"/>
        <v>0</v>
      </c>
      <c r="KA68" s="5">
        <f t="shared" si="84"/>
        <v>9816920</v>
      </c>
      <c r="KB68" s="29">
        <f t="shared" si="85"/>
        <v>0</v>
      </c>
      <c r="KC68" s="5">
        <f t="shared" si="86"/>
        <v>0</v>
      </c>
      <c r="KD68" s="29">
        <f t="shared" si="87"/>
        <v>0</v>
      </c>
      <c r="KE68" s="5">
        <f t="shared" si="88"/>
        <v>920464</v>
      </c>
      <c r="KF68" s="29">
        <f t="shared" si="89"/>
        <v>0</v>
      </c>
      <c r="KG68" s="5">
        <f t="shared" si="90"/>
        <v>10500073</v>
      </c>
      <c r="KH68" s="29">
        <f t="shared" si="91"/>
        <v>0</v>
      </c>
      <c r="KI68" s="5">
        <f t="shared" si="92"/>
        <v>4864660</v>
      </c>
      <c r="KJ68" s="29">
        <f t="shared" si="93"/>
        <v>0</v>
      </c>
      <c r="KK68" s="5">
        <f t="shared" si="94"/>
        <v>4526705</v>
      </c>
      <c r="KL68" s="29">
        <f t="shared" si="95"/>
        <v>0</v>
      </c>
      <c r="KM68" s="5">
        <f t="shared" si="96"/>
        <v>8244829</v>
      </c>
      <c r="KN68" s="29">
        <f t="shared" si="97"/>
        <v>0</v>
      </c>
      <c r="KO68" s="5">
        <f t="shared" si="98"/>
        <v>923591</v>
      </c>
      <c r="KP68" s="29">
        <f t="shared" si="99"/>
        <v>0</v>
      </c>
      <c r="KQ68" s="5">
        <f t="shared" si="100"/>
        <v>3338901</v>
      </c>
      <c r="KR68" s="29">
        <f t="shared" si="101"/>
        <v>0</v>
      </c>
      <c r="KS68" s="5">
        <f t="shared" si="102"/>
        <v>1005322</v>
      </c>
      <c r="KT68" s="29">
        <f t="shared" si="103"/>
        <v>0</v>
      </c>
      <c r="KU68" s="5">
        <f t="shared" si="104"/>
        <v>52452</v>
      </c>
      <c r="KV68" s="29">
        <f t="shared" si="105"/>
        <v>0</v>
      </c>
      <c r="KW68" s="5">
        <f t="shared" si="106"/>
        <v>276961</v>
      </c>
      <c r="KX68" s="29">
        <f t="shared" si="107"/>
        <v>0</v>
      </c>
      <c r="KY68" s="5">
        <f t="shared" si="108"/>
        <v>58706837</v>
      </c>
      <c r="KZ68" s="29">
        <f t="shared" si="109"/>
        <v>0</v>
      </c>
      <c r="LA68" s="5">
        <f t="shared" si="110"/>
        <v>8455723</v>
      </c>
      <c r="LB68" s="29">
        <f t="shared" si="111"/>
        <v>0</v>
      </c>
      <c r="LC68" s="5">
        <f t="shared" si="112"/>
        <v>2223221</v>
      </c>
      <c r="LD68" s="29">
        <f t="shared" si="113"/>
        <v>0</v>
      </c>
      <c r="LE68" s="5">
        <f t="shared" si="114"/>
        <v>10073958</v>
      </c>
      <c r="LF68" s="29">
        <f t="shared" si="115"/>
        <v>0</v>
      </c>
      <c r="LG68" s="5">
        <f t="shared" si="116"/>
        <v>0</v>
      </c>
      <c r="LH68" s="29">
        <f t="shared" si="117"/>
        <v>0</v>
      </c>
      <c r="LI68" s="5">
        <f t="shared" si="118"/>
        <v>6829143</v>
      </c>
      <c r="LJ68" s="29">
        <f t="shared" si="119"/>
        <v>0</v>
      </c>
      <c r="LK68" s="5">
        <f t="shared" si="120"/>
        <v>0</v>
      </c>
      <c r="LL68" s="29">
        <f t="shared" si="121"/>
        <v>0</v>
      </c>
      <c r="LM68" s="5">
        <f t="shared" si="122"/>
        <v>414991</v>
      </c>
      <c r="LN68" s="29">
        <f t="shared" si="123"/>
        <v>0</v>
      </c>
      <c r="LO68" s="5">
        <f t="shared" si="124"/>
        <v>912982</v>
      </c>
      <c r="LP68" s="29">
        <f t="shared" si="125"/>
        <v>0</v>
      </c>
      <c r="LQ68" s="5">
        <f t="shared" si="126"/>
        <v>912982</v>
      </c>
      <c r="LR68" s="29">
        <f t="shared" si="127"/>
        <v>0</v>
      </c>
      <c r="LS68" s="5">
        <f t="shared" si="128"/>
        <v>512143</v>
      </c>
      <c r="LT68" s="29">
        <f t="shared" si="129"/>
        <v>0</v>
      </c>
      <c r="LU68" s="5">
        <f t="shared" si="130"/>
        <v>1489648</v>
      </c>
      <c r="LV68" s="29">
        <f t="shared" si="131"/>
        <v>0</v>
      </c>
      <c r="LW68" s="5">
        <f t="shared" si="132"/>
        <v>1213160</v>
      </c>
      <c r="LX68" s="29">
        <f t="shared" si="133"/>
        <v>0</v>
      </c>
      <c r="LY68" s="5">
        <f t="shared" si="134"/>
        <v>938357</v>
      </c>
      <c r="LZ68" s="29">
        <f t="shared" si="135"/>
        <v>0</v>
      </c>
      <c r="MA68" s="5">
        <f t="shared" si="136"/>
        <v>10267556</v>
      </c>
      <c r="MB68" s="29">
        <f t="shared" si="137"/>
        <v>0</v>
      </c>
      <c r="MC68" s="5">
        <f t="shared" si="138"/>
        <v>65344</v>
      </c>
      <c r="MD68" s="29">
        <f t="shared" si="139"/>
        <v>0</v>
      </c>
      <c r="ME68" s="5">
        <f t="shared" si="140"/>
        <v>4864660</v>
      </c>
      <c r="MF68" s="29">
        <f t="shared" si="141"/>
        <v>0</v>
      </c>
      <c r="MG68" s="5">
        <f t="shared" si="142"/>
        <v>1076575</v>
      </c>
      <c r="MH68" s="29">
        <f t="shared" si="143"/>
        <v>0</v>
      </c>
      <c r="MI68" s="5">
        <f t="shared" si="144"/>
        <v>1569174</v>
      </c>
      <c r="MJ68" s="29">
        <f t="shared" si="145"/>
        <v>0</v>
      </c>
      <c r="MK68" s="5">
        <f t="shared" si="146"/>
        <v>3616913</v>
      </c>
      <c r="ML68" s="29">
        <f t="shared" si="147"/>
        <v>0</v>
      </c>
      <c r="MM68" s="5">
        <f t="shared" si="148"/>
        <v>57819032</v>
      </c>
      <c r="MN68" s="29">
        <f t="shared" si="149"/>
        <v>0</v>
      </c>
      <c r="MO68" s="5">
        <f t="shared" si="150"/>
        <v>887805</v>
      </c>
      <c r="MP68" s="29">
        <f t="shared" si="151"/>
        <v>0</v>
      </c>
      <c r="MQ68" s="5">
        <f t="shared" si="152"/>
        <v>58706837</v>
      </c>
      <c r="MR68" s="29">
        <f t="shared" si="153"/>
        <v>0</v>
      </c>
      <c r="MT68" s="5">
        <f t="shared" si="156"/>
        <v>0</v>
      </c>
      <c r="MV68" s="4">
        <f t="shared" si="155"/>
        <v>0</v>
      </c>
      <c r="NG68" s="15"/>
    </row>
    <row r="69" spans="1:371" x14ac:dyDescent="0.15">
      <c r="A69" s="155" t="s">
        <v>346</v>
      </c>
      <c r="B69" s="28" t="s">
        <v>406</v>
      </c>
      <c r="C69" s="47">
        <v>243780</v>
      </c>
      <c r="D69" s="48">
        <v>2012</v>
      </c>
      <c r="E69" s="49">
        <v>1</v>
      </c>
      <c r="F69" s="49">
        <v>3</v>
      </c>
      <c r="G69" s="50">
        <v>17135</v>
      </c>
      <c r="H69" s="50">
        <v>12485</v>
      </c>
      <c r="I69" s="51">
        <v>1531488492</v>
      </c>
      <c r="J69" s="51"/>
      <c r="K69" s="51">
        <v>8978342</v>
      </c>
      <c r="L69" s="51"/>
      <c r="M69" s="51">
        <v>59578441</v>
      </c>
      <c r="N69" s="51"/>
      <c r="O69" s="51">
        <v>128250000</v>
      </c>
      <c r="P69" s="51"/>
      <c r="Q69" s="51">
        <v>712671134</v>
      </c>
      <c r="R69" s="51"/>
      <c r="S69" s="51">
        <v>1341443137</v>
      </c>
      <c r="T69" s="51"/>
      <c r="U69" s="51">
        <v>20052</v>
      </c>
      <c r="V69" s="51"/>
      <c r="W69" s="51">
        <v>38720</v>
      </c>
      <c r="X69" s="51"/>
      <c r="Y69" s="51">
        <v>23468</v>
      </c>
      <c r="Z69" s="51"/>
      <c r="AA69" s="51">
        <v>42480</v>
      </c>
      <c r="AB69" s="51"/>
      <c r="AC69" s="72">
        <v>10</v>
      </c>
      <c r="AD69" s="72">
        <v>10</v>
      </c>
      <c r="AE69" s="72">
        <v>0</v>
      </c>
      <c r="AF69" s="29">
        <v>5823691</v>
      </c>
      <c r="AG69" s="29">
        <v>3657061</v>
      </c>
      <c r="AH69" s="29">
        <v>654585</v>
      </c>
      <c r="AI69" s="29">
        <v>297849</v>
      </c>
      <c r="AJ69" s="29">
        <v>616044</v>
      </c>
      <c r="AK69" s="73">
        <v>6.8</v>
      </c>
      <c r="AL69" s="29">
        <v>523637</v>
      </c>
      <c r="AM69" s="73">
        <v>8</v>
      </c>
      <c r="AN69" s="29">
        <v>222641</v>
      </c>
      <c r="AO69" s="73">
        <v>6.8</v>
      </c>
      <c r="AP69" s="29">
        <v>189245</v>
      </c>
      <c r="AQ69" s="73">
        <v>8</v>
      </c>
      <c r="AR69" s="29">
        <v>140914</v>
      </c>
      <c r="AS69" s="73">
        <v>24.38</v>
      </c>
      <c r="AT69" s="29">
        <v>110822</v>
      </c>
      <c r="AU69" s="73">
        <v>31</v>
      </c>
      <c r="AV69" s="29">
        <v>82582</v>
      </c>
      <c r="AW69" s="73">
        <v>15.37</v>
      </c>
      <c r="AX69" s="29">
        <v>63464</v>
      </c>
      <c r="AY69" s="73">
        <v>20</v>
      </c>
      <c r="AZ69" s="97">
        <v>10263918</v>
      </c>
      <c r="BA69" s="97">
        <v>4333981</v>
      </c>
      <c r="BB69" s="97">
        <v>391359</v>
      </c>
      <c r="BC69" s="97">
        <v>327543</v>
      </c>
      <c r="BD69" s="97">
        <v>486660</v>
      </c>
      <c r="BE69" s="97">
        <v>15803461</v>
      </c>
      <c r="BF69" s="97">
        <v>0</v>
      </c>
      <c r="BG69" s="97">
        <v>0</v>
      </c>
      <c r="BH69" s="97">
        <v>0</v>
      </c>
      <c r="BI69" s="97">
        <v>0</v>
      </c>
      <c r="BJ69" s="97">
        <v>0</v>
      </c>
      <c r="BK69" s="97">
        <v>0</v>
      </c>
      <c r="BL69" s="97">
        <v>850000</v>
      </c>
      <c r="BM69" s="97">
        <v>0</v>
      </c>
      <c r="BN69" s="97">
        <v>0</v>
      </c>
      <c r="BO69" s="97">
        <v>0</v>
      </c>
      <c r="BP69" s="97">
        <v>0</v>
      </c>
      <c r="BQ69" s="99">
        <v>850000</v>
      </c>
      <c r="BR69" s="97">
        <v>3205040</v>
      </c>
      <c r="BS69" s="97">
        <v>1028755</v>
      </c>
      <c r="BT69" s="97">
        <v>402060</v>
      </c>
      <c r="BU69" s="97">
        <v>4401686</v>
      </c>
      <c r="BV69" s="97">
        <v>6869906</v>
      </c>
      <c r="BW69" s="97">
        <f>SUM(BR69:BV69)</f>
        <v>15907447</v>
      </c>
      <c r="BX69" s="97">
        <v>70611</v>
      </c>
      <c r="BY69" s="97">
        <v>12486</v>
      </c>
      <c r="BZ69" s="97">
        <v>18170</v>
      </c>
      <c r="CA69" s="97">
        <v>15279</v>
      </c>
      <c r="CB69" s="97">
        <v>38444</v>
      </c>
      <c r="CC69" s="97">
        <f>SUM(BX69:CB69)</f>
        <v>154990</v>
      </c>
      <c r="CD69" s="97">
        <v>0</v>
      </c>
      <c r="CE69" s="97">
        <v>0</v>
      </c>
      <c r="CF69" s="97">
        <v>0</v>
      </c>
      <c r="CG69" s="97">
        <v>0</v>
      </c>
      <c r="CH69" s="97">
        <v>0</v>
      </c>
      <c r="CI69" s="97">
        <v>0</v>
      </c>
      <c r="CJ69" s="97">
        <v>0</v>
      </c>
      <c r="CK69" s="97">
        <v>0</v>
      </c>
      <c r="CL69" s="97">
        <v>0</v>
      </c>
      <c r="CM69" s="97">
        <v>0</v>
      </c>
      <c r="CN69" s="97">
        <v>0</v>
      </c>
      <c r="CO69" s="97">
        <v>0</v>
      </c>
      <c r="CP69" s="97">
        <v>0</v>
      </c>
      <c r="CQ69" s="97">
        <v>0</v>
      </c>
      <c r="CR69" s="97">
        <v>0</v>
      </c>
      <c r="CS69" s="97">
        <v>0</v>
      </c>
      <c r="CT69" s="97">
        <v>0</v>
      </c>
      <c r="CU69" s="97">
        <v>0</v>
      </c>
      <c r="CV69" s="97">
        <v>4216906</v>
      </c>
      <c r="CW69" s="97">
        <v>3829726</v>
      </c>
      <c r="CX69" s="97">
        <v>0</v>
      </c>
      <c r="CY69" s="97">
        <v>0</v>
      </c>
      <c r="CZ69" s="97">
        <v>18093952</v>
      </c>
      <c r="DA69" s="97">
        <v>26140584</v>
      </c>
      <c r="DB69" s="97">
        <v>0</v>
      </c>
      <c r="DC69" s="97">
        <v>0</v>
      </c>
      <c r="DD69" s="97">
        <v>0</v>
      </c>
      <c r="DE69" s="97">
        <v>0</v>
      </c>
      <c r="DF69" s="97">
        <v>0</v>
      </c>
      <c r="DG69" s="97">
        <v>0</v>
      </c>
      <c r="DH69" s="97">
        <v>406615</v>
      </c>
      <c r="DI69" s="97">
        <v>67813</v>
      </c>
      <c r="DJ69" s="97">
        <v>24780</v>
      </c>
      <c r="DK69" s="97">
        <v>3471</v>
      </c>
      <c r="DL69" s="97">
        <v>1504587</v>
      </c>
      <c r="DM69" s="97">
        <f>SUM(DH69:DL69)</f>
        <v>2007266</v>
      </c>
      <c r="DN69" s="97">
        <v>23356</v>
      </c>
      <c r="DO69" s="97">
        <v>51660</v>
      </c>
      <c r="DP69" s="97">
        <v>3664</v>
      </c>
      <c r="DQ69" s="97">
        <v>61613</v>
      </c>
      <c r="DR69" s="97">
        <v>5510604</v>
      </c>
      <c r="DS69" s="97">
        <v>5650897</v>
      </c>
      <c r="DT69" s="97">
        <v>0</v>
      </c>
      <c r="DU69" s="97">
        <v>0</v>
      </c>
      <c r="DV69" s="97">
        <v>0</v>
      </c>
      <c r="DW69" s="97">
        <v>45590</v>
      </c>
      <c r="DX69" s="97">
        <v>230870</v>
      </c>
      <c r="DY69" s="97">
        <f>SUM(DW69:DX69)</f>
        <v>276460</v>
      </c>
      <c r="DZ69" s="97">
        <v>248419</v>
      </c>
      <c r="EA69" s="97">
        <v>110782</v>
      </c>
      <c r="EB69" s="97">
        <v>84120</v>
      </c>
      <c r="EC69" s="97">
        <v>93348</v>
      </c>
      <c r="ED69" s="97">
        <v>1865400</v>
      </c>
      <c r="EE69" s="97">
        <f>SUM(DZ69:ED69)</f>
        <v>2402069</v>
      </c>
      <c r="EF69" s="97">
        <v>0</v>
      </c>
      <c r="EG69" s="97">
        <v>0</v>
      </c>
      <c r="EH69" s="97">
        <v>1</v>
      </c>
      <c r="EI69" s="97">
        <v>400</v>
      </c>
      <c r="EJ69" s="97">
        <v>1430819</v>
      </c>
      <c r="EK69" s="97">
        <f>SUM(EF69:EJ69)</f>
        <v>1431220</v>
      </c>
      <c r="EL69" s="97">
        <v>19284865</v>
      </c>
      <c r="EM69" s="97">
        <v>9435203</v>
      </c>
      <c r="EN69" s="97">
        <v>924154</v>
      </c>
      <c r="EO69" s="97">
        <v>4948930</v>
      </c>
      <c r="EP69" s="97">
        <v>36031242</v>
      </c>
      <c r="EQ69" s="97">
        <f>SUM(EL69:EP69)</f>
        <v>70624394</v>
      </c>
      <c r="ER69" s="97">
        <v>3654705</v>
      </c>
      <c r="ES69" s="97">
        <v>430733</v>
      </c>
      <c r="ET69" s="97">
        <v>521177</v>
      </c>
      <c r="EU69" s="97">
        <v>4876837</v>
      </c>
      <c r="EV69" s="97">
        <v>112371</v>
      </c>
      <c r="EW69" s="97">
        <f>SUM(ER69:EV69)</f>
        <v>9595823</v>
      </c>
      <c r="EX69" s="97">
        <v>1565000</v>
      </c>
      <c r="EY69" s="97">
        <v>578775</v>
      </c>
      <c r="EZ69" s="97">
        <v>38786</v>
      </c>
      <c r="FA69" s="97">
        <v>38759</v>
      </c>
      <c r="FB69" s="97">
        <v>380</v>
      </c>
      <c r="FC69" s="97">
        <f>SUM(EX69:FB69)</f>
        <v>2221700</v>
      </c>
      <c r="FD69" s="97">
        <v>3092505</v>
      </c>
      <c r="FE69" s="97">
        <v>3209592</v>
      </c>
      <c r="FF69" s="97">
        <v>1042369</v>
      </c>
      <c r="FG69" s="97">
        <v>3063389</v>
      </c>
      <c r="FH69" s="97">
        <v>0</v>
      </c>
      <c r="FI69" s="97">
        <f>SUM(FD69:FH69)</f>
        <v>10407855</v>
      </c>
      <c r="FJ69" s="97">
        <v>70611</v>
      </c>
      <c r="FK69" s="97">
        <v>12486</v>
      </c>
      <c r="FL69" s="97">
        <v>18170</v>
      </c>
      <c r="FM69" s="97">
        <v>15279</v>
      </c>
      <c r="FN69" s="97">
        <v>0</v>
      </c>
      <c r="FO69" s="97">
        <f>SUM(FJ69:FN69)</f>
        <v>116546</v>
      </c>
      <c r="FP69" s="97">
        <v>529316</v>
      </c>
      <c r="FQ69" s="97">
        <v>167964</v>
      </c>
      <c r="FR69" s="97">
        <v>171126</v>
      </c>
      <c r="FS69" s="97">
        <v>386496</v>
      </c>
      <c r="FT69" s="97">
        <v>11631677</v>
      </c>
      <c r="FU69" s="97">
        <f>SUM(FP69:FT69)</f>
        <v>12886579</v>
      </c>
      <c r="FV69" s="97">
        <v>0</v>
      </c>
      <c r="FW69" s="97">
        <v>0</v>
      </c>
      <c r="FX69" s="97">
        <v>0</v>
      </c>
      <c r="FY69" s="97">
        <v>0</v>
      </c>
      <c r="FZ69" s="97">
        <v>38444</v>
      </c>
      <c r="GA69" s="97">
        <v>38444</v>
      </c>
      <c r="GB69" s="97">
        <v>102500</v>
      </c>
      <c r="GC69" s="97">
        <v>0</v>
      </c>
      <c r="GD69" s="97">
        <v>0</v>
      </c>
      <c r="GE69" s="97">
        <v>0</v>
      </c>
      <c r="GF69" s="97">
        <v>0</v>
      </c>
      <c r="GG69" s="97">
        <v>102500</v>
      </c>
      <c r="GH69" s="97">
        <v>404385</v>
      </c>
      <c r="GI69" s="97">
        <v>134629</v>
      </c>
      <c r="GJ69" s="97">
        <v>109549</v>
      </c>
      <c r="GK69" s="97">
        <v>303871</v>
      </c>
      <c r="GL69" s="97">
        <v>0</v>
      </c>
      <c r="GM69" s="97">
        <f>SUM(GH69:GL69)</f>
        <v>952434</v>
      </c>
      <c r="GN69" s="97">
        <v>2181682</v>
      </c>
      <c r="GO69" s="97">
        <v>746455</v>
      </c>
      <c r="GP69" s="97">
        <v>512283</v>
      </c>
      <c r="GQ69" s="97">
        <v>1898819</v>
      </c>
      <c r="GR69" s="97">
        <v>5707</v>
      </c>
      <c r="GS69" s="97">
        <v>5344946</v>
      </c>
      <c r="GT69" s="97">
        <v>308881</v>
      </c>
      <c r="GU69" s="97">
        <v>70976</v>
      </c>
      <c r="GV69" s="97">
        <v>70878</v>
      </c>
      <c r="GW69" s="97">
        <v>679968</v>
      </c>
      <c r="GX69" s="97">
        <v>194618</v>
      </c>
      <c r="GY69" s="97">
        <v>1325321</v>
      </c>
      <c r="GZ69" s="97">
        <v>1258696</v>
      </c>
      <c r="HA69" s="97">
        <v>577095</v>
      </c>
      <c r="HB69" s="97">
        <v>381933</v>
      </c>
      <c r="HC69" s="97">
        <v>231922</v>
      </c>
      <c r="HD69" s="97">
        <v>9377</v>
      </c>
      <c r="HE69" s="97">
        <f>SUM(GZ69:HD69)</f>
        <v>2459023</v>
      </c>
      <c r="HF69" s="97">
        <v>181664</v>
      </c>
      <c r="HG69" s="97">
        <v>66392</v>
      </c>
      <c r="HH69" s="97">
        <v>70508</v>
      </c>
      <c r="HI69" s="97">
        <v>45599</v>
      </c>
      <c r="HJ69" s="97">
        <v>2833978</v>
      </c>
      <c r="HK69" s="97">
        <f>SUM(HF69:HJ69)</f>
        <v>3198141</v>
      </c>
      <c r="HL69" s="97">
        <v>0</v>
      </c>
      <c r="HM69" s="97">
        <v>0</v>
      </c>
      <c r="HN69" s="97">
        <v>0</v>
      </c>
      <c r="HO69" s="97">
        <v>0</v>
      </c>
      <c r="HP69" s="97">
        <v>5271</v>
      </c>
      <c r="HQ69" s="97">
        <v>5271</v>
      </c>
      <c r="HR69" s="97">
        <v>51220</v>
      </c>
      <c r="HS69" s="97">
        <v>803</v>
      </c>
      <c r="HT69" s="97">
        <v>939</v>
      </c>
      <c r="HU69" s="97">
        <v>14279</v>
      </c>
      <c r="HV69" s="97">
        <v>14007068</v>
      </c>
      <c r="HW69" s="97">
        <f>SUM(HR69:HV69)</f>
        <v>14074309</v>
      </c>
      <c r="HX69" s="97">
        <v>0</v>
      </c>
      <c r="HY69" s="97">
        <v>0</v>
      </c>
      <c r="HZ69" s="97">
        <v>0</v>
      </c>
      <c r="IA69" s="97">
        <v>0</v>
      </c>
      <c r="IB69" s="97">
        <v>92001</v>
      </c>
      <c r="IC69" s="97">
        <v>92001</v>
      </c>
      <c r="ID69" s="97">
        <v>0</v>
      </c>
      <c r="IE69" s="97">
        <v>0</v>
      </c>
      <c r="IF69" s="97">
        <v>0</v>
      </c>
      <c r="IG69" s="97">
        <v>0</v>
      </c>
      <c r="IH69" s="97">
        <v>0</v>
      </c>
      <c r="II69" s="97">
        <v>0</v>
      </c>
      <c r="IJ69" s="97">
        <v>27899</v>
      </c>
      <c r="IK69" s="97">
        <v>3690</v>
      </c>
      <c r="IL69" s="97">
        <v>2880</v>
      </c>
      <c r="IM69" s="97">
        <v>27530</v>
      </c>
      <c r="IN69" s="97">
        <v>943157</v>
      </c>
      <c r="IO69" s="97">
        <v>1005156</v>
      </c>
      <c r="IP69" s="97">
        <v>1400</v>
      </c>
      <c r="IQ69" s="97">
        <v>320</v>
      </c>
      <c r="IR69" s="97">
        <v>640</v>
      </c>
      <c r="IS69" s="97">
        <v>7308</v>
      </c>
      <c r="IT69" s="97">
        <v>99873</v>
      </c>
      <c r="IU69" s="97">
        <f>SUM(IP69:IT69)</f>
        <v>109541</v>
      </c>
      <c r="IV69" s="97">
        <v>518124</v>
      </c>
      <c r="IW69" s="97">
        <v>225507</v>
      </c>
      <c r="IX69" s="97">
        <v>150963</v>
      </c>
      <c r="IY69" s="97">
        <v>362608</v>
      </c>
      <c r="IZ69" s="97">
        <v>2863477</v>
      </c>
      <c r="JA69" s="97">
        <f>SUM(IV69:IZ69)</f>
        <v>4120679</v>
      </c>
      <c r="JB69" s="97">
        <v>13948588</v>
      </c>
      <c r="JC69" s="97">
        <v>6225417</v>
      </c>
      <c r="JD69" s="97">
        <v>3092201</v>
      </c>
      <c r="JE69" s="97">
        <v>11952664</v>
      </c>
      <c r="JF69" s="97">
        <v>32837399</v>
      </c>
      <c r="JG69" s="97">
        <v>68056269</v>
      </c>
      <c r="JH69" s="97">
        <v>0</v>
      </c>
      <c r="JI69" s="97">
        <v>0</v>
      </c>
      <c r="JJ69" s="97">
        <v>0</v>
      </c>
      <c r="JK69" s="97">
        <v>0</v>
      </c>
      <c r="JL69" s="97">
        <v>1400460</v>
      </c>
      <c r="JM69" s="97">
        <v>1400460</v>
      </c>
      <c r="JN69" s="97">
        <v>13948588</v>
      </c>
      <c r="JO69" s="97">
        <v>6225417</v>
      </c>
      <c r="JP69" s="97">
        <v>3092201</v>
      </c>
      <c r="JQ69" s="97">
        <v>11952664</v>
      </c>
      <c r="JR69" s="97">
        <v>34237859</v>
      </c>
      <c r="JS69" s="97">
        <v>69456729</v>
      </c>
      <c r="JU69" s="5">
        <f t="shared" si="78"/>
        <v>15803461</v>
      </c>
      <c r="JV69" s="29">
        <f t="shared" si="79"/>
        <v>0</v>
      </c>
      <c r="JW69" s="5">
        <f t="shared" si="80"/>
        <v>0</v>
      </c>
      <c r="JX69" s="29">
        <f t="shared" si="81"/>
        <v>0</v>
      </c>
      <c r="JY69" s="5">
        <f t="shared" si="82"/>
        <v>850000</v>
      </c>
      <c r="JZ69" s="29">
        <f t="shared" si="83"/>
        <v>0</v>
      </c>
      <c r="KA69" s="5">
        <f t="shared" si="84"/>
        <v>15907447</v>
      </c>
      <c r="KB69" s="29">
        <f t="shared" si="85"/>
        <v>0</v>
      </c>
      <c r="KC69" s="5">
        <f t="shared" si="86"/>
        <v>154990</v>
      </c>
      <c r="KD69" s="29">
        <f t="shared" si="87"/>
        <v>0</v>
      </c>
      <c r="KE69" s="5">
        <f t="shared" si="88"/>
        <v>0</v>
      </c>
      <c r="KF69" s="29">
        <f t="shared" si="89"/>
        <v>0</v>
      </c>
      <c r="KG69" s="5">
        <f t="shared" si="90"/>
        <v>0</v>
      </c>
      <c r="KH69" s="29">
        <f t="shared" si="91"/>
        <v>0</v>
      </c>
      <c r="KI69" s="5">
        <f t="shared" si="92"/>
        <v>0</v>
      </c>
      <c r="KJ69" s="29">
        <f t="shared" si="93"/>
        <v>0</v>
      </c>
      <c r="KK69" s="5">
        <f t="shared" si="94"/>
        <v>26140584</v>
      </c>
      <c r="KL69" s="29">
        <f t="shared" si="95"/>
        <v>0</v>
      </c>
      <c r="KM69" s="5">
        <f t="shared" si="96"/>
        <v>0</v>
      </c>
      <c r="KN69" s="29">
        <f t="shared" si="97"/>
        <v>0</v>
      </c>
      <c r="KO69" s="5">
        <f t="shared" si="98"/>
        <v>2007266</v>
      </c>
      <c r="KP69" s="29">
        <f t="shared" si="99"/>
        <v>0</v>
      </c>
      <c r="KQ69" s="5">
        <f t="shared" si="100"/>
        <v>5650897</v>
      </c>
      <c r="KR69" s="29">
        <f t="shared" si="101"/>
        <v>0</v>
      </c>
      <c r="KS69" s="5">
        <f t="shared" si="102"/>
        <v>276460</v>
      </c>
      <c r="KT69" s="29">
        <f t="shared" si="103"/>
        <v>0</v>
      </c>
      <c r="KU69" s="5">
        <f t="shared" si="104"/>
        <v>2402069</v>
      </c>
      <c r="KV69" s="29">
        <f t="shared" si="105"/>
        <v>0</v>
      </c>
      <c r="KW69" s="5">
        <f t="shared" si="106"/>
        <v>1431220</v>
      </c>
      <c r="KX69" s="29">
        <f t="shared" si="107"/>
        <v>0</v>
      </c>
      <c r="KY69" s="5">
        <f t="shared" si="108"/>
        <v>70624394</v>
      </c>
      <c r="KZ69" s="29">
        <f t="shared" si="109"/>
        <v>0</v>
      </c>
      <c r="LA69" s="5">
        <f t="shared" si="110"/>
        <v>9595823</v>
      </c>
      <c r="LB69" s="29">
        <f t="shared" si="111"/>
        <v>0</v>
      </c>
      <c r="LC69" s="5">
        <f t="shared" si="112"/>
        <v>2221700</v>
      </c>
      <c r="LD69" s="29">
        <f t="shared" si="113"/>
        <v>0</v>
      </c>
      <c r="LE69" s="5">
        <f t="shared" si="114"/>
        <v>10407855</v>
      </c>
      <c r="LF69" s="29">
        <f t="shared" si="115"/>
        <v>0</v>
      </c>
      <c r="LG69" s="5">
        <f t="shared" si="116"/>
        <v>116546</v>
      </c>
      <c r="LH69" s="29">
        <f t="shared" si="117"/>
        <v>0</v>
      </c>
      <c r="LI69" s="5">
        <f t="shared" si="118"/>
        <v>12886579</v>
      </c>
      <c r="LJ69" s="29">
        <f t="shared" si="119"/>
        <v>0</v>
      </c>
      <c r="LK69" s="5">
        <f t="shared" si="120"/>
        <v>38444</v>
      </c>
      <c r="LL69" s="29">
        <f t="shared" si="121"/>
        <v>0</v>
      </c>
      <c r="LM69" s="5">
        <f t="shared" si="122"/>
        <v>102500</v>
      </c>
      <c r="LN69" s="29">
        <f t="shared" si="123"/>
        <v>0</v>
      </c>
      <c r="LO69" s="5">
        <f t="shared" si="124"/>
        <v>952434</v>
      </c>
      <c r="LP69" s="29">
        <f t="shared" si="125"/>
        <v>0</v>
      </c>
      <c r="LQ69" s="5">
        <f t="shared" si="126"/>
        <v>5344946</v>
      </c>
      <c r="LR69" s="29">
        <f t="shared" si="127"/>
        <v>0</v>
      </c>
      <c r="LS69" s="5">
        <f t="shared" si="128"/>
        <v>1325321</v>
      </c>
      <c r="LT69" s="29">
        <f t="shared" si="129"/>
        <v>0</v>
      </c>
      <c r="LU69" s="5">
        <f t="shared" si="130"/>
        <v>2459023</v>
      </c>
      <c r="LV69" s="29">
        <f t="shared" si="131"/>
        <v>0</v>
      </c>
      <c r="LW69" s="5">
        <f t="shared" si="132"/>
        <v>3198141</v>
      </c>
      <c r="LX69" s="29">
        <f t="shared" si="133"/>
        <v>0</v>
      </c>
      <c r="LY69" s="5">
        <f t="shared" si="134"/>
        <v>5271</v>
      </c>
      <c r="LZ69" s="29">
        <f t="shared" si="135"/>
        <v>0</v>
      </c>
      <c r="MA69" s="5">
        <f t="shared" si="136"/>
        <v>14074309</v>
      </c>
      <c r="MB69" s="29">
        <f t="shared" si="137"/>
        <v>0</v>
      </c>
      <c r="MC69" s="5">
        <f t="shared" si="138"/>
        <v>92001</v>
      </c>
      <c r="MD69" s="29">
        <f t="shared" si="139"/>
        <v>0</v>
      </c>
      <c r="ME69" s="5">
        <f t="shared" si="140"/>
        <v>0</v>
      </c>
      <c r="MF69" s="29">
        <f t="shared" si="141"/>
        <v>0</v>
      </c>
      <c r="MG69" s="5">
        <f t="shared" si="142"/>
        <v>1005156</v>
      </c>
      <c r="MH69" s="29">
        <f t="shared" si="143"/>
        <v>0</v>
      </c>
      <c r="MI69" s="5">
        <f t="shared" si="144"/>
        <v>109541</v>
      </c>
      <c r="MJ69" s="29">
        <f t="shared" si="145"/>
        <v>0</v>
      </c>
      <c r="MK69" s="5">
        <f t="shared" si="146"/>
        <v>4120679</v>
      </c>
      <c r="ML69" s="29">
        <f t="shared" si="147"/>
        <v>0</v>
      </c>
      <c r="MM69" s="5">
        <f t="shared" si="148"/>
        <v>68056269</v>
      </c>
      <c r="MN69" s="29">
        <f t="shared" si="149"/>
        <v>0</v>
      </c>
      <c r="MO69" s="5">
        <f t="shared" si="150"/>
        <v>1400460</v>
      </c>
      <c r="MP69" s="29">
        <f t="shared" si="151"/>
        <v>0</v>
      </c>
      <c r="MQ69" s="5">
        <f t="shared" si="152"/>
        <v>69456729</v>
      </c>
      <c r="MR69" s="29">
        <f t="shared" si="153"/>
        <v>0</v>
      </c>
      <c r="MT69" s="5">
        <f t="shared" si="156"/>
        <v>0</v>
      </c>
      <c r="MV69" s="4">
        <f t="shared" si="155"/>
        <v>0</v>
      </c>
      <c r="NG69" s="15"/>
    </row>
    <row r="70" spans="1:371" x14ac:dyDescent="0.15">
      <c r="A70" s="159" t="s">
        <v>347</v>
      </c>
      <c r="B70" s="25" t="s">
        <v>463</v>
      </c>
      <c r="C70" s="47">
        <v>186380</v>
      </c>
      <c r="D70" s="48">
        <v>2012</v>
      </c>
      <c r="E70" s="49">
        <v>1</v>
      </c>
      <c r="F70" s="49">
        <v>7</v>
      </c>
      <c r="G70" s="50">
        <v>14841</v>
      </c>
      <c r="H70" s="50">
        <v>13988</v>
      </c>
      <c r="I70" s="51">
        <v>1893962000</v>
      </c>
      <c r="J70" s="51"/>
      <c r="K70" s="51">
        <v>5941454</v>
      </c>
      <c r="L70" s="51"/>
      <c r="M70" s="51">
        <v>95786009</v>
      </c>
      <c r="N70" s="51"/>
      <c r="O70" s="51">
        <v>95350000</v>
      </c>
      <c r="P70" s="51"/>
      <c r="Q70" s="51">
        <v>1109960971</v>
      </c>
      <c r="R70" s="51"/>
      <c r="S70" s="51">
        <v>1649045000</v>
      </c>
      <c r="T70" s="51"/>
      <c r="U70" s="51">
        <v>24988</v>
      </c>
      <c r="V70" s="51"/>
      <c r="W70" s="51">
        <v>37650</v>
      </c>
      <c r="X70" s="51"/>
      <c r="Y70" s="51">
        <v>25566</v>
      </c>
      <c r="Z70" s="51"/>
      <c r="AA70" s="51">
        <v>38228</v>
      </c>
      <c r="AB70" s="51"/>
      <c r="AC70" s="74">
        <v>10</v>
      </c>
      <c r="AD70" s="74">
        <v>14</v>
      </c>
      <c r="AE70" s="74">
        <v>0</v>
      </c>
      <c r="AF70" s="29">
        <v>5557174</v>
      </c>
      <c r="AG70" s="29">
        <v>4739706</v>
      </c>
      <c r="AH70" s="29">
        <v>470189</v>
      </c>
      <c r="AI70" s="29">
        <v>254543</v>
      </c>
      <c r="AJ70" s="29"/>
      <c r="AK70" s="73"/>
      <c r="AL70" s="29"/>
      <c r="AM70" s="73"/>
      <c r="AN70" s="29"/>
      <c r="AO70" s="73"/>
      <c r="AP70" s="29"/>
      <c r="AQ70" s="73"/>
      <c r="AR70" s="29"/>
      <c r="AS70" s="73"/>
      <c r="AT70" s="29"/>
      <c r="AU70" s="73"/>
      <c r="AV70" s="29"/>
      <c r="AW70" s="73"/>
      <c r="AX70" s="29"/>
      <c r="AY70" s="73"/>
      <c r="AZ70" s="97">
        <v>7868497</v>
      </c>
      <c r="BA70" s="97">
        <v>1689068</v>
      </c>
      <c r="BB70" s="97">
        <v>397710</v>
      </c>
      <c r="BC70" s="97">
        <v>89714</v>
      </c>
      <c r="BD70" s="97">
        <v>0</v>
      </c>
      <c r="BE70" s="97">
        <v>10044989</v>
      </c>
      <c r="BF70" s="97">
        <v>0</v>
      </c>
      <c r="BG70" s="97">
        <v>0</v>
      </c>
      <c r="BH70" s="97">
        <v>1100816</v>
      </c>
      <c r="BI70" s="97">
        <v>2701587</v>
      </c>
      <c r="BJ70" s="97">
        <v>5716331</v>
      </c>
      <c r="BK70" s="97">
        <v>9518734</v>
      </c>
      <c r="BL70" s="97">
        <v>900000</v>
      </c>
      <c r="BM70" s="97">
        <v>0</v>
      </c>
      <c r="BN70" s="97">
        <v>0</v>
      </c>
      <c r="BO70" s="97">
        <v>0</v>
      </c>
      <c r="BP70" s="97">
        <v>0</v>
      </c>
      <c r="BQ70" s="97">
        <v>900000</v>
      </c>
      <c r="BR70" s="97">
        <v>3374544</v>
      </c>
      <c r="BS70" s="97">
        <v>105872</v>
      </c>
      <c r="BT70" s="97">
        <v>270481</v>
      </c>
      <c r="BU70" s="97">
        <v>1060651</v>
      </c>
      <c r="BV70" s="97">
        <v>4202062</v>
      </c>
      <c r="BW70" s="97">
        <v>9013610</v>
      </c>
      <c r="BX70" s="97">
        <v>183524</v>
      </c>
      <c r="BY70" s="97">
        <v>28000</v>
      </c>
      <c r="BZ70" s="97">
        <v>201150</v>
      </c>
      <c r="CA70" s="97">
        <v>493141</v>
      </c>
      <c r="CB70" s="97">
        <v>60743</v>
      </c>
      <c r="CC70" s="97">
        <v>966558</v>
      </c>
      <c r="CD70" s="97">
        <v>0</v>
      </c>
      <c r="CE70" s="97">
        <v>0</v>
      </c>
      <c r="CF70" s="97">
        <v>0</v>
      </c>
      <c r="CG70" s="97">
        <v>0</v>
      </c>
      <c r="CH70" s="97">
        <v>15299</v>
      </c>
      <c r="CI70" s="97">
        <v>15299</v>
      </c>
      <c r="CJ70" s="97">
        <v>0</v>
      </c>
      <c r="CK70" s="97">
        <v>0</v>
      </c>
      <c r="CL70" s="97">
        <v>1128755</v>
      </c>
      <c r="CM70" s="97">
        <v>7866992</v>
      </c>
      <c r="CN70" s="97">
        <v>9466276</v>
      </c>
      <c r="CO70" s="97">
        <v>18462023</v>
      </c>
      <c r="CP70" s="97">
        <v>0</v>
      </c>
      <c r="CQ70" s="97">
        <v>0</v>
      </c>
      <c r="CR70" s="97">
        <v>0</v>
      </c>
      <c r="CS70" s="97">
        <v>0</v>
      </c>
      <c r="CT70" s="97">
        <v>0</v>
      </c>
      <c r="CU70" s="97">
        <v>0</v>
      </c>
      <c r="CV70" s="97">
        <v>5485681</v>
      </c>
      <c r="CW70" s="97">
        <v>2473828</v>
      </c>
      <c r="CX70" s="97">
        <v>272700</v>
      </c>
      <c r="CY70" s="97">
        <v>40000</v>
      </c>
      <c r="CZ70" s="97">
        <v>1501454</v>
      </c>
      <c r="DA70" s="97">
        <v>9773663</v>
      </c>
      <c r="DB70" s="97">
        <v>0</v>
      </c>
      <c r="DC70" s="97">
        <v>0</v>
      </c>
      <c r="DD70" s="97">
        <v>0</v>
      </c>
      <c r="DE70" s="97">
        <v>0</v>
      </c>
      <c r="DF70" s="97">
        <v>0</v>
      </c>
      <c r="DG70" s="97">
        <v>0</v>
      </c>
      <c r="DH70" s="97">
        <v>1050078</v>
      </c>
      <c r="DI70" s="97">
        <v>206023</v>
      </c>
      <c r="DJ70" s="97">
        <v>206022</v>
      </c>
      <c r="DK70" s="97">
        <v>0</v>
      </c>
      <c r="DL70" s="97">
        <v>0</v>
      </c>
      <c r="DM70" s="97">
        <v>1462123</v>
      </c>
      <c r="DN70" s="97">
        <v>2042286</v>
      </c>
      <c r="DO70" s="97">
        <v>309061</v>
      </c>
      <c r="DP70" s="97">
        <v>309060</v>
      </c>
      <c r="DQ70" s="97">
        <v>0</v>
      </c>
      <c r="DR70" s="97">
        <v>0</v>
      </c>
      <c r="DS70" s="97">
        <v>2660407</v>
      </c>
      <c r="DT70" s="97">
        <v>0</v>
      </c>
      <c r="DU70" s="97">
        <v>0</v>
      </c>
      <c r="DV70" s="97">
        <v>0</v>
      </c>
      <c r="DW70" s="97">
        <v>0</v>
      </c>
      <c r="DX70" s="97">
        <v>18942</v>
      </c>
      <c r="DY70" s="97">
        <v>18942</v>
      </c>
      <c r="DZ70" s="97">
        <v>495400</v>
      </c>
      <c r="EA70" s="97">
        <v>88632</v>
      </c>
      <c r="EB70" s="97">
        <v>36351</v>
      </c>
      <c r="EC70" s="97">
        <v>153927</v>
      </c>
      <c r="ED70" s="97">
        <v>102542</v>
      </c>
      <c r="EE70" s="97">
        <v>876852</v>
      </c>
      <c r="EF70" s="97">
        <v>0</v>
      </c>
      <c r="EG70" s="97">
        <v>250000</v>
      </c>
      <c r="EH70" s="97">
        <v>0</v>
      </c>
      <c r="EI70" s="97">
        <v>6650</v>
      </c>
      <c r="EJ70" s="97">
        <v>68870</v>
      </c>
      <c r="EK70" s="97">
        <v>325520</v>
      </c>
      <c r="EL70" s="97">
        <v>21400010</v>
      </c>
      <c r="EM70" s="97">
        <v>5150484</v>
      </c>
      <c r="EN70" s="97">
        <v>3923045</v>
      </c>
      <c r="EO70" s="97">
        <v>12412662</v>
      </c>
      <c r="EP70" s="97">
        <v>21152519</v>
      </c>
      <c r="EQ70" s="97">
        <v>64038720</v>
      </c>
      <c r="ER70" s="97">
        <v>3356909</v>
      </c>
      <c r="ES70" s="97">
        <v>597258</v>
      </c>
      <c r="ET70" s="97">
        <v>437805</v>
      </c>
      <c r="EU70" s="97">
        <v>5904908</v>
      </c>
      <c r="EV70" s="97">
        <v>0</v>
      </c>
      <c r="EW70" s="97">
        <v>10296880</v>
      </c>
      <c r="EX70" s="97">
        <v>1750000</v>
      </c>
      <c r="EY70" s="97">
        <v>348500</v>
      </c>
      <c r="EZ70" s="97">
        <v>36500</v>
      </c>
      <c r="FA70" s="97">
        <v>0</v>
      </c>
      <c r="FB70" s="97">
        <v>0</v>
      </c>
      <c r="FC70" s="97">
        <v>2135000</v>
      </c>
      <c r="FD70" s="97">
        <v>4841943</v>
      </c>
      <c r="FE70" s="97">
        <v>1392243</v>
      </c>
      <c r="FF70" s="97">
        <v>1745962</v>
      </c>
      <c r="FG70" s="97">
        <v>2774750</v>
      </c>
      <c r="FH70" s="97">
        <v>0</v>
      </c>
      <c r="FI70" s="97">
        <v>10754898</v>
      </c>
      <c r="FJ70" s="97">
        <v>146524</v>
      </c>
      <c r="FK70" s="97">
        <v>18500</v>
      </c>
      <c r="FL70" s="97">
        <v>191150</v>
      </c>
      <c r="FM70" s="97">
        <v>455041</v>
      </c>
      <c r="FN70" s="97">
        <v>0</v>
      </c>
      <c r="FO70" s="97">
        <v>811215</v>
      </c>
      <c r="FP70" s="97">
        <v>1736138</v>
      </c>
      <c r="FQ70" s="97">
        <v>381848</v>
      </c>
      <c r="FR70" s="97">
        <v>393594</v>
      </c>
      <c r="FS70" s="97">
        <v>349142</v>
      </c>
      <c r="FT70" s="97">
        <v>6126013</v>
      </c>
      <c r="FU70" s="97">
        <v>8986735</v>
      </c>
      <c r="FV70" s="97">
        <v>37000</v>
      </c>
      <c r="FW70" s="97">
        <v>9500</v>
      </c>
      <c r="FX70" s="97">
        <v>10000</v>
      </c>
      <c r="FY70" s="97">
        <v>38100</v>
      </c>
      <c r="FZ70" s="97">
        <v>60743</v>
      </c>
      <c r="GA70" s="97">
        <v>155343</v>
      </c>
      <c r="GB70" s="97">
        <v>0</v>
      </c>
      <c r="GC70" s="97">
        <v>268250</v>
      </c>
      <c r="GD70" s="97">
        <v>0</v>
      </c>
      <c r="GE70" s="97">
        <v>141239</v>
      </c>
      <c r="GF70" s="97">
        <v>0</v>
      </c>
      <c r="GG70" s="97">
        <v>409489</v>
      </c>
      <c r="GH70" s="97">
        <v>333310</v>
      </c>
      <c r="GI70" s="97">
        <v>86110</v>
      </c>
      <c r="GJ70" s="97">
        <v>104050</v>
      </c>
      <c r="GK70" s="97">
        <v>201262</v>
      </c>
      <c r="GL70" s="97">
        <v>0</v>
      </c>
      <c r="GM70" s="97">
        <v>724732</v>
      </c>
      <c r="GN70" s="97">
        <v>1921179</v>
      </c>
      <c r="GO70" s="97">
        <v>503971</v>
      </c>
      <c r="GP70" s="97">
        <v>435303</v>
      </c>
      <c r="GQ70" s="97">
        <v>1566688</v>
      </c>
      <c r="GR70" s="97">
        <v>0</v>
      </c>
      <c r="GS70" s="97">
        <v>4427141</v>
      </c>
      <c r="GT70" s="97">
        <v>787892</v>
      </c>
      <c r="GU70" s="97">
        <v>85592</v>
      </c>
      <c r="GV70" s="97">
        <v>21009</v>
      </c>
      <c r="GW70" s="97">
        <v>406806</v>
      </c>
      <c r="GX70" s="97">
        <v>0</v>
      </c>
      <c r="GY70" s="97">
        <v>1301299</v>
      </c>
      <c r="GZ70" s="97">
        <v>2884697</v>
      </c>
      <c r="HA70" s="97">
        <v>521068</v>
      </c>
      <c r="HB70" s="97">
        <v>389702</v>
      </c>
      <c r="HC70" s="97">
        <v>124952</v>
      </c>
      <c r="HD70" s="97">
        <v>0</v>
      </c>
      <c r="HE70" s="97">
        <v>3920419</v>
      </c>
      <c r="HF70" s="97">
        <v>258696</v>
      </c>
      <c r="HG70" s="97">
        <v>11918</v>
      </c>
      <c r="HH70" s="97">
        <v>7218</v>
      </c>
      <c r="HI70" s="97">
        <v>47895</v>
      </c>
      <c r="HJ70" s="97">
        <v>879372</v>
      </c>
      <c r="HK70" s="97">
        <v>1205099</v>
      </c>
      <c r="HL70" s="97">
        <v>0</v>
      </c>
      <c r="HM70" s="97">
        <v>0</v>
      </c>
      <c r="HN70" s="97">
        <v>0</v>
      </c>
      <c r="HO70" s="97">
        <v>0</v>
      </c>
      <c r="HP70" s="97">
        <v>0</v>
      </c>
      <c r="HQ70" s="97">
        <v>0</v>
      </c>
      <c r="HR70" s="97">
        <v>1319127</v>
      </c>
      <c r="HS70" s="97">
        <v>0</v>
      </c>
      <c r="HT70" s="97">
        <v>17550</v>
      </c>
      <c r="HU70" s="97">
        <v>40000</v>
      </c>
      <c r="HV70" s="97">
        <v>9835328</v>
      </c>
      <c r="HW70" s="97">
        <v>11212005</v>
      </c>
      <c r="HX70" s="97">
        <v>0</v>
      </c>
      <c r="HY70" s="97">
        <v>0</v>
      </c>
      <c r="HZ70" s="97">
        <v>0</v>
      </c>
      <c r="IA70" s="97">
        <v>0</v>
      </c>
      <c r="IB70" s="97">
        <v>569469</v>
      </c>
      <c r="IC70" s="97">
        <v>569469</v>
      </c>
      <c r="ID70" s="97">
        <v>0</v>
      </c>
      <c r="IE70" s="97">
        <v>0</v>
      </c>
      <c r="IF70" s="97">
        <v>0</v>
      </c>
      <c r="IG70" s="97">
        <v>0</v>
      </c>
      <c r="IH70" s="97">
        <v>0</v>
      </c>
      <c r="II70" s="97">
        <v>0</v>
      </c>
      <c r="IJ70" s="97">
        <v>0</v>
      </c>
      <c r="IK70" s="97">
        <v>0</v>
      </c>
      <c r="IL70" s="97">
        <v>0</v>
      </c>
      <c r="IM70" s="97">
        <v>0</v>
      </c>
      <c r="IN70" s="97">
        <v>2052695</v>
      </c>
      <c r="IO70" s="97">
        <v>2052695</v>
      </c>
      <c r="IP70" s="97">
        <v>2439</v>
      </c>
      <c r="IQ70" s="97">
        <v>935</v>
      </c>
      <c r="IR70" s="97">
        <v>885</v>
      </c>
      <c r="IS70" s="97">
        <v>9946</v>
      </c>
      <c r="IT70" s="97">
        <v>15206</v>
      </c>
      <c r="IU70" s="97">
        <v>29411</v>
      </c>
      <c r="IV70" s="97">
        <v>1962995</v>
      </c>
      <c r="IW70" s="97">
        <v>140751</v>
      </c>
      <c r="IX70" s="97">
        <v>132317</v>
      </c>
      <c r="IY70" s="97">
        <v>351933</v>
      </c>
      <c r="IZ70" s="97">
        <v>2458894</v>
      </c>
      <c r="JA70" s="97">
        <v>5046890</v>
      </c>
      <c r="JB70" s="97">
        <v>21338849</v>
      </c>
      <c r="JC70" s="97">
        <v>4366444</v>
      </c>
      <c r="JD70" s="97">
        <v>3923045</v>
      </c>
      <c r="JE70" s="97">
        <v>12412662</v>
      </c>
      <c r="JF70" s="97">
        <v>21997720</v>
      </c>
      <c r="JG70" s="97">
        <v>64038720</v>
      </c>
      <c r="JH70" s="97">
        <v>0</v>
      </c>
      <c r="JI70" s="97">
        <v>0</v>
      </c>
      <c r="JJ70" s="97">
        <v>0</v>
      </c>
      <c r="JK70" s="97">
        <v>0</v>
      </c>
      <c r="JL70" s="97">
        <v>0</v>
      </c>
      <c r="JM70" s="97">
        <v>0</v>
      </c>
      <c r="JN70" s="97">
        <v>21338849</v>
      </c>
      <c r="JO70" s="97">
        <v>4366444</v>
      </c>
      <c r="JP70" s="97">
        <v>3923045</v>
      </c>
      <c r="JQ70" s="97">
        <v>12412662</v>
      </c>
      <c r="JR70" s="97">
        <v>21997720</v>
      </c>
      <c r="JS70" s="97">
        <v>64038720</v>
      </c>
      <c r="JU70" s="5">
        <f t="shared" si="78"/>
        <v>10044989</v>
      </c>
      <c r="JV70" s="29">
        <f t="shared" si="79"/>
        <v>0</v>
      </c>
      <c r="JW70" s="5">
        <f t="shared" si="80"/>
        <v>9518734</v>
      </c>
      <c r="JX70" s="29">
        <f t="shared" si="81"/>
        <v>0</v>
      </c>
      <c r="JY70" s="5">
        <f t="shared" si="82"/>
        <v>900000</v>
      </c>
      <c r="JZ70" s="29">
        <f t="shared" si="83"/>
        <v>0</v>
      </c>
      <c r="KA70" s="5">
        <f t="shared" si="84"/>
        <v>9013610</v>
      </c>
      <c r="KB70" s="29">
        <f t="shared" si="85"/>
        <v>0</v>
      </c>
      <c r="KC70" s="5">
        <f t="shared" si="86"/>
        <v>966558</v>
      </c>
      <c r="KD70" s="29">
        <f t="shared" si="87"/>
        <v>0</v>
      </c>
      <c r="KE70" s="5">
        <f t="shared" si="88"/>
        <v>15299</v>
      </c>
      <c r="KF70" s="29">
        <f t="shared" si="89"/>
        <v>0</v>
      </c>
      <c r="KG70" s="5">
        <f t="shared" si="90"/>
        <v>18462023</v>
      </c>
      <c r="KH70" s="29">
        <f t="shared" si="91"/>
        <v>0</v>
      </c>
      <c r="KI70" s="5">
        <f t="shared" si="92"/>
        <v>0</v>
      </c>
      <c r="KJ70" s="29">
        <f t="shared" si="93"/>
        <v>0</v>
      </c>
      <c r="KK70" s="5">
        <f t="shared" si="94"/>
        <v>9773663</v>
      </c>
      <c r="KL70" s="29">
        <f t="shared" si="95"/>
        <v>0</v>
      </c>
      <c r="KM70" s="5">
        <f t="shared" si="96"/>
        <v>0</v>
      </c>
      <c r="KN70" s="29">
        <f t="shared" si="97"/>
        <v>0</v>
      </c>
      <c r="KO70" s="5">
        <f t="shared" si="98"/>
        <v>1462123</v>
      </c>
      <c r="KP70" s="29">
        <f t="shared" si="99"/>
        <v>0</v>
      </c>
      <c r="KQ70" s="5">
        <f t="shared" si="100"/>
        <v>2660407</v>
      </c>
      <c r="KR70" s="29">
        <f t="shared" si="101"/>
        <v>0</v>
      </c>
      <c r="KS70" s="5">
        <f t="shared" si="102"/>
        <v>18942</v>
      </c>
      <c r="KT70" s="29">
        <f t="shared" si="103"/>
        <v>0</v>
      </c>
      <c r="KU70" s="5">
        <f t="shared" si="104"/>
        <v>876852</v>
      </c>
      <c r="KV70" s="29">
        <f t="shared" si="105"/>
        <v>0</v>
      </c>
      <c r="KW70" s="5">
        <f t="shared" si="106"/>
        <v>325520</v>
      </c>
      <c r="KX70" s="29">
        <f t="shared" si="107"/>
        <v>0</v>
      </c>
      <c r="KY70" s="5">
        <f t="shared" si="108"/>
        <v>64038720</v>
      </c>
      <c r="KZ70" s="29">
        <f t="shared" si="109"/>
        <v>0</v>
      </c>
      <c r="LA70" s="5">
        <f t="shared" si="110"/>
        <v>10296880</v>
      </c>
      <c r="LB70" s="29">
        <f t="shared" si="111"/>
        <v>0</v>
      </c>
      <c r="LC70" s="5">
        <f t="shared" si="112"/>
        <v>2135000</v>
      </c>
      <c r="LD70" s="29">
        <f t="shared" si="113"/>
        <v>0</v>
      </c>
      <c r="LE70" s="5">
        <f t="shared" si="114"/>
        <v>10754898</v>
      </c>
      <c r="LF70" s="29">
        <f t="shared" si="115"/>
        <v>0</v>
      </c>
      <c r="LG70" s="5">
        <f t="shared" si="116"/>
        <v>811215</v>
      </c>
      <c r="LH70" s="29">
        <f t="shared" si="117"/>
        <v>0</v>
      </c>
      <c r="LI70" s="5">
        <f t="shared" si="118"/>
        <v>8986735</v>
      </c>
      <c r="LJ70" s="29">
        <f t="shared" si="119"/>
        <v>0</v>
      </c>
      <c r="LK70" s="5">
        <f t="shared" si="120"/>
        <v>155343</v>
      </c>
      <c r="LL70" s="29">
        <f t="shared" si="121"/>
        <v>0</v>
      </c>
      <c r="LM70" s="5">
        <f t="shared" si="122"/>
        <v>409489</v>
      </c>
      <c r="LN70" s="29">
        <f t="shared" si="123"/>
        <v>0</v>
      </c>
      <c r="LO70" s="5">
        <f t="shared" si="124"/>
        <v>724732</v>
      </c>
      <c r="LP70" s="29">
        <f t="shared" si="125"/>
        <v>0</v>
      </c>
      <c r="LQ70" s="5">
        <f t="shared" si="126"/>
        <v>4427141</v>
      </c>
      <c r="LR70" s="29">
        <f t="shared" si="127"/>
        <v>0</v>
      </c>
      <c r="LS70" s="5">
        <f t="shared" si="128"/>
        <v>1301299</v>
      </c>
      <c r="LT70" s="29">
        <f t="shared" si="129"/>
        <v>0</v>
      </c>
      <c r="LU70" s="5">
        <f t="shared" si="130"/>
        <v>3920419</v>
      </c>
      <c r="LV70" s="29">
        <f t="shared" si="131"/>
        <v>0</v>
      </c>
      <c r="LW70" s="5">
        <f t="shared" si="132"/>
        <v>1205099</v>
      </c>
      <c r="LX70" s="29">
        <f t="shared" si="133"/>
        <v>0</v>
      </c>
      <c r="LY70" s="5">
        <f t="shared" si="134"/>
        <v>0</v>
      </c>
      <c r="LZ70" s="29">
        <f t="shared" si="135"/>
        <v>0</v>
      </c>
      <c r="MA70" s="5">
        <f t="shared" si="136"/>
        <v>11212005</v>
      </c>
      <c r="MB70" s="29">
        <f t="shared" si="137"/>
        <v>0</v>
      </c>
      <c r="MC70" s="5">
        <f t="shared" si="138"/>
        <v>569469</v>
      </c>
      <c r="MD70" s="29">
        <f t="shared" si="139"/>
        <v>0</v>
      </c>
      <c r="ME70" s="5">
        <f t="shared" si="140"/>
        <v>0</v>
      </c>
      <c r="MF70" s="29">
        <f t="shared" si="141"/>
        <v>0</v>
      </c>
      <c r="MG70" s="5">
        <f t="shared" si="142"/>
        <v>2052695</v>
      </c>
      <c r="MH70" s="29">
        <f t="shared" si="143"/>
        <v>0</v>
      </c>
      <c r="MI70" s="5">
        <f t="shared" si="144"/>
        <v>29411</v>
      </c>
      <c r="MJ70" s="29">
        <f t="shared" si="145"/>
        <v>0</v>
      </c>
      <c r="MK70" s="5">
        <f t="shared" si="146"/>
        <v>5046890</v>
      </c>
      <c r="ML70" s="29">
        <f t="shared" si="147"/>
        <v>0</v>
      </c>
      <c r="MM70" s="5">
        <f t="shared" si="148"/>
        <v>64038720</v>
      </c>
      <c r="MN70" s="29">
        <f t="shared" si="149"/>
        <v>0</v>
      </c>
      <c r="MO70" s="5">
        <f t="shared" si="150"/>
        <v>0</v>
      </c>
      <c r="MP70" s="29">
        <f t="shared" si="151"/>
        <v>0</v>
      </c>
      <c r="MQ70" s="5">
        <f t="shared" si="152"/>
        <v>64038720</v>
      </c>
      <c r="MR70" s="29">
        <f t="shared" si="153"/>
        <v>0</v>
      </c>
      <c r="MT70" s="5">
        <f t="shared" si="156"/>
        <v>0</v>
      </c>
      <c r="MV70" s="4">
        <f t="shared" si="155"/>
        <v>0</v>
      </c>
    </row>
    <row r="71" spans="1:371" x14ac:dyDescent="0.15">
      <c r="A71" s="155" t="s">
        <v>459</v>
      </c>
      <c r="B71" s="28" t="s">
        <v>406</v>
      </c>
      <c r="C71" s="48">
        <v>199193</v>
      </c>
      <c r="D71" s="48">
        <v>2012</v>
      </c>
      <c r="E71" s="49">
        <v>1</v>
      </c>
      <c r="F71" s="49">
        <v>12</v>
      </c>
      <c r="G71" s="50">
        <v>12465</v>
      </c>
      <c r="H71" s="50">
        <v>12216</v>
      </c>
      <c r="I71" s="51">
        <v>396713072</v>
      </c>
      <c r="J71" s="51"/>
      <c r="K71" s="51">
        <v>0</v>
      </c>
      <c r="L71" s="51"/>
      <c r="M71" s="51">
        <v>120675158</v>
      </c>
      <c r="N71" s="51"/>
      <c r="O71" s="51">
        <v>0</v>
      </c>
      <c r="P71" s="51"/>
      <c r="Q71" s="51">
        <v>311620864</v>
      </c>
      <c r="R71" s="51"/>
      <c r="S71" s="51">
        <v>304941156</v>
      </c>
      <c r="T71" s="51"/>
      <c r="U71" s="51">
        <v>17511</v>
      </c>
      <c r="V71" s="51"/>
      <c r="W71" s="51">
        <v>28671</v>
      </c>
      <c r="X71" s="51"/>
      <c r="Y71" s="51">
        <v>23846</v>
      </c>
      <c r="Z71" s="51"/>
      <c r="AA71" s="51">
        <v>35006</v>
      </c>
      <c r="AB71" s="51"/>
      <c r="AC71" s="72">
        <v>6</v>
      </c>
      <c r="AD71" s="72">
        <v>10</v>
      </c>
      <c r="AE71" s="72">
        <v>0</v>
      </c>
      <c r="AF71" s="29">
        <v>2567727</v>
      </c>
      <c r="AG71" s="29">
        <v>2196176</v>
      </c>
      <c r="AH71" s="29">
        <v>292083</v>
      </c>
      <c r="AI71" s="29">
        <v>106171</v>
      </c>
      <c r="AJ71" s="29">
        <v>236698.85</v>
      </c>
      <c r="AK71" s="73">
        <v>5.2</v>
      </c>
      <c r="AL71" s="29">
        <v>205139</v>
      </c>
      <c r="AM71" s="73">
        <v>6</v>
      </c>
      <c r="AN71" s="29">
        <v>122548.53</v>
      </c>
      <c r="AO71" s="73">
        <v>9.52</v>
      </c>
      <c r="AP71" s="29">
        <v>116666.2</v>
      </c>
      <c r="AQ71" s="73">
        <v>10</v>
      </c>
      <c r="AR71" s="29">
        <v>119300.27</v>
      </c>
      <c r="AS71" s="73">
        <v>15.09</v>
      </c>
      <c r="AT71" s="29">
        <v>81829.14</v>
      </c>
      <c r="AU71" s="73">
        <v>22</v>
      </c>
      <c r="AV71" s="29">
        <v>78893.52</v>
      </c>
      <c r="AW71" s="73">
        <v>9.41</v>
      </c>
      <c r="AX71" s="29">
        <v>29695.52</v>
      </c>
      <c r="AY71" s="73">
        <v>25</v>
      </c>
      <c r="AZ71" s="97">
        <v>576201</v>
      </c>
      <c r="BA71" s="97">
        <v>58066</v>
      </c>
      <c r="BB71" s="97">
        <v>7528</v>
      </c>
      <c r="BC71" s="97">
        <v>40122</v>
      </c>
      <c r="BD71" s="97">
        <v>4055</v>
      </c>
      <c r="BE71" s="97">
        <f>SUM(AZ71:BD71)</f>
        <v>685972</v>
      </c>
      <c r="BF71" s="97">
        <v>0</v>
      </c>
      <c r="BG71" s="97">
        <v>0</v>
      </c>
      <c r="BH71" s="97">
        <v>0</v>
      </c>
      <c r="BI71" s="97">
        <v>0</v>
      </c>
      <c r="BJ71" s="97">
        <v>5689727</v>
      </c>
      <c r="BK71" s="97">
        <v>5689727</v>
      </c>
      <c r="BL71" s="97">
        <v>825000</v>
      </c>
      <c r="BM71" s="97">
        <v>105000</v>
      </c>
      <c r="BN71" s="97">
        <v>0</v>
      </c>
      <c r="BO71" s="97">
        <v>11000</v>
      </c>
      <c r="BP71" s="97">
        <v>0</v>
      </c>
      <c r="BQ71" s="97">
        <f>SUM(BL71:BP71)</f>
        <v>941000</v>
      </c>
      <c r="BR71" s="97">
        <v>359376</v>
      </c>
      <c r="BS71" s="97">
        <v>4696</v>
      </c>
      <c r="BT71" s="97">
        <v>3959</v>
      </c>
      <c r="BU71" s="97">
        <v>351777</v>
      </c>
      <c r="BV71" s="97">
        <v>2041239</v>
      </c>
      <c r="BW71" s="97">
        <f>SUM(BR71:BV71)</f>
        <v>2761047</v>
      </c>
      <c r="BX71" s="97">
        <v>0</v>
      </c>
      <c r="BY71" s="97">
        <v>0</v>
      </c>
      <c r="BZ71" s="97">
        <v>0</v>
      </c>
      <c r="CA71" s="97">
        <v>0</v>
      </c>
      <c r="CB71" s="97">
        <v>0</v>
      </c>
      <c r="CC71" s="97">
        <v>0</v>
      </c>
      <c r="CD71" s="97">
        <v>0</v>
      </c>
      <c r="CE71" s="97">
        <v>0</v>
      </c>
      <c r="CF71" s="97">
        <v>0</v>
      </c>
      <c r="CG71" s="97">
        <v>0</v>
      </c>
      <c r="CH71" s="97">
        <v>0</v>
      </c>
      <c r="CI71" s="97">
        <v>0</v>
      </c>
      <c r="CJ71" s="97">
        <v>0</v>
      </c>
      <c r="CK71" s="97">
        <v>0</v>
      </c>
      <c r="CL71" s="97">
        <v>0</v>
      </c>
      <c r="CM71" s="97">
        <v>0</v>
      </c>
      <c r="CN71" s="97">
        <v>9566945</v>
      </c>
      <c r="CO71" s="97">
        <v>9566945</v>
      </c>
      <c r="CP71" s="97">
        <v>0</v>
      </c>
      <c r="CQ71" s="97"/>
      <c r="CR71" s="97">
        <v>0</v>
      </c>
      <c r="CS71" s="97">
        <v>0</v>
      </c>
      <c r="CT71" s="97">
        <v>651172</v>
      </c>
      <c r="CU71" s="97">
        <v>651172</v>
      </c>
      <c r="CV71" s="97">
        <v>0</v>
      </c>
      <c r="CW71" s="97">
        <v>0</v>
      </c>
      <c r="CX71" s="97">
        <v>0</v>
      </c>
      <c r="CY71" s="97">
        <v>1666477</v>
      </c>
      <c r="CZ71" s="97">
        <v>960</v>
      </c>
      <c r="DA71" s="97">
        <f>SUM(CY71:CZ71)</f>
        <v>1667437</v>
      </c>
      <c r="DB71" s="97">
        <v>0</v>
      </c>
      <c r="DC71" s="97">
        <v>0</v>
      </c>
      <c r="DD71" s="97">
        <v>0</v>
      </c>
      <c r="DE71" s="97">
        <v>0</v>
      </c>
      <c r="DF71" s="97">
        <v>3397</v>
      </c>
      <c r="DG71" s="97">
        <v>3397</v>
      </c>
      <c r="DH71" s="97">
        <v>200085</v>
      </c>
      <c r="DI71" s="97">
        <v>0</v>
      </c>
      <c r="DJ71" s="97">
        <v>0</v>
      </c>
      <c r="DK71" s="97">
        <v>1585</v>
      </c>
      <c r="DL71" s="97">
        <v>68364</v>
      </c>
      <c r="DM71" s="97">
        <f>SUM(DH71:DL71)</f>
        <v>270034</v>
      </c>
      <c r="DN71" s="97">
        <v>0</v>
      </c>
      <c r="DO71" s="97">
        <v>0</v>
      </c>
      <c r="DP71" s="97">
        <v>0</v>
      </c>
      <c r="DQ71" s="97">
        <v>0</v>
      </c>
      <c r="DR71" s="97">
        <v>233155</v>
      </c>
      <c r="DS71" s="97">
        <v>233155</v>
      </c>
      <c r="DT71" s="97">
        <v>10000</v>
      </c>
      <c r="DU71" s="97">
        <v>0</v>
      </c>
      <c r="DV71" s="97"/>
      <c r="DW71" s="97">
        <v>0</v>
      </c>
      <c r="DX71" s="97">
        <v>0</v>
      </c>
      <c r="DY71" s="97">
        <v>10000</v>
      </c>
      <c r="DZ71" s="97">
        <v>17282</v>
      </c>
      <c r="EA71" s="97">
        <v>0</v>
      </c>
      <c r="EB71" s="97">
        <v>2055</v>
      </c>
      <c r="EC71" s="97">
        <v>27675</v>
      </c>
      <c r="ED71" s="97">
        <v>26545</v>
      </c>
      <c r="EE71" s="97">
        <f>SUM(DZ71:ED71)</f>
        <v>73557</v>
      </c>
      <c r="EF71" s="97">
        <v>10371</v>
      </c>
      <c r="EG71" s="97">
        <v>3175</v>
      </c>
      <c r="EH71" s="97">
        <v>2547</v>
      </c>
      <c r="EI71" s="97">
        <v>158485</v>
      </c>
      <c r="EJ71" s="97">
        <v>1190764</v>
      </c>
      <c r="EK71" s="97">
        <f>SUM(EF71:EJ71)</f>
        <v>1365342</v>
      </c>
      <c r="EL71" s="97">
        <v>1998315</v>
      </c>
      <c r="EM71" s="97">
        <v>170937</v>
      </c>
      <c r="EN71" s="97">
        <v>16089</v>
      </c>
      <c r="EO71" s="97">
        <v>591604</v>
      </c>
      <c r="EP71" s="97">
        <v>21141840</v>
      </c>
      <c r="EQ71" s="97">
        <f>SUM(EL71:EP71)</f>
        <v>23918785</v>
      </c>
      <c r="ER71" s="97">
        <v>1846846</v>
      </c>
      <c r="ES71" s="97">
        <v>278660</v>
      </c>
      <c r="ET71" s="97">
        <v>371494</v>
      </c>
      <c r="EU71" s="97">
        <v>2266903</v>
      </c>
      <c r="EV71" s="97">
        <v>117809</v>
      </c>
      <c r="EW71" s="97">
        <f>SUM(ER71:EV71)</f>
        <v>4881712</v>
      </c>
      <c r="EX71" s="97">
        <v>150000</v>
      </c>
      <c r="EY71" s="97">
        <v>6000</v>
      </c>
      <c r="EZ71" s="97">
        <v>3526</v>
      </c>
      <c r="FA71" s="97">
        <v>10026</v>
      </c>
      <c r="FB71" s="97">
        <v>0</v>
      </c>
      <c r="FC71" s="97">
        <f>SUM(EX71:FB71)</f>
        <v>169552</v>
      </c>
      <c r="FD71" s="97">
        <v>1793559</v>
      </c>
      <c r="FE71" s="97">
        <v>534392</v>
      </c>
      <c r="FF71" s="97">
        <v>572744</v>
      </c>
      <c r="FG71" s="97">
        <v>2039430</v>
      </c>
      <c r="FH71" s="97">
        <v>0</v>
      </c>
      <c r="FI71" s="97">
        <f>SUM(FD71:FH71)</f>
        <v>4940125</v>
      </c>
      <c r="FJ71" s="97">
        <v>0</v>
      </c>
      <c r="FK71" s="97">
        <v>0</v>
      </c>
      <c r="FL71" s="97">
        <v>0</v>
      </c>
      <c r="FM71" s="97">
        <v>0</v>
      </c>
      <c r="FN71" s="97">
        <v>0</v>
      </c>
      <c r="FO71" s="97">
        <v>0</v>
      </c>
      <c r="FP71" s="97">
        <v>160182</v>
      </c>
      <c r="FQ71" s="97">
        <v>37207</v>
      </c>
      <c r="FR71" s="97">
        <v>0</v>
      </c>
      <c r="FS71" s="97">
        <v>14398</v>
      </c>
      <c r="FT71" s="97">
        <v>3870763</v>
      </c>
      <c r="FU71" s="97">
        <f>SUM(FP71:FT71)</f>
        <v>4082550</v>
      </c>
      <c r="FV71" s="97">
        <v>0</v>
      </c>
      <c r="FW71" s="97"/>
      <c r="FX71" s="97">
        <v>0</v>
      </c>
      <c r="FY71" s="97">
        <v>0</v>
      </c>
      <c r="FZ71" s="97">
        <v>0</v>
      </c>
      <c r="GA71" s="97">
        <v>0</v>
      </c>
      <c r="GB71" s="97">
        <v>0</v>
      </c>
      <c r="GC71" s="97">
        <v>0</v>
      </c>
      <c r="GD71" s="97">
        <v>0</v>
      </c>
      <c r="GE71" s="97">
        <v>0</v>
      </c>
      <c r="GF71" s="97">
        <v>0</v>
      </c>
      <c r="GG71" s="97">
        <v>0</v>
      </c>
      <c r="GH71" s="97">
        <v>215593</v>
      </c>
      <c r="GI71" s="97">
        <v>52678</v>
      </c>
      <c r="GJ71" s="97">
        <v>49922</v>
      </c>
      <c r="GK71" s="97">
        <v>80061</v>
      </c>
      <c r="GL71" s="97">
        <v>19095</v>
      </c>
      <c r="GM71" s="97">
        <f>SUM(GH71:GL71)</f>
        <v>417349</v>
      </c>
      <c r="GN71" s="97">
        <v>740188</v>
      </c>
      <c r="GO71" s="97">
        <v>252267</v>
      </c>
      <c r="GP71" s="97">
        <v>146131</v>
      </c>
      <c r="GQ71" s="97">
        <v>856326</v>
      </c>
      <c r="GR71" s="97">
        <v>13502</v>
      </c>
      <c r="GS71" s="97">
        <f>SUM(GN71:GR71)</f>
        <v>2008414</v>
      </c>
      <c r="GT71" s="97">
        <v>179391</v>
      </c>
      <c r="GU71" s="97">
        <v>18813</v>
      </c>
      <c r="GV71" s="97">
        <v>28918</v>
      </c>
      <c r="GW71" s="97">
        <v>283931</v>
      </c>
      <c r="GX71" s="97">
        <v>282499</v>
      </c>
      <c r="GY71" s="97">
        <f>SUM(GT71:GX71)</f>
        <v>793552</v>
      </c>
      <c r="GZ71" s="97">
        <v>434104</v>
      </c>
      <c r="HA71" s="97">
        <v>101866</v>
      </c>
      <c r="HB71" s="97">
        <v>61252</v>
      </c>
      <c r="HC71" s="97">
        <v>196761</v>
      </c>
      <c r="HD71" s="97">
        <v>67368</v>
      </c>
      <c r="HE71" s="97">
        <v>861351</v>
      </c>
      <c r="HF71" s="97">
        <v>16054</v>
      </c>
      <c r="HG71" s="97">
        <v>3240</v>
      </c>
      <c r="HH71" s="97">
        <v>4336</v>
      </c>
      <c r="HI71" s="97">
        <v>100126</v>
      </c>
      <c r="HJ71" s="97">
        <v>506655</v>
      </c>
      <c r="HK71" s="97">
        <f>SUM(HF71:HJ71)</f>
        <v>630411</v>
      </c>
      <c r="HL71" s="97">
        <v>5473</v>
      </c>
      <c r="HM71" s="97">
        <v>0</v>
      </c>
      <c r="HN71" s="97">
        <v>0</v>
      </c>
      <c r="HO71" s="97">
        <v>0</v>
      </c>
      <c r="HP71" s="97">
        <v>0</v>
      </c>
      <c r="HQ71" s="97">
        <v>5473</v>
      </c>
      <c r="HR71" s="97">
        <v>30542</v>
      </c>
      <c r="HS71" s="97">
        <v>135643</v>
      </c>
      <c r="HT71" s="97">
        <v>140838</v>
      </c>
      <c r="HU71" s="97">
        <v>133086</v>
      </c>
      <c r="HV71" s="97">
        <v>1270321</v>
      </c>
      <c r="HW71" s="97">
        <f>SUM(HR71:HV71)</f>
        <v>1710430</v>
      </c>
      <c r="HX71" s="97">
        <v>0</v>
      </c>
      <c r="HY71" s="97">
        <v>0</v>
      </c>
      <c r="HZ71" s="97">
        <v>0</v>
      </c>
      <c r="IA71" s="97">
        <v>0</v>
      </c>
      <c r="IB71" s="97">
        <v>375000</v>
      </c>
      <c r="IC71" s="97">
        <v>375000</v>
      </c>
      <c r="ID71" s="97">
        <v>0</v>
      </c>
      <c r="IE71" s="97">
        <v>0</v>
      </c>
      <c r="IF71" s="97">
        <v>0</v>
      </c>
      <c r="IG71" s="97">
        <v>0</v>
      </c>
      <c r="IH71" s="97">
        <v>651172</v>
      </c>
      <c r="II71" s="97">
        <v>651172</v>
      </c>
      <c r="IJ71" s="97">
        <v>10932</v>
      </c>
      <c r="IK71" s="97">
        <v>739</v>
      </c>
      <c r="IL71" s="97">
        <v>906</v>
      </c>
      <c r="IM71" s="97">
        <v>16267</v>
      </c>
      <c r="IN71" s="97">
        <v>360996</v>
      </c>
      <c r="IO71" s="97">
        <f>SUM(IJ71:IN71)</f>
        <v>389840</v>
      </c>
      <c r="IP71" s="97">
        <v>0</v>
      </c>
      <c r="IQ71" s="97">
        <v>0</v>
      </c>
      <c r="IR71" s="97">
        <v>640</v>
      </c>
      <c r="IS71" s="97">
        <v>3313</v>
      </c>
      <c r="IT71" s="97">
        <v>937793</v>
      </c>
      <c r="IU71" s="97">
        <f>SUM(IP71:IT71)</f>
        <v>941746</v>
      </c>
      <c r="IV71" s="97">
        <v>188123</v>
      </c>
      <c r="IW71" s="97">
        <v>19842</v>
      </c>
      <c r="IX71" s="97">
        <v>16039</v>
      </c>
      <c r="IY71" s="97">
        <v>97645</v>
      </c>
      <c r="IZ71" s="97">
        <v>324840</v>
      </c>
      <c r="JA71" s="97">
        <f>SUM(IV71:IZ71)</f>
        <v>646489</v>
      </c>
      <c r="JB71" s="97">
        <v>5770987</v>
      </c>
      <c r="JC71" s="97">
        <v>1441347</v>
      </c>
      <c r="JD71" s="97">
        <v>1396746</v>
      </c>
      <c r="JE71" s="97">
        <v>6098273</v>
      </c>
      <c r="JF71" s="97">
        <v>8797813</v>
      </c>
      <c r="JG71" s="97">
        <v>23505166</v>
      </c>
      <c r="JH71" s="97">
        <v>0</v>
      </c>
      <c r="JI71" s="97">
        <v>0</v>
      </c>
      <c r="JJ71" s="97">
        <v>0</v>
      </c>
      <c r="JK71" s="97">
        <v>0</v>
      </c>
      <c r="JL71" s="97"/>
      <c r="JM71" s="97">
        <v>0</v>
      </c>
      <c r="JN71" s="97">
        <v>5770987</v>
      </c>
      <c r="JO71" s="97">
        <v>1441347</v>
      </c>
      <c r="JP71" s="97">
        <v>1396746</v>
      </c>
      <c r="JQ71" s="97">
        <v>6098273</v>
      </c>
      <c r="JR71" s="97">
        <v>8797813</v>
      </c>
      <c r="JS71" s="97">
        <v>23505166</v>
      </c>
      <c r="JU71" s="5">
        <f t="shared" si="78"/>
        <v>685972</v>
      </c>
      <c r="JV71" s="29">
        <f t="shared" si="79"/>
        <v>0</v>
      </c>
      <c r="JW71" s="5">
        <f t="shared" si="80"/>
        <v>5689727</v>
      </c>
      <c r="JX71" s="29">
        <f t="shared" si="81"/>
        <v>0</v>
      </c>
      <c r="JY71" s="5">
        <f t="shared" si="82"/>
        <v>941000</v>
      </c>
      <c r="JZ71" s="29">
        <f t="shared" si="83"/>
        <v>0</v>
      </c>
      <c r="KA71" s="5">
        <f t="shared" si="84"/>
        <v>2761047</v>
      </c>
      <c r="KB71" s="29">
        <f t="shared" si="85"/>
        <v>0</v>
      </c>
      <c r="KC71" s="5">
        <f t="shared" si="86"/>
        <v>0</v>
      </c>
      <c r="KD71" s="29">
        <f t="shared" si="87"/>
        <v>0</v>
      </c>
      <c r="KE71" s="5">
        <f t="shared" si="88"/>
        <v>0</v>
      </c>
      <c r="KF71" s="29">
        <f t="shared" si="89"/>
        <v>0</v>
      </c>
      <c r="KG71" s="5">
        <f t="shared" si="90"/>
        <v>9566945</v>
      </c>
      <c r="KH71" s="29">
        <f t="shared" si="91"/>
        <v>0</v>
      </c>
      <c r="KI71" s="5">
        <f t="shared" si="92"/>
        <v>651172</v>
      </c>
      <c r="KJ71" s="29">
        <f t="shared" si="93"/>
        <v>0</v>
      </c>
      <c r="KK71" s="5">
        <f t="shared" si="94"/>
        <v>1667437</v>
      </c>
      <c r="KL71" s="29">
        <f t="shared" si="95"/>
        <v>0</v>
      </c>
      <c r="KM71" s="5">
        <f t="shared" si="96"/>
        <v>3397</v>
      </c>
      <c r="KN71" s="29">
        <f t="shared" si="97"/>
        <v>0</v>
      </c>
      <c r="KO71" s="5">
        <f t="shared" si="98"/>
        <v>270034</v>
      </c>
      <c r="KP71" s="29">
        <f t="shared" si="99"/>
        <v>0</v>
      </c>
      <c r="KQ71" s="5">
        <f t="shared" si="100"/>
        <v>233155</v>
      </c>
      <c r="KR71" s="29">
        <f t="shared" si="101"/>
        <v>0</v>
      </c>
      <c r="KS71" s="5">
        <f t="shared" si="102"/>
        <v>10000</v>
      </c>
      <c r="KT71" s="29">
        <f t="shared" si="103"/>
        <v>0</v>
      </c>
      <c r="KU71" s="5">
        <f t="shared" si="104"/>
        <v>73557</v>
      </c>
      <c r="KV71" s="29">
        <f t="shared" si="105"/>
        <v>0</v>
      </c>
      <c r="KW71" s="5">
        <f t="shared" si="106"/>
        <v>1365342</v>
      </c>
      <c r="KX71" s="29">
        <f t="shared" si="107"/>
        <v>0</v>
      </c>
      <c r="KY71" s="5">
        <f t="shared" si="108"/>
        <v>23918785</v>
      </c>
      <c r="KZ71" s="29">
        <f t="shared" si="109"/>
        <v>0</v>
      </c>
      <c r="LA71" s="5">
        <f t="shared" si="110"/>
        <v>4881712</v>
      </c>
      <c r="LB71" s="29">
        <f t="shared" si="111"/>
        <v>0</v>
      </c>
      <c r="LC71" s="5">
        <f t="shared" si="112"/>
        <v>169552</v>
      </c>
      <c r="LD71" s="29">
        <f t="shared" si="113"/>
        <v>0</v>
      </c>
      <c r="LE71" s="5">
        <f t="shared" si="114"/>
        <v>4940125</v>
      </c>
      <c r="LF71" s="29">
        <f t="shared" si="115"/>
        <v>0</v>
      </c>
      <c r="LG71" s="5">
        <f t="shared" si="116"/>
        <v>0</v>
      </c>
      <c r="LH71" s="29">
        <f t="shared" si="117"/>
        <v>0</v>
      </c>
      <c r="LI71" s="5">
        <f t="shared" si="118"/>
        <v>4082550</v>
      </c>
      <c r="LJ71" s="29">
        <f t="shared" si="119"/>
        <v>0</v>
      </c>
      <c r="LK71" s="5">
        <f t="shared" si="120"/>
        <v>0</v>
      </c>
      <c r="LL71" s="29">
        <f t="shared" si="121"/>
        <v>0</v>
      </c>
      <c r="LM71" s="5">
        <f t="shared" si="122"/>
        <v>0</v>
      </c>
      <c r="LN71" s="29">
        <f t="shared" si="123"/>
        <v>0</v>
      </c>
      <c r="LO71" s="5">
        <f t="shared" si="124"/>
        <v>417349</v>
      </c>
      <c r="LP71" s="29">
        <f t="shared" si="125"/>
        <v>0</v>
      </c>
      <c r="LQ71" s="5">
        <f t="shared" si="126"/>
        <v>2008414</v>
      </c>
      <c r="LR71" s="29">
        <f t="shared" si="127"/>
        <v>0</v>
      </c>
      <c r="LS71" s="5">
        <f t="shared" si="128"/>
        <v>793552</v>
      </c>
      <c r="LT71" s="29">
        <f t="shared" si="129"/>
        <v>0</v>
      </c>
      <c r="LU71" s="5">
        <f t="shared" si="130"/>
        <v>861351</v>
      </c>
      <c r="LV71" s="29">
        <f t="shared" si="131"/>
        <v>0</v>
      </c>
      <c r="LW71" s="5">
        <f t="shared" si="132"/>
        <v>630411</v>
      </c>
      <c r="LX71" s="29">
        <f t="shared" si="133"/>
        <v>0</v>
      </c>
      <c r="LY71" s="5">
        <f t="shared" si="134"/>
        <v>5473</v>
      </c>
      <c r="LZ71" s="29">
        <f t="shared" si="135"/>
        <v>0</v>
      </c>
      <c r="MA71" s="5">
        <f t="shared" si="136"/>
        <v>1710430</v>
      </c>
      <c r="MB71" s="29">
        <f t="shared" si="137"/>
        <v>0</v>
      </c>
      <c r="MC71" s="5">
        <f t="shared" si="138"/>
        <v>375000</v>
      </c>
      <c r="MD71" s="29">
        <f t="shared" si="139"/>
        <v>0</v>
      </c>
      <c r="ME71" s="5">
        <f t="shared" si="140"/>
        <v>651172</v>
      </c>
      <c r="MF71" s="29">
        <f t="shared" si="141"/>
        <v>0</v>
      </c>
      <c r="MG71" s="5">
        <f t="shared" si="142"/>
        <v>389840</v>
      </c>
      <c r="MH71" s="29">
        <f t="shared" si="143"/>
        <v>0</v>
      </c>
      <c r="MI71" s="5">
        <f t="shared" si="144"/>
        <v>941746</v>
      </c>
      <c r="MJ71" s="29">
        <f t="shared" si="145"/>
        <v>0</v>
      </c>
      <c r="MK71" s="5">
        <f t="shared" si="146"/>
        <v>646489</v>
      </c>
      <c r="ML71" s="29">
        <f t="shared" si="147"/>
        <v>0</v>
      </c>
      <c r="MM71" s="5">
        <f t="shared" si="148"/>
        <v>23505166</v>
      </c>
      <c r="MN71" s="29">
        <f t="shared" si="149"/>
        <v>0</v>
      </c>
      <c r="MO71" s="5">
        <f t="shared" si="150"/>
        <v>0</v>
      </c>
      <c r="MP71" s="29">
        <f t="shared" si="151"/>
        <v>0</v>
      </c>
      <c r="MQ71" s="5">
        <f t="shared" si="152"/>
        <v>23505166</v>
      </c>
      <c r="MR71" s="29">
        <f t="shared" si="153"/>
        <v>0</v>
      </c>
      <c r="MT71" s="5">
        <f t="shared" si="156"/>
        <v>0</v>
      </c>
      <c r="MV71" s="4">
        <f t="shared" si="155"/>
        <v>0</v>
      </c>
    </row>
    <row r="72" spans="1:371" x14ac:dyDescent="0.15">
      <c r="A72" s="24" t="s">
        <v>348</v>
      </c>
      <c r="B72" s="28" t="s">
        <v>458</v>
      </c>
      <c r="C72" s="47">
        <v>228796</v>
      </c>
      <c r="D72" s="48">
        <v>2012</v>
      </c>
      <c r="E72" s="49">
        <v>1</v>
      </c>
      <c r="F72" s="49">
        <v>5</v>
      </c>
      <c r="G72" s="50">
        <v>9446</v>
      </c>
      <c r="H72" s="50">
        <v>11254</v>
      </c>
      <c r="I72" s="51">
        <v>821196229</v>
      </c>
      <c r="J72" s="51"/>
      <c r="K72" s="51">
        <v>13686684</v>
      </c>
      <c r="L72" s="51"/>
      <c r="M72" s="51">
        <v>89615482</v>
      </c>
      <c r="N72" s="51"/>
      <c r="O72" s="51">
        <v>124563640</v>
      </c>
      <c r="P72" s="51"/>
      <c r="Q72" s="51">
        <v>423506055</v>
      </c>
      <c r="R72" s="51"/>
      <c r="S72" s="51">
        <v>640716257</v>
      </c>
      <c r="T72" s="51"/>
      <c r="U72" s="51">
        <v>18568</v>
      </c>
      <c r="V72" s="51"/>
      <c r="W72" s="51">
        <v>34752</v>
      </c>
      <c r="X72" s="51"/>
      <c r="Y72" s="51">
        <v>24541</v>
      </c>
      <c r="Z72" s="51"/>
      <c r="AA72" s="51">
        <v>40236</v>
      </c>
      <c r="AB72" s="51"/>
      <c r="AC72" s="72">
        <v>9</v>
      </c>
      <c r="AD72" s="72">
        <v>11</v>
      </c>
      <c r="AE72" s="72">
        <v>0</v>
      </c>
      <c r="AF72" s="29">
        <v>5077661</v>
      </c>
      <c r="AG72" s="29">
        <v>3630567</v>
      </c>
      <c r="AH72" s="29">
        <v>550198</v>
      </c>
      <c r="AI72" s="29">
        <v>399983</v>
      </c>
      <c r="AJ72" s="29">
        <v>391564.93</v>
      </c>
      <c r="AK72" s="73">
        <v>6.9</v>
      </c>
      <c r="AL72" s="29">
        <v>337724.75</v>
      </c>
      <c r="AM72" s="73">
        <v>8</v>
      </c>
      <c r="AN72" s="29">
        <v>177096.79</v>
      </c>
      <c r="AO72" s="73">
        <v>8.1</v>
      </c>
      <c r="AP72" s="29">
        <v>159387.10999999999</v>
      </c>
      <c r="AQ72" s="73">
        <v>9</v>
      </c>
      <c r="AR72" s="29">
        <v>188260.41</v>
      </c>
      <c r="AS72" s="73">
        <v>22</v>
      </c>
      <c r="AT72" s="29">
        <v>147918.89000000001</v>
      </c>
      <c r="AU72" s="73">
        <v>28</v>
      </c>
      <c r="AV72" s="29">
        <v>83081.5</v>
      </c>
      <c r="AW72" s="73">
        <v>18</v>
      </c>
      <c r="AX72" s="29">
        <v>65020.3</v>
      </c>
      <c r="AY72" s="73">
        <v>23</v>
      </c>
      <c r="AZ72" s="97">
        <v>16965806</v>
      </c>
      <c r="BA72" s="126">
        <v>1188683</v>
      </c>
      <c r="BB72" s="126">
        <v>54142</v>
      </c>
      <c r="BC72" s="126">
        <v>1532154</v>
      </c>
      <c r="BD72" s="126">
        <v>309000</v>
      </c>
      <c r="BE72" s="126">
        <v>20049785</v>
      </c>
      <c r="BF72" s="126">
        <v>0</v>
      </c>
      <c r="BG72" s="126">
        <v>0</v>
      </c>
      <c r="BH72" s="126">
        <v>0</v>
      </c>
      <c r="BI72" s="126">
        <v>0</v>
      </c>
      <c r="BJ72" s="126">
        <v>2338268</v>
      </c>
      <c r="BK72" s="126">
        <v>2338268</v>
      </c>
      <c r="BL72" s="126">
        <v>300000</v>
      </c>
      <c r="BM72" s="126">
        <v>0</v>
      </c>
      <c r="BN72" s="126">
        <v>0</v>
      </c>
      <c r="BO72" s="126">
        <v>3500</v>
      </c>
      <c r="BP72" s="126">
        <v>0</v>
      </c>
      <c r="BQ72" s="126">
        <v>303500</v>
      </c>
      <c r="BR72" s="126">
        <v>9746213</v>
      </c>
      <c r="BS72" s="126">
        <v>184544</v>
      </c>
      <c r="BT72" s="126">
        <v>0</v>
      </c>
      <c r="BU72" s="126">
        <v>606078</v>
      </c>
      <c r="BV72" s="126">
        <v>14629042</v>
      </c>
      <c r="BW72" s="126">
        <v>25165877</v>
      </c>
      <c r="BX72" s="126">
        <v>2563125</v>
      </c>
      <c r="BY72" s="126">
        <v>750000</v>
      </c>
      <c r="BZ72" s="126">
        <v>400000</v>
      </c>
      <c r="CA72" s="126">
        <v>365000</v>
      </c>
      <c r="CB72" s="126">
        <v>87000</v>
      </c>
      <c r="CC72" s="126">
        <v>4165125</v>
      </c>
      <c r="CD72" s="126">
        <v>0</v>
      </c>
      <c r="CE72" s="126">
        <v>0</v>
      </c>
      <c r="CF72" s="126">
        <v>0</v>
      </c>
      <c r="CG72" s="126">
        <v>0</v>
      </c>
      <c r="CH72" s="126">
        <v>0</v>
      </c>
      <c r="CI72" s="126">
        <v>0</v>
      </c>
      <c r="CJ72" s="126">
        <v>0</v>
      </c>
      <c r="CK72" s="126">
        <v>0</v>
      </c>
      <c r="CL72" s="126">
        <v>0</v>
      </c>
      <c r="CM72" s="126">
        <v>0</v>
      </c>
      <c r="CN72" s="126">
        <v>0</v>
      </c>
      <c r="CO72" s="126">
        <v>0</v>
      </c>
      <c r="CP72" s="126">
        <v>0</v>
      </c>
      <c r="CQ72" s="126">
        <v>0</v>
      </c>
      <c r="CR72" s="126">
        <v>0</v>
      </c>
      <c r="CS72" s="126">
        <v>0</v>
      </c>
      <c r="CT72" s="126">
        <v>0</v>
      </c>
      <c r="CU72" s="126">
        <v>0</v>
      </c>
      <c r="CV72" s="126">
        <v>15215746</v>
      </c>
      <c r="CW72" s="97">
        <v>5130660</v>
      </c>
      <c r="CX72" s="97">
        <v>132602</v>
      </c>
      <c r="CY72" s="97">
        <v>602205</v>
      </c>
      <c r="CZ72" s="97">
        <v>1264139</v>
      </c>
      <c r="DA72" s="97">
        <v>22345352</v>
      </c>
      <c r="DB72" s="97">
        <v>964281</v>
      </c>
      <c r="DC72" s="97">
        <v>318094</v>
      </c>
      <c r="DD72" s="97">
        <v>0</v>
      </c>
      <c r="DE72" s="97">
        <v>0</v>
      </c>
      <c r="DF72" s="97">
        <v>0</v>
      </c>
      <c r="DG72" s="97">
        <v>1282375</v>
      </c>
      <c r="DH72" s="97">
        <v>2580250</v>
      </c>
      <c r="DI72" s="98">
        <v>1610</v>
      </c>
      <c r="DJ72" s="97">
        <v>490</v>
      </c>
      <c r="DK72" s="97">
        <v>406956</v>
      </c>
      <c r="DL72" s="97">
        <v>636348</v>
      </c>
      <c r="DM72" s="97">
        <v>3625654</v>
      </c>
      <c r="DN72" s="97">
        <v>0</v>
      </c>
      <c r="DO72" s="97">
        <v>0</v>
      </c>
      <c r="DP72" s="97">
        <v>0</v>
      </c>
      <c r="DQ72" s="97">
        <v>0</v>
      </c>
      <c r="DR72" s="97">
        <v>3578562</v>
      </c>
      <c r="DS72" s="97">
        <v>3578562</v>
      </c>
      <c r="DT72" s="97">
        <v>0</v>
      </c>
      <c r="DU72" s="97">
        <v>0</v>
      </c>
      <c r="DV72" s="126">
        <v>0</v>
      </c>
      <c r="DW72" s="126">
        <v>0</v>
      </c>
      <c r="DX72" s="126">
        <v>13341</v>
      </c>
      <c r="DY72" s="126">
        <v>13341</v>
      </c>
      <c r="DZ72" s="126">
        <v>0</v>
      </c>
      <c r="EA72" s="97">
        <v>0</v>
      </c>
      <c r="EB72" s="126">
        <v>0</v>
      </c>
      <c r="EC72" s="126">
        <v>0</v>
      </c>
      <c r="ED72" s="126">
        <v>695287</v>
      </c>
      <c r="EE72" s="126">
        <v>695287</v>
      </c>
      <c r="EF72" s="126">
        <v>1262913</v>
      </c>
      <c r="EG72" s="126">
        <v>0</v>
      </c>
      <c r="EH72" s="126">
        <v>0</v>
      </c>
      <c r="EI72" s="126">
        <v>63166</v>
      </c>
      <c r="EJ72" s="113">
        <v>2719147</v>
      </c>
      <c r="EK72" s="126">
        <v>4045226</v>
      </c>
      <c r="EL72" s="126">
        <v>49598334</v>
      </c>
      <c r="EM72" s="126">
        <v>7573591</v>
      </c>
      <c r="EN72" s="126">
        <v>587234</v>
      </c>
      <c r="EO72" s="126">
        <v>3579059</v>
      </c>
      <c r="EP72" s="126">
        <v>26270134</v>
      </c>
      <c r="EQ72" s="126">
        <v>87608352</v>
      </c>
      <c r="ER72" s="126">
        <v>3031475</v>
      </c>
      <c r="ES72" s="126">
        <v>398774</v>
      </c>
      <c r="ET72" s="126">
        <v>539021</v>
      </c>
      <c r="EU72" s="126">
        <v>4738958</v>
      </c>
      <c r="EV72" s="126">
        <v>128152</v>
      </c>
      <c r="EW72" s="126">
        <v>8836380</v>
      </c>
      <c r="EX72" s="126">
        <v>1460000</v>
      </c>
      <c r="EY72" s="126">
        <v>660239</v>
      </c>
      <c r="EZ72" s="126">
        <v>89000</v>
      </c>
      <c r="FA72" s="126">
        <v>31200</v>
      </c>
      <c r="FB72" s="126">
        <v>0</v>
      </c>
      <c r="FC72" s="126">
        <v>2240439</v>
      </c>
      <c r="FD72" s="126">
        <v>3587599</v>
      </c>
      <c r="FE72" s="126">
        <v>1162785</v>
      </c>
      <c r="FF72" s="126">
        <v>827224</v>
      </c>
      <c r="FG72" s="126">
        <v>4195870</v>
      </c>
      <c r="FH72" s="126">
        <v>0</v>
      </c>
      <c r="FI72" s="126">
        <v>9773478</v>
      </c>
      <c r="FJ72" s="126">
        <v>2563125</v>
      </c>
      <c r="FK72" s="97">
        <v>750000</v>
      </c>
      <c r="FL72" s="126">
        <v>400000</v>
      </c>
      <c r="FM72" s="126">
        <v>365000</v>
      </c>
      <c r="FN72" s="126">
        <v>0</v>
      </c>
      <c r="FO72" s="126">
        <v>4078125</v>
      </c>
      <c r="FP72" s="126">
        <v>1164627</v>
      </c>
      <c r="FQ72" s="97">
        <v>379143</v>
      </c>
      <c r="FR72" s="113">
        <v>289188</v>
      </c>
      <c r="FS72" s="113">
        <v>442874</v>
      </c>
      <c r="FT72" s="113">
        <v>12570172</v>
      </c>
      <c r="FU72" s="113">
        <v>14846004</v>
      </c>
      <c r="FV72" s="113">
        <v>0</v>
      </c>
      <c r="FW72" s="97">
        <v>0</v>
      </c>
      <c r="FX72" s="113">
        <v>0</v>
      </c>
      <c r="FY72" s="113">
        <v>0</v>
      </c>
      <c r="FZ72" s="113">
        <v>87000</v>
      </c>
      <c r="GA72" s="113">
        <v>87000</v>
      </c>
      <c r="GB72" s="113">
        <v>0</v>
      </c>
      <c r="GC72" s="97">
        <v>2241128</v>
      </c>
      <c r="GD72" s="113">
        <v>0</v>
      </c>
      <c r="GE72" s="113">
        <v>0</v>
      </c>
      <c r="GF72" s="113">
        <v>0</v>
      </c>
      <c r="GG72" s="113">
        <v>2241128</v>
      </c>
      <c r="GH72" s="113">
        <v>257490</v>
      </c>
      <c r="GI72" s="97">
        <v>126345</v>
      </c>
      <c r="GJ72" s="126">
        <v>113714</v>
      </c>
      <c r="GK72" s="126">
        <v>452632</v>
      </c>
      <c r="GL72" s="126">
        <v>0</v>
      </c>
      <c r="GM72" s="126">
        <v>950181</v>
      </c>
      <c r="GN72" s="126">
        <v>1456903</v>
      </c>
      <c r="GO72" s="97">
        <v>474796</v>
      </c>
      <c r="GP72" s="126">
        <v>577586</v>
      </c>
      <c r="GQ72" s="126">
        <v>2513164</v>
      </c>
      <c r="GR72" s="126">
        <v>0</v>
      </c>
      <c r="GS72" s="126">
        <v>5022449</v>
      </c>
      <c r="GT72" s="126">
        <v>1176257</v>
      </c>
      <c r="GU72" s="97">
        <v>120054</v>
      </c>
      <c r="GV72" s="126">
        <v>92677</v>
      </c>
      <c r="GW72" s="126">
        <v>1166536</v>
      </c>
      <c r="GX72" s="126">
        <v>0</v>
      </c>
      <c r="GY72" s="126">
        <v>2555524</v>
      </c>
      <c r="GZ72" s="126">
        <v>4600952</v>
      </c>
      <c r="HA72" s="97">
        <v>593027</v>
      </c>
      <c r="HB72" s="113">
        <v>309227</v>
      </c>
      <c r="HC72" s="113">
        <v>1746536</v>
      </c>
      <c r="HD72" s="113">
        <v>187353</v>
      </c>
      <c r="HE72" s="113">
        <v>7437095</v>
      </c>
      <c r="HF72" s="113">
        <v>73445</v>
      </c>
      <c r="HG72" s="97">
        <v>18260</v>
      </c>
      <c r="HH72" s="126">
        <v>11106</v>
      </c>
      <c r="HI72" s="126">
        <v>44209</v>
      </c>
      <c r="HJ72" s="126">
        <v>2343171</v>
      </c>
      <c r="HK72" s="126">
        <v>2490191</v>
      </c>
      <c r="HL72" s="126">
        <v>0</v>
      </c>
      <c r="HM72" s="97">
        <v>0</v>
      </c>
      <c r="HN72" s="97">
        <v>0</v>
      </c>
      <c r="HO72" s="97">
        <v>0</v>
      </c>
      <c r="HP72" s="97">
        <v>89213</v>
      </c>
      <c r="HQ72" s="97">
        <v>89213</v>
      </c>
      <c r="HR72" s="97">
        <v>2495497</v>
      </c>
      <c r="HS72" s="97">
        <v>253184</v>
      </c>
      <c r="HT72" s="126">
        <v>168039</v>
      </c>
      <c r="HU72" s="126">
        <v>1859426</v>
      </c>
      <c r="HV72" s="126">
        <v>9606796</v>
      </c>
      <c r="HW72" s="126">
        <v>14382942</v>
      </c>
      <c r="HX72" s="126">
        <v>0</v>
      </c>
      <c r="HY72" s="97">
        <v>0</v>
      </c>
      <c r="HZ72" s="113">
        <v>0</v>
      </c>
      <c r="IA72" s="113">
        <v>0</v>
      </c>
      <c r="IB72" s="113">
        <v>662844</v>
      </c>
      <c r="IC72" s="113">
        <v>662844</v>
      </c>
      <c r="ID72" s="113">
        <v>0</v>
      </c>
      <c r="IE72" s="97">
        <v>0</v>
      </c>
      <c r="IF72" s="97">
        <v>0</v>
      </c>
      <c r="IG72" s="97">
        <v>0</v>
      </c>
      <c r="IH72" s="97">
        <v>0</v>
      </c>
      <c r="II72" s="97">
        <v>0</v>
      </c>
      <c r="IJ72" s="97">
        <v>0</v>
      </c>
      <c r="IK72" s="97">
        <v>0</v>
      </c>
      <c r="IL72" s="97">
        <v>0</v>
      </c>
      <c r="IM72" s="97">
        <v>0</v>
      </c>
      <c r="IN72" s="97">
        <v>1105995</v>
      </c>
      <c r="IO72" s="97">
        <v>1105995</v>
      </c>
      <c r="IP72" s="97">
        <v>3242</v>
      </c>
      <c r="IQ72" s="97">
        <v>922</v>
      </c>
      <c r="IR72" s="97">
        <v>1469</v>
      </c>
      <c r="IS72" s="97">
        <v>44112</v>
      </c>
      <c r="IT72" s="97">
        <v>36637</v>
      </c>
      <c r="IU72" s="97">
        <v>86382</v>
      </c>
      <c r="IV72" s="97">
        <v>326592</v>
      </c>
      <c r="IW72" s="97">
        <v>147855</v>
      </c>
      <c r="IX72" s="97">
        <v>44644</v>
      </c>
      <c r="IY72" s="97">
        <v>416265</v>
      </c>
      <c r="IZ72" s="97">
        <v>7142311</v>
      </c>
      <c r="JA72" s="97">
        <v>8077667</v>
      </c>
      <c r="JB72" s="97">
        <v>22197204</v>
      </c>
      <c r="JC72" s="97">
        <v>7326512</v>
      </c>
      <c r="JD72" s="97">
        <v>3462895</v>
      </c>
      <c r="JE72" s="97">
        <v>18016782</v>
      </c>
      <c r="JF72" s="97">
        <v>33959644</v>
      </c>
      <c r="JG72" s="97">
        <v>84963037</v>
      </c>
      <c r="JH72" s="97">
        <v>0</v>
      </c>
      <c r="JI72" s="97">
        <v>0</v>
      </c>
      <c r="JJ72" s="97">
        <v>0</v>
      </c>
      <c r="JK72" s="97">
        <v>0</v>
      </c>
      <c r="JL72" s="97">
        <v>2179963</v>
      </c>
      <c r="JM72" s="97">
        <v>2179963</v>
      </c>
      <c r="JN72" s="97">
        <v>22197204</v>
      </c>
      <c r="JO72" s="97">
        <v>7326512</v>
      </c>
      <c r="JP72" s="97">
        <v>3462895</v>
      </c>
      <c r="JQ72" s="97">
        <v>18016782</v>
      </c>
      <c r="JR72" s="97">
        <v>36139607</v>
      </c>
      <c r="JS72" s="97">
        <v>87143000</v>
      </c>
      <c r="JU72" s="5">
        <f t="shared" si="78"/>
        <v>20049785</v>
      </c>
      <c r="JV72" s="29">
        <f t="shared" si="79"/>
        <v>0</v>
      </c>
      <c r="JW72" s="5">
        <f t="shared" si="80"/>
        <v>2338268</v>
      </c>
      <c r="JX72" s="29">
        <f t="shared" si="81"/>
        <v>0</v>
      </c>
      <c r="JY72" s="5">
        <f t="shared" si="82"/>
        <v>303500</v>
      </c>
      <c r="JZ72" s="29">
        <f t="shared" si="83"/>
        <v>0</v>
      </c>
      <c r="KA72" s="5">
        <f t="shared" si="84"/>
        <v>25165877</v>
      </c>
      <c r="KB72" s="29">
        <f t="shared" si="85"/>
        <v>0</v>
      </c>
      <c r="KC72" s="5">
        <f t="shared" si="86"/>
        <v>4165125</v>
      </c>
      <c r="KD72" s="29">
        <f t="shared" si="87"/>
        <v>0</v>
      </c>
      <c r="KE72" s="5">
        <f t="shared" si="88"/>
        <v>0</v>
      </c>
      <c r="KF72" s="29">
        <f t="shared" si="89"/>
        <v>0</v>
      </c>
      <c r="KG72" s="5">
        <f t="shared" si="90"/>
        <v>0</v>
      </c>
      <c r="KH72" s="29">
        <f t="shared" si="91"/>
        <v>0</v>
      </c>
      <c r="KI72" s="5">
        <f t="shared" si="92"/>
        <v>0</v>
      </c>
      <c r="KJ72" s="29">
        <f t="shared" si="93"/>
        <v>0</v>
      </c>
      <c r="KK72" s="5">
        <f t="shared" si="94"/>
        <v>22345352</v>
      </c>
      <c r="KL72" s="29">
        <f t="shared" si="95"/>
        <v>0</v>
      </c>
      <c r="KM72" s="5">
        <f t="shared" si="96"/>
        <v>1282375</v>
      </c>
      <c r="KN72" s="29">
        <f t="shared" si="97"/>
        <v>0</v>
      </c>
      <c r="KO72" s="5">
        <f t="shared" si="98"/>
        <v>3625654</v>
      </c>
      <c r="KP72" s="29">
        <f t="shared" si="99"/>
        <v>0</v>
      </c>
      <c r="KQ72" s="5">
        <f t="shared" si="100"/>
        <v>3578562</v>
      </c>
      <c r="KR72" s="29">
        <f t="shared" si="101"/>
        <v>0</v>
      </c>
      <c r="KS72" s="5">
        <f t="shared" si="102"/>
        <v>13341</v>
      </c>
      <c r="KT72" s="29">
        <f t="shared" si="103"/>
        <v>0</v>
      </c>
      <c r="KU72" s="5">
        <f t="shared" si="104"/>
        <v>695287</v>
      </c>
      <c r="KV72" s="29">
        <f t="shared" si="105"/>
        <v>0</v>
      </c>
      <c r="KW72" s="5">
        <f t="shared" si="106"/>
        <v>4045226</v>
      </c>
      <c r="KX72" s="29">
        <f t="shared" si="107"/>
        <v>0</v>
      </c>
      <c r="KY72" s="5">
        <f t="shared" si="108"/>
        <v>87608352</v>
      </c>
      <c r="KZ72" s="29">
        <f t="shared" si="109"/>
        <v>0</v>
      </c>
      <c r="LA72" s="5">
        <f t="shared" si="110"/>
        <v>8836380</v>
      </c>
      <c r="LB72" s="29">
        <f t="shared" si="111"/>
        <v>0</v>
      </c>
      <c r="LC72" s="5">
        <f t="shared" si="112"/>
        <v>2240439</v>
      </c>
      <c r="LD72" s="29">
        <f t="shared" si="113"/>
        <v>0</v>
      </c>
      <c r="LE72" s="5">
        <f t="shared" si="114"/>
        <v>9773478</v>
      </c>
      <c r="LF72" s="29">
        <f t="shared" si="115"/>
        <v>0</v>
      </c>
      <c r="LG72" s="5">
        <f t="shared" si="116"/>
        <v>4078125</v>
      </c>
      <c r="LH72" s="29">
        <f t="shared" si="117"/>
        <v>0</v>
      </c>
      <c r="LI72" s="5">
        <f t="shared" si="118"/>
        <v>14846004</v>
      </c>
      <c r="LJ72" s="29">
        <f t="shared" si="119"/>
        <v>0</v>
      </c>
      <c r="LK72" s="5">
        <f t="shared" si="120"/>
        <v>87000</v>
      </c>
      <c r="LL72" s="29">
        <f t="shared" si="121"/>
        <v>0</v>
      </c>
      <c r="LM72" s="5">
        <f t="shared" si="122"/>
        <v>2241128</v>
      </c>
      <c r="LN72" s="29">
        <f t="shared" si="123"/>
        <v>0</v>
      </c>
      <c r="LO72" s="5">
        <f t="shared" si="124"/>
        <v>950181</v>
      </c>
      <c r="LP72" s="29">
        <f t="shared" si="125"/>
        <v>0</v>
      </c>
      <c r="LQ72" s="5">
        <f t="shared" si="126"/>
        <v>5022449</v>
      </c>
      <c r="LR72" s="29">
        <f t="shared" si="127"/>
        <v>0</v>
      </c>
      <c r="LS72" s="5">
        <f t="shared" si="128"/>
        <v>2555524</v>
      </c>
      <c r="LT72" s="29">
        <f t="shared" si="129"/>
        <v>0</v>
      </c>
      <c r="LU72" s="5">
        <f t="shared" si="130"/>
        <v>7437095</v>
      </c>
      <c r="LV72" s="29">
        <f t="shared" si="131"/>
        <v>0</v>
      </c>
      <c r="LW72" s="5">
        <f t="shared" si="132"/>
        <v>2490191</v>
      </c>
      <c r="LX72" s="29">
        <f t="shared" si="133"/>
        <v>0</v>
      </c>
      <c r="LY72" s="5">
        <f t="shared" si="134"/>
        <v>89213</v>
      </c>
      <c r="LZ72" s="29">
        <f t="shared" si="135"/>
        <v>0</v>
      </c>
      <c r="MA72" s="5">
        <f t="shared" si="136"/>
        <v>14382942</v>
      </c>
      <c r="MB72" s="29">
        <f t="shared" si="137"/>
        <v>0</v>
      </c>
      <c r="MC72" s="5">
        <f t="shared" si="138"/>
        <v>662844</v>
      </c>
      <c r="MD72" s="29">
        <f t="shared" si="139"/>
        <v>0</v>
      </c>
      <c r="ME72" s="5">
        <f t="shared" si="140"/>
        <v>0</v>
      </c>
      <c r="MF72" s="29">
        <f t="shared" si="141"/>
        <v>0</v>
      </c>
      <c r="MG72" s="5">
        <f t="shared" si="142"/>
        <v>1105995</v>
      </c>
      <c r="MH72" s="29">
        <f t="shared" si="143"/>
        <v>0</v>
      </c>
      <c r="MI72" s="5">
        <f t="shared" si="144"/>
        <v>86382</v>
      </c>
      <c r="MJ72" s="29">
        <f t="shared" si="145"/>
        <v>0</v>
      </c>
      <c r="MK72" s="5">
        <f t="shared" si="146"/>
        <v>8077667</v>
      </c>
      <c r="ML72" s="29">
        <f t="shared" si="147"/>
        <v>0</v>
      </c>
      <c r="MM72" s="5">
        <f t="shared" si="148"/>
        <v>84963037</v>
      </c>
      <c r="MN72" s="29">
        <f t="shared" si="149"/>
        <v>0</v>
      </c>
      <c r="MO72" s="5">
        <f t="shared" si="150"/>
        <v>2179963</v>
      </c>
      <c r="MP72" s="29">
        <f t="shared" si="151"/>
        <v>0</v>
      </c>
      <c r="MQ72" s="5">
        <f t="shared" si="152"/>
        <v>87143000</v>
      </c>
      <c r="MR72" s="29">
        <f t="shared" si="153"/>
        <v>0</v>
      </c>
      <c r="MT72" s="5">
        <f t="shared" si="156"/>
        <v>0</v>
      </c>
      <c r="MV72" s="4">
        <f t="shared" si="155"/>
        <v>0</v>
      </c>
    </row>
    <row r="73" spans="1:371" x14ac:dyDescent="0.15">
      <c r="A73" s="155" t="s">
        <v>350</v>
      </c>
      <c r="B73" s="25" t="s">
        <v>463</v>
      </c>
      <c r="C73" s="48">
        <v>137351</v>
      </c>
      <c r="D73" s="48">
        <v>2012</v>
      </c>
      <c r="E73" s="49">
        <v>1</v>
      </c>
      <c r="F73" s="49">
        <v>7</v>
      </c>
      <c r="G73" s="50">
        <v>9885</v>
      </c>
      <c r="H73" s="50">
        <v>12909</v>
      </c>
      <c r="I73" s="51">
        <v>1099748557</v>
      </c>
      <c r="J73" s="51"/>
      <c r="K73" s="51">
        <v>2543296</v>
      </c>
      <c r="L73" s="51"/>
      <c r="M73" s="51">
        <v>29797404</v>
      </c>
      <c r="N73" s="51"/>
      <c r="O73" s="51">
        <v>31992559</v>
      </c>
      <c r="P73" s="51"/>
      <c r="Q73" s="51">
        <v>442069005</v>
      </c>
      <c r="R73" s="51"/>
      <c r="S73" s="51">
        <v>801868834</v>
      </c>
      <c r="T73" s="51"/>
      <c r="U73" s="51">
        <v>16490</v>
      </c>
      <c r="V73" s="51"/>
      <c r="W73" s="51">
        <v>25680</v>
      </c>
      <c r="X73" s="51"/>
      <c r="Y73" s="51">
        <v>20590</v>
      </c>
      <c r="Z73" s="51"/>
      <c r="AA73" s="51">
        <v>29780</v>
      </c>
      <c r="AB73" s="51"/>
      <c r="AC73" s="74">
        <v>9</v>
      </c>
      <c r="AD73" s="74">
        <v>9</v>
      </c>
      <c r="AE73" s="74">
        <v>0</v>
      </c>
      <c r="AF73" s="29">
        <v>3211407</v>
      </c>
      <c r="AG73" s="29">
        <v>1856705</v>
      </c>
      <c r="AH73" s="29">
        <v>409108</v>
      </c>
      <c r="AI73" s="29">
        <v>194147</v>
      </c>
      <c r="AJ73" s="29">
        <v>526345.68999999994</v>
      </c>
      <c r="AK73" s="73">
        <v>6.5</v>
      </c>
      <c r="AL73" s="29">
        <v>488749.57</v>
      </c>
      <c r="AM73" s="73">
        <v>7</v>
      </c>
      <c r="AN73" s="29">
        <v>113990.53</v>
      </c>
      <c r="AO73" s="73">
        <v>7.5</v>
      </c>
      <c r="AP73" s="29">
        <v>106866.13</v>
      </c>
      <c r="AQ73" s="73">
        <v>8</v>
      </c>
      <c r="AR73" s="29">
        <v>148597.01</v>
      </c>
      <c r="AS73" s="73">
        <v>19.05</v>
      </c>
      <c r="AT73" s="29">
        <v>141538.65</v>
      </c>
      <c r="AU73" s="73">
        <v>20</v>
      </c>
      <c r="AV73" s="29">
        <v>61244.67</v>
      </c>
      <c r="AW73" s="73">
        <v>11.82</v>
      </c>
      <c r="AX73" s="29">
        <v>60326</v>
      </c>
      <c r="AY73" s="73">
        <v>12</v>
      </c>
      <c r="AZ73" s="97">
        <v>5425511</v>
      </c>
      <c r="BA73" s="97">
        <v>502706</v>
      </c>
      <c r="BB73" s="97">
        <v>781</v>
      </c>
      <c r="BC73" s="97">
        <v>94921</v>
      </c>
      <c r="BD73" s="97">
        <v>0</v>
      </c>
      <c r="BE73" s="97">
        <v>6023919</v>
      </c>
      <c r="BF73" s="97">
        <v>0</v>
      </c>
      <c r="BG73" s="97">
        <v>0</v>
      </c>
      <c r="BH73" s="97">
        <v>0</v>
      </c>
      <c r="BI73" s="97">
        <v>0</v>
      </c>
      <c r="BJ73" s="97">
        <v>15534732</v>
      </c>
      <c r="BK73" s="97">
        <v>15534732</v>
      </c>
      <c r="BL73" s="97">
        <v>1450000</v>
      </c>
      <c r="BM73" s="97">
        <v>90000</v>
      </c>
      <c r="BN73" s="97">
        <v>23000</v>
      </c>
      <c r="BO73" s="97">
        <v>1000</v>
      </c>
      <c r="BP73" s="97">
        <v>0</v>
      </c>
      <c r="BQ73" s="97">
        <v>1564000</v>
      </c>
      <c r="BR73" s="97">
        <v>2239656</v>
      </c>
      <c r="BS73" s="97">
        <v>277649</v>
      </c>
      <c r="BT73" s="97">
        <v>5426</v>
      </c>
      <c r="BU73" s="97">
        <v>177241</v>
      </c>
      <c r="BV73" s="97">
        <v>353855</v>
      </c>
      <c r="BW73" s="97">
        <v>3053827</v>
      </c>
      <c r="BX73" s="97">
        <v>32400</v>
      </c>
      <c r="BY73" s="97">
        <v>15000</v>
      </c>
      <c r="BZ73" s="97">
        <v>4200</v>
      </c>
      <c r="CA73" s="97">
        <v>28950</v>
      </c>
      <c r="CB73" s="97">
        <v>20400</v>
      </c>
      <c r="CC73" s="97">
        <v>100950</v>
      </c>
      <c r="CD73" s="97">
        <v>0</v>
      </c>
      <c r="CE73" s="97">
        <v>0</v>
      </c>
      <c r="CF73" s="97">
        <v>0</v>
      </c>
      <c r="CG73" s="97">
        <v>0</v>
      </c>
      <c r="CH73" s="97">
        <v>0</v>
      </c>
      <c r="CI73" s="97">
        <v>0</v>
      </c>
      <c r="CJ73" s="97">
        <v>101505</v>
      </c>
      <c r="CK73" s="97">
        <v>68579</v>
      </c>
      <c r="CL73" s="97">
        <v>35017</v>
      </c>
      <c r="CM73" s="97">
        <v>141602</v>
      </c>
      <c r="CN73" s="97">
        <v>807215</v>
      </c>
      <c r="CO73" s="97">
        <v>1153918</v>
      </c>
      <c r="CP73" s="97">
        <v>0</v>
      </c>
      <c r="CQ73" s="97">
        <v>0</v>
      </c>
      <c r="CR73" s="97">
        <v>0</v>
      </c>
      <c r="CS73" s="97">
        <v>0</v>
      </c>
      <c r="CT73" s="97">
        <v>0</v>
      </c>
      <c r="CU73" s="97">
        <v>0</v>
      </c>
      <c r="CV73" s="97">
        <v>4300705</v>
      </c>
      <c r="CW73" s="97">
        <v>3663674</v>
      </c>
      <c r="CX73" s="97">
        <v>80224</v>
      </c>
      <c r="CY73" s="97">
        <v>223135</v>
      </c>
      <c r="CZ73" s="97">
        <v>1350846</v>
      </c>
      <c r="DA73" s="97">
        <v>9618584</v>
      </c>
      <c r="DB73" s="97">
        <v>248256</v>
      </c>
      <c r="DC73" s="97">
        <v>113240</v>
      </c>
      <c r="DD73" s="97">
        <v>26132</v>
      </c>
      <c r="DE73" s="97">
        <v>13066</v>
      </c>
      <c r="DF73" s="97">
        <v>34843</v>
      </c>
      <c r="DG73" s="97">
        <v>435537</v>
      </c>
      <c r="DH73" s="97">
        <v>328556</v>
      </c>
      <c r="DI73" s="97">
        <v>22384</v>
      </c>
      <c r="DJ73" s="97">
        <v>0</v>
      </c>
      <c r="DK73" s="97">
        <v>0</v>
      </c>
      <c r="DL73" s="97">
        <v>46650</v>
      </c>
      <c r="DM73" s="97">
        <v>397590</v>
      </c>
      <c r="DN73" s="97">
        <v>2524823</v>
      </c>
      <c r="DO73" s="97">
        <v>1028382</v>
      </c>
      <c r="DP73" s="97">
        <v>202742</v>
      </c>
      <c r="DQ73" s="97">
        <v>353318</v>
      </c>
      <c r="DR73" s="97">
        <v>1084692</v>
      </c>
      <c r="DS73" s="97">
        <v>5193957</v>
      </c>
      <c r="DT73" s="97">
        <v>0</v>
      </c>
      <c r="DU73" s="97">
        <v>0</v>
      </c>
      <c r="DV73" s="97">
        <v>0</v>
      </c>
      <c r="DW73" s="97">
        <v>0</v>
      </c>
      <c r="DX73" s="97">
        <v>0</v>
      </c>
      <c r="DY73" s="97">
        <v>0</v>
      </c>
      <c r="DZ73" s="97">
        <v>195904</v>
      </c>
      <c r="EA73" s="97">
        <v>16527</v>
      </c>
      <c r="EB73" s="97">
        <v>0</v>
      </c>
      <c r="EC73" s="97">
        <v>26262</v>
      </c>
      <c r="ED73" s="97">
        <v>21656</v>
      </c>
      <c r="EE73" s="97">
        <v>260349</v>
      </c>
      <c r="EF73" s="97">
        <v>17319</v>
      </c>
      <c r="EG73" s="97">
        <v>1800</v>
      </c>
      <c r="EH73" s="97">
        <v>1595</v>
      </c>
      <c r="EI73" s="97">
        <v>83101</v>
      </c>
      <c r="EJ73" s="97">
        <v>133222</v>
      </c>
      <c r="EK73" s="97">
        <v>237037</v>
      </c>
      <c r="EL73" s="97">
        <v>16864635</v>
      </c>
      <c r="EM73" s="97">
        <v>5799941</v>
      </c>
      <c r="EN73" s="97">
        <v>379117</v>
      </c>
      <c r="EO73" s="97">
        <v>1142596</v>
      </c>
      <c r="EP73" s="97">
        <v>19388111</v>
      </c>
      <c r="EQ73" s="97">
        <v>43574400</v>
      </c>
      <c r="ER73" s="97">
        <v>1929684</v>
      </c>
      <c r="ES73" s="97">
        <v>364373</v>
      </c>
      <c r="ET73" s="97">
        <v>336918</v>
      </c>
      <c r="EU73" s="97">
        <v>2437137</v>
      </c>
      <c r="EV73" s="97">
        <v>266786</v>
      </c>
      <c r="EW73" s="97">
        <v>5334898</v>
      </c>
      <c r="EX73" s="97">
        <v>2000000</v>
      </c>
      <c r="EY73" s="97">
        <v>260000</v>
      </c>
      <c r="EZ73" s="97">
        <v>81395</v>
      </c>
      <c r="FA73" s="97">
        <v>111359</v>
      </c>
      <c r="FB73" s="97">
        <v>0</v>
      </c>
      <c r="FC73" s="97">
        <v>2452754</v>
      </c>
      <c r="FD73" s="97">
        <v>3890012</v>
      </c>
      <c r="FE73" s="97">
        <v>1431328</v>
      </c>
      <c r="FF73" s="97">
        <v>524839</v>
      </c>
      <c r="FG73" s="97">
        <v>1984682</v>
      </c>
      <c r="FH73" s="97">
        <v>0</v>
      </c>
      <c r="FI73" s="97">
        <v>7830861</v>
      </c>
      <c r="FJ73" s="97">
        <v>27000</v>
      </c>
      <c r="FK73" s="97">
        <v>15000</v>
      </c>
      <c r="FL73" s="97">
        <v>4200</v>
      </c>
      <c r="FM73" s="97">
        <v>28950</v>
      </c>
      <c r="FN73" s="97">
        <v>0</v>
      </c>
      <c r="FO73" s="97">
        <v>75150</v>
      </c>
      <c r="FP73" s="97">
        <v>455787</v>
      </c>
      <c r="FQ73" s="97">
        <v>225241</v>
      </c>
      <c r="FR73" s="97">
        <v>136018</v>
      </c>
      <c r="FS73" s="97">
        <v>31432</v>
      </c>
      <c r="FT73" s="97">
        <v>6392503</v>
      </c>
      <c r="FU73" s="97">
        <v>7240981</v>
      </c>
      <c r="FV73" s="97">
        <v>5400</v>
      </c>
      <c r="FW73" s="97">
        <v>0</v>
      </c>
      <c r="FX73" s="97">
        <v>0</v>
      </c>
      <c r="FY73" s="97">
        <v>0</v>
      </c>
      <c r="FZ73" s="97">
        <v>20400</v>
      </c>
      <c r="GA73" s="97">
        <v>25800</v>
      </c>
      <c r="GB73" s="97">
        <v>0</v>
      </c>
      <c r="GC73" s="97">
        <v>0</v>
      </c>
      <c r="GD73" s="97">
        <v>0</v>
      </c>
      <c r="GE73" s="97">
        <v>0</v>
      </c>
      <c r="GF73" s="97">
        <v>0</v>
      </c>
      <c r="GG73" s="97">
        <v>0</v>
      </c>
      <c r="GH73" s="97">
        <v>197522</v>
      </c>
      <c r="GI73" s="97">
        <v>141835</v>
      </c>
      <c r="GJ73" s="97">
        <v>114160</v>
      </c>
      <c r="GK73" s="97">
        <v>149738</v>
      </c>
      <c r="GL73" s="97">
        <v>30000</v>
      </c>
      <c r="GM73" s="97">
        <v>633255</v>
      </c>
      <c r="GN73" s="97">
        <v>1446309</v>
      </c>
      <c r="GO73" s="97">
        <v>580346</v>
      </c>
      <c r="GP73" s="97">
        <v>425784</v>
      </c>
      <c r="GQ73" s="97">
        <v>1547990</v>
      </c>
      <c r="GR73" s="97">
        <v>0</v>
      </c>
      <c r="GS73" s="97">
        <v>4000429</v>
      </c>
      <c r="GT73" s="97">
        <v>773785</v>
      </c>
      <c r="GU73" s="97">
        <v>140908</v>
      </c>
      <c r="GV73" s="97">
        <v>72199</v>
      </c>
      <c r="GW73" s="97">
        <v>609803</v>
      </c>
      <c r="GX73" s="97">
        <v>26720</v>
      </c>
      <c r="GY73" s="97">
        <v>1623415</v>
      </c>
      <c r="GZ73" s="97">
        <v>608818</v>
      </c>
      <c r="HA73" s="97">
        <v>436355</v>
      </c>
      <c r="HB73" s="97">
        <v>124703</v>
      </c>
      <c r="HC73" s="97">
        <v>274775</v>
      </c>
      <c r="HD73" s="97">
        <v>70189</v>
      </c>
      <c r="HE73" s="97">
        <v>1514840</v>
      </c>
      <c r="HF73" s="97">
        <v>0</v>
      </c>
      <c r="HG73" s="97">
        <v>0</v>
      </c>
      <c r="HH73" s="97">
        <v>0</v>
      </c>
      <c r="HI73" s="97">
        <v>0</v>
      </c>
      <c r="HJ73" s="97">
        <v>1521688</v>
      </c>
      <c r="HK73" s="97">
        <v>1521688</v>
      </c>
      <c r="HL73" s="97">
        <v>0</v>
      </c>
      <c r="HM73" s="97">
        <v>0</v>
      </c>
      <c r="HN73" s="97">
        <v>0</v>
      </c>
      <c r="HO73" s="97">
        <v>0</v>
      </c>
      <c r="HP73" s="97">
        <v>0</v>
      </c>
      <c r="HQ73" s="97">
        <v>0</v>
      </c>
      <c r="HR73" s="97">
        <v>1015000</v>
      </c>
      <c r="HS73" s="97">
        <v>0</v>
      </c>
      <c r="HT73" s="97">
        <v>0</v>
      </c>
      <c r="HU73" s="97">
        <v>0</v>
      </c>
      <c r="HV73" s="97">
        <v>4779292</v>
      </c>
      <c r="HW73" s="97">
        <v>5794292</v>
      </c>
      <c r="HX73" s="97">
        <v>0</v>
      </c>
      <c r="HY73" s="97">
        <v>0</v>
      </c>
      <c r="HZ73" s="97">
        <v>0</v>
      </c>
      <c r="IA73" s="97">
        <v>0</v>
      </c>
      <c r="IB73" s="97">
        <v>275347</v>
      </c>
      <c r="IC73" s="97">
        <v>275347</v>
      </c>
      <c r="ID73" s="97">
        <v>0</v>
      </c>
      <c r="IE73" s="97">
        <v>0</v>
      </c>
      <c r="IF73" s="97">
        <v>0</v>
      </c>
      <c r="IG73" s="97">
        <v>0</v>
      </c>
      <c r="IH73" s="97">
        <v>0</v>
      </c>
      <c r="II73" s="97">
        <v>0</v>
      </c>
      <c r="IJ73" s="97">
        <v>0</v>
      </c>
      <c r="IK73" s="97">
        <v>0</v>
      </c>
      <c r="IL73" s="97">
        <v>0</v>
      </c>
      <c r="IM73" s="97">
        <v>0</v>
      </c>
      <c r="IN73" s="97">
        <v>1239645</v>
      </c>
      <c r="IO73" s="97">
        <v>1239645</v>
      </c>
      <c r="IP73" s="97">
        <v>480</v>
      </c>
      <c r="IQ73" s="97">
        <v>2249</v>
      </c>
      <c r="IR73" s="97">
        <v>4495</v>
      </c>
      <c r="IS73" s="97">
        <v>11557</v>
      </c>
      <c r="IT73" s="97">
        <v>23503</v>
      </c>
      <c r="IU73" s="97">
        <v>42284</v>
      </c>
      <c r="IV73" s="97">
        <v>291955</v>
      </c>
      <c r="IW73" s="97">
        <v>411843</v>
      </c>
      <c r="IX73" s="97">
        <v>103952</v>
      </c>
      <c r="IY73" s="97">
        <v>255446</v>
      </c>
      <c r="IZ73" s="97">
        <v>2398190</v>
      </c>
      <c r="JA73" s="97">
        <v>3461386</v>
      </c>
      <c r="JB73" s="97">
        <v>12641752</v>
      </c>
      <c r="JC73" s="97">
        <v>4009478</v>
      </c>
      <c r="JD73" s="97">
        <v>1928663</v>
      </c>
      <c r="JE73" s="97">
        <v>7442869</v>
      </c>
      <c r="JF73" s="97">
        <v>17044263</v>
      </c>
      <c r="JG73" s="97">
        <v>43067025</v>
      </c>
      <c r="JH73" s="97">
        <v>0</v>
      </c>
      <c r="JI73" s="97">
        <v>0</v>
      </c>
      <c r="JJ73" s="97">
        <v>0</v>
      </c>
      <c r="JK73" s="97">
        <v>0</v>
      </c>
      <c r="JL73" s="97">
        <v>0</v>
      </c>
      <c r="JM73" s="97">
        <v>0</v>
      </c>
      <c r="JN73" s="97">
        <v>12641752</v>
      </c>
      <c r="JO73" s="97">
        <v>4009478</v>
      </c>
      <c r="JP73" s="97">
        <v>1928663</v>
      </c>
      <c r="JQ73" s="97">
        <v>7442869</v>
      </c>
      <c r="JR73" s="97">
        <v>17044263</v>
      </c>
      <c r="JS73" s="97">
        <v>43067025</v>
      </c>
      <c r="JU73" s="5">
        <f t="shared" si="78"/>
        <v>6023919</v>
      </c>
      <c r="JV73" s="29">
        <f t="shared" si="79"/>
        <v>0</v>
      </c>
      <c r="JW73" s="5">
        <f t="shared" si="80"/>
        <v>15534732</v>
      </c>
      <c r="JX73" s="29">
        <f t="shared" si="81"/>
        <v>0</v>
      </c>
      <c r="JY73" s="5">
        <f t="shared" si="82"/>
        <v>1564000</v>
      </c>
      <c r="JZ73" s="29">
        <f t="shared" si="83"/>
        <v>0</v>
      </c>
      <c r="KA73" s="5">
        <f t="shared" si="84"/>
        <v>3053827</v>
      </c>
      <c r="KB73" s="29">
        <f t="shared" si="85"/>
        <v>0</v>
      </c>
      <c r="KC73" s="5">
        <f t="shared" si="86"/>
        <v>100950</v>
      </c>
      <c r="KD73" s="29">
        <f t="shared" si="87"/>
        <v>0</v>
      </c>
      <c r="KE73" s="5">
        <f t="shared" si="88"/>
        <v>0</v>
      </c>
      <c r="KF73" s="29">
        <f t="shared" si="89"/>
        <v>0</v>
      </c>
      <c r="KG73" s="5">
        <f t="shared" si="90"/>
        <v>1153918</v>
      </c>
      <c r="KH73" s="29">
        <f t="shared" si="91"/>
        <v>0</v>
      </c>
      <c r="KI73" s="5">
        <f t="shared" si="92"/>
        <v>0</v>
      </c>
      <c r="KJ73" s="29">
        <f t="shared" si="93"/>
        <v>0</v>
      </c>
      <c r="KK73" s="5">
        <f t="shared" si="94"/>
        <v>9618584</v>
      </c>
      <c r="KL73" s="29">
        <f t="shared" si="95"/>
        <v>0</v>
      </c>
      <c r="KM73" s="5">
        <f t="shared" si="96"/>
        <v>435537</v>
      </c>
      <c r="KN73" s="29">
        <f t="shared" si="97"/>
        <v>0</v>
      </c>
      <c r="KO73" s="5">
        <f t="shared" si="98"/>
        <v>397590</v>
      </c>
      <c r="KP73" s="29">
        <f t="shared" si="99"/>
        <v>0</v>
      </c>
      <c r="KQ73" s="5">
        <f t="shared" si="100"/>
        <v>5193957</v>
      </c>
      <c r="KR73" s="29">
        <f t="shared" si="101"/>
        <v>0</v>
      </c>
      <c r="KS73" s="5">
        <f t="shared" si="102"/>
        <v>0</v>
      </c>
      <c r="KT73" s="29">
        <f t="shared" si="103"/>
        <v>0</v>
      </c>
      <c r="KU73" s="5">
        <f t="shared" si="104"/>
        <v>260349</v>
      </c>
      <c r="KV73" s="29">
        <f t="shared" si="105"/>
        <v>0</v>
      </c>
      <c r="KW73" s="5">
        <f t="shared" si="106"/>
        <v>237037</v>
      </c>
      <c r="KX73" s="29">
        <f t="shared" si="107"/>
        <v>0</v>
      </c>
      <c r="KY73" s="5">
        <f t="shared" si="108"/>
        <v>43574400</v>
      </c>
      <c r="KZ73" s="29">
        <f t="shared" si="109"/>
        <v>0</v>
      </c>
      <c r="LA73" s="5">
        <f t="shared" si="110"/>
        <v>5334898</v>
      </c>
      <c r="LB73" s="29">
        <f t="shared" si="111"/>
        <v>0</v>
      </c>
      <c r="LC73" s="5">
        <f t="shared" si="112"/>
        <v>2452754</v>
      </c>
      <c r="LD73" s="29">
        <f t="shared" si="113"/>
        <v>0</v>
      </c>
      <c r="LE73" s="5">
        <f t="shared" si="114"/>
        <v>7830861</v>
      </c>
      <c r="LF73" s="29">
        <f t="shared" si="115"/>
        <v>0</v>
      </c>
      <c r="LG73" s="5">
        <f t="shared" si="116"/>
        <v>75150</v>
      </c>
      <c r="LH73" s="29">
        <f t="shared" si="117"/>
        <v>0</v>
      </c>
      <c r="LI73" s="5">
        <f t="shared" si="118"/>
        <v>7240981</v>
      </c>
      <c r="LJ73" s="29">
        <f t="shared" si="119"/>
        <v>0</v>
      </c>
      <c r="LK73" s="5">
        <f t="shared" si="120"/>
        <v>25800</v>
      </c>
      <c r="LL73" s="29">
        <f t="shared" si="121"/>
        <v>0</v>
      </c>
      <c r="LM73" s="5">
        <f t="shared" si="122"/>
        <v>0</v>
      </c>
      <c r="LN73" s="29">
        <f t="shared" si="123"/>
        <v>0</v>
      </c>
      <c r="LO73" s="5">
        <f t="shared" si="124"/>
        <v>633255</v>
      </c>
      <c r="LP73" s="29">
        <f t="shared" si="125"/>
        <v>0</v>
      </c>
      <c r="LQ73" s="5">
        <f t="shared" si="126"/>
        <v>4000429</v>
      </c>
      <c r="LR73" s="29">
        <f t="shared" si="127"/>
        <v>0</v>
      </c>
      <c r="LS73" s="5">
        <f t="shared" si="128"/>
        <v>1623415</v>
      </c>
      <c r="LT73" s="29">
        <f t="shared" si="129"/>
        <v>0</v>
      </c>
      <c r="LU73" s="5">
        <f t="shared" si="130"/>
        <v>1514840</v>
      </c>
      <c r="LV73" s="29">
        <f t="shared" si="131"/>
        <v>0</v>
      </c>
      <c r="LW73" s="5">
        <f t="shared" si="132"/>
        <v>1521688</v>
      </c>
      <c r="LX73" s="29">
        <f t="shared" si="133"/>
        <v>0</v>
      </c>
      <c r="LY73" s="5">
        <f t="shared" si="134"/>
        <v>0</v>
      </c>
      <c r="LZ73" s="29">
        <f t="shared" si="135"/>
        <v>0</v>
      </c>
      <c r="MA73" s="5">
        <f t="shared" si="136"/>
        <v>5794292</v>
      </c>
      <c r="MB73" s="29">
        <f t="shared" si="137"/>
        <v>0</v>
      </c>
      <c r="MC73" s="5">
        <f t="shared" si="138"/>
        <v>275347</v>
      </c>
      <c r="MD73" s="29">
        <f t="shared" si="139"/>
        <v>0</v>
      </c>
      <c r="ME73" s="5">
        <f t="shared" si="140"/>
        <v>0</v>
      </c>
      <c r="MF73" s="29">
        <f t="shared" si="141"/>
        <v>0</v>
      </c>
      <c r="MG73" s="5">
        <f t="shared" si="142"/>
        <v>1239645</v>
      </c>
      <c r="MH73" s="29">
        <f t="shared" si="143"/>
        <v>0</v>
      </c>
      <c r="MI73" s="5">
        <f t="shared" si="144"/>
        <v>42284</v>
      </c>
      <c r="MJ73" s="29">
        <f t="shared" si="145"/>
        <v>0</v>
      </c>
      <c r="MK73" s="5">
        <f t="shared" si="146"/>
        <v>3461386</v>
      </c>
      <c r="ML73" s="29">
        <f t="shared" si="147"/>
        <v>0</v>
      </c>
      <c r="MM73" s="5">
        <f t="shared" si="148"/>
        <v>43067025</v>
      </c>
      <c r="MN73" s="29">
        <f t="shared" si="149"/>
        <v>0</v>
      </c>
      <c r="MO73" s="5">
        <f t="shared" si="150"/>
        <v>0</v>
      </c>
      <c r="MP73" s="29">
        <f t="shared" si="151"/>
        <v>0</v>
      </c>
      <c r="MQ73" s="5">
        <f t="shared" si="152"/>
        <v>43067025</v>
      </c>
      <c r="MR73" s="29">
        <f t="shared" si="153"/>
        <v>0</v>
      </c>
      <c r="MT73" s="5">
        <f t="shared" si="156"/>
        <v>0</v>
      </c>
      <c r="MV73" s="4">
        <f t="shared" si="155"/>
        <v>0</v>
      </c>
    </row>
    <row r="74" spans="1:371" x14ac:dyDescent="0.15">
      <c r="A74" s="156" t="s">
        <v>349</v>
      </c>
      <c r="B74" s="28" t="s">
        <v>405</v>
      </c>
      <c r="C74" s="48">
        <v>176372</v>
      </c>
      <c r="D74" s="48">
        <v>2012</v>
      </c>
      <c r="E74" s="49">
        <v>1</v>
      </c>
      <c r="F74" s="49">
        <v>8</v>
      </c>
      <c r="G74" s="50">
        <v>4268</v>
      </c>
      <c r="H74" s="50">
        <v>7028</v>
      </c>
      <c r="I74" s="51">
        <v>310517463</v>
      </c>
      <c r="J74" s="51"/>
      <c r="K74" s="51">
        <v>1980897</v>
      </c>
      <c r="L74" s="51"/>
      <c r="M74" s="51">
        <v>9928220</v>
      </c>
      <c r="N74" s="51"/>
      <c r="O74" s="51">
        <v>28509377</v>
      </c>
      <c r="P74" s="51"/>
      <c r="Q74" s="51">
        <v>136195467</v>
      </c>
      <c r="R74" s="51"/>
      <c r="S74" s="51">
        <v>173686910</v>
      </c>
      <c r="T74" s="51"/>
      <c r="U74" s="51">
        <v>13868</v>
      </c>
      <c r="V74" s="51"/>
      <c r="W74" s="51">
        <v>21824</v>
      </c>
      <c r="X74" s="51"/>
      <c r="Y74" s="51">
        <v>18426</v>
      </c>
      <c r="Z74" s="51"/>
      <c r="AA74" s="51">
        <v>26382</v>
      </c>
      <c r="AB74" s="51"/>
      <c r="AC74" s="74">
        <v>7</v>
      </c>
      <c r="AD74" s="74">
        <v>9</v>
      </c>
      <c r="AE74" s="74">
        <v>0</v>
      </c>
      <c r="AF74" s="29">
        <v>2647087</v>
      </c>
      <c r="AG74" s="29">
        <v>1548645</v>
      </c>
      <c r="AH74" s="29">
        <v>242810</v>
      </c>
      <c r="AI74" s="29">
        <v>1368847</v>
      </c>
      <c r="AJ74" s="29">
        <v>322453.45</v>
      </c>
      <c r="AK74" s="73">
        <v>5.5</v>
      </c>
      <c r="AL74" s="29">
        <v>295582.33</v>
      </c>
      <c r="AM74" s="73">
        <v>6</v>
      </c>
      <c r="AN74" s="29">
        <v>76740.149999999994</v>
      </c>
      <c r="AO74" s="73">
        <v>6.5</v>
      </c>
      <c r="AP74" s="29">
        <v>71258.710000000006</v>
      </c>
      <c r="AQ74" s="73">
        <v>7</v>
      </c>
      <c r="AR74" s="29">
        <v>131255.03</v>
      </c>
      <c r="AS74" s="73">
        <v>16.5</v>
      </c>
      <c r="AT74" s="29">
        <v>120317.11</v>
      </c>
      <c r="AU74" s="73">
        <v>18</v>
      </c>
      <c r="AV74" s="29">
        <v>53947.88</v>
      </c>
      <c r="AW74" s="73">
        <v>8.5</v>
      </c>
      <c r="AX74" s="29">
        <v>45855.7</v>
      </c>
      <c r="AY74" s="73">
        <v>10</v>
      </c>
      <c r="AZ74" s="139">
        <v>2178161</v>
      </c>
      <c r="BA74" s="139">
        <v>370281</v>
      </c>
      <c r="BB74" s="139">
        <v>11063</v>
      </c>
      <c r="BC74" s="139">
        <v>300374</v>
      </c>
      <c r="BD74" s="139">
        <v>0</v>
      </c>
      <c r="BE74" s="139">
        <v>2859879</v>
      </c>
      <c r="BF74" s="139">
        <v>0</v>
      </c>
      <c r="BG74" s="139">
        <v>0</v>
      </c>
      <c r="BH74" s="139">
        <v>0</v>
      </c>
      <c r="BI74" s="139">
        <v>0</v>
      </c>
      <c r="BJ74" s="139">
        <v>6288913</v>
      </c>
      <c r="BK74" s="139">
        <v>6288913</v>
      </c>
      <c r="BL74" s="139">
        <v>636891</v>
      </c>
      <c r="BM74" s="139">
        <v>170254</v>
      </c>
      <c r="BN74" s="139">
        <v>15000</v>
      </c>
      <c r="BO74" s="139">
        <v>51500</v>
      </c>
      <c r="BP74" s="139">
        <v>0</v>
      </c>
      <c r="BQ74" s="139">
        <v>873645</v>
      </c>
      <c r="BR74" s="139">
        <v>52370</v>
      </c>
      <c r="BS74" s="139">
        <v>9720</v>
      </c>
      <c r="BT74" s="139">
        <v>3562</v>
      </c>
      <c r="BU74" s="139">
        <v>46893</v>
      </c>
      <c r="BV74" s="139">
        <v>3549285</v>
      </c>
      <c r="BW74" s="139">
        <v>3661830</v>
      </c>
      <c r="BX74" s="97">
        <v>0</v>
      </c>
      <c r="BY74" s="97">
        <v>0</v>
      </c>
      <c r="BZ74" s="97">
        <v>0</v>
      </c>
      <c r="CA74" s="97">
        <v>0</v>
      </c>
      <c r="CB74" s="97">
        <v>0</v>
      </c>
      <c r="CC74" s="97">
        <v>0</v>
      </c>
      <c r="CD74" s="97">
        <v>0</v>
      </c>
      <c r="CE74" s="97">
        <v>0</v>
      </c>
      <c r="CF74" s="97">
        <v>0</v>
      </c>
      <c r="CG74" s="97">
        <v>0</v>
      </c>
      <c r="CH74" s="97">
        <v>0</v>
      </c>
      <c r="CI74" s="97">
        <v>0</v>
      </c>
      <c r="CJ74" s="139">
        <v>0</v>
      </c>
      <c r="CK74" s="139">
        <v>0</v>
      </c>
      <c r="CL74" s="139">
        <v>0</v>
      </c>
      <c r="CM74" s="139">
        <v>0</v>
      </c>
      <c r="CN74" s="139">
        <v>1975130</v>
      </c>
      <c r="CO74" s="139">
        <v>1975130</v>
      </c>
      <c r="CP74" s="97">
        <v>0</v>
      </c>
      <c r="CQ74" s="97">
        <v>0</v>
      </c>
      <c r="CR74" s="97">
        <v>0</v>
      </c>
      <c r="CS74" s="97">
        <v>0</v>
      </c>
      <c r="CT74" s="97">
        <v>0</v>
      </c>
      <c r="CU74" s="97">
        <v>0</v>
      </c>
      <c r="CV74" s="139">
        <v>1961014</v>
      </c>
      <c r="CW74" s="139">
        <v>774513</v>
      </c>
      <c r="CX74" s="139">
        <v>8228</v>
      </c>
      <c r="CY74" s="139">
        <v>0</v>
      </c>
      <c r="CZ74" s="139">
        <v>692781</v>
      </c>
      <c r="DA74" s="139">
        <v>3436536</v>
      </c>
      <c r="DB74" s="97">
        <v>0</v>
      </c>
      <c r="DC74" s="97">
        <v>0</v>
      </c>
      <c r="DD74" s="97">
        <v>0</v>
      </c>
      <c r="DE74" s="97">
        <v>0</v>
      </c>
      <c r="DF74" s="97">
        <v>0</v>
      </c>
      <c r="DG74" s="97">
        <v>0</v>
      </c>
      <c r="DH74" s="139">
        <v>202881</v>
      </c>
      <c r="DI74" s="128">
        <v>24629</v>
      </c>
      <c r="DJ74" s="139">
        <v>3016</v>
      </c>
      <c r="DK74" s="128">
        <v>32697</v>
      </c>
      <c r="DL74" s="139">
        <v>15378</v>
      </c>
      <c r="DM74" s="139">
        <v>278601</v>
      </c>
      <c r="DN74" s="139">
        <v>0</v>
      </c>
      <c r="DO74" s="139">
        <v>0</v>
      </c>
      <c r="DP74" s="139">
        <v>0</v>
      </c>
      <c r="DQ74" s="139">
        <v>0</v>
      </c>
      <c r="DR74" s="139">
        <v>1314951</v>
      </c>
      <c r="DS74" s="139">
        <v>1314951</v>
      </c>
      <c r="DT74" s="139">
        <v>0</v>
      </c>
      <c r="DU74" s="139">
        <v>1951</v>
      </c>
      <c r="DV74" s="139">
        <v>23452</v>
      </c>
      <c r="DW74" s="139">
        <v>161216</v>
      </c>
      <c r="DX74" s="139">
        <v>15301</v>
      </c>
      <c r="DY74" s="139">
        <v>201920</v>
      </c>
      <c r="DZ74" s="139">
        <v>0</v>
      </c>
      <c r="EA74" s="139">
        <v>0</v>
      </c>
      <c r="EB74" s="139">
        <v>0</v>
      </c>
      <c r="EC74" s="139">
        <v>0</v>
      </c>
      <c r="ED74" s="139">
        <v>52646</v>
      </c>
      <c r="EE74" s="139">
        <v>52646</v>
      </c>
      <c r="EF74" s="139">
        <v>0</v>
      </c>
      <c r="EG74" s="139">
        <v>0</v>
      </c>
      <c r="EH74" s="139">
        <v>0</v>
      </c>
      <c r="EI74" s="139">
        <v>0</v>
      </c>
      <c r="EJ74" s="139">
        <v>582644</v>
      </c>
      <c r="EK74" s="139">
        <v>582644</v>
      </c>
      <c r="EL74" s="139">
        <v>5031317</v>
      </c>
      <c r="EM74" s="139">
        <v>1351348</v>
      </c>
      <c r="EN74" s="139">
        <v>64321</v>
      </c>
      <c r="EO74" s="139">
        <v>592680</v>
      </c>
      <c r="EP74" s="139">
        <v>14487029</v>
      </c>
      <c r="EQ74" s="139">
        <v>21526695</v>
      </c>
      <c r="ER74" s="139">
        <v>1822626</v>
      </c>
      <c r="ES74" s="139">
        <v>294540</v>
      </c>
      <c r="ET74" s="139">
        <v>297477</v>
      </c>
      <c r="EU74" s="139">
        <v>1781089</v>
      </c>
      <c r="EV74" s="128">
        <v>331873</v>
      </c>
      <c r="EW74" s="139">
        <v>4527605</v>
      </c>
      <c r="EX74" s="139">
        <v>450000</v>
      </c>
      <c r="EY74" s="139">
        <v>76664</v>
      </c>
      <c r="EZ74" s="139">
        <v>21115</v>
      </c>
      <c r="FA74" s="139">
        <v>33464</v>
      </c>
      <c r="FB74" s="139">
        <v>0</v>
      </c>
      <c r="FC74" s="139">
        <v>581243</v>
      </c>
      <c r="FD74" s="128">
        <v>2374192</v>
      </c>
      <c r="FE74" s="139">
        <v>896622</v>
      </c>
      <c r="FF74" s="139">
        <v>386149</v>
      </c>
      <c r="FG74" s="139">
        <v>1239607</v>
      </c>
      <c r="FH74" s="139">
        <v>0</v>
      </c>
      <c r="FI74" s="139">
        <v>4896570</v>
      </c>
      <c r="FJ74" s="97">
        <v>0</v>
      </c>
      <c r="FK74" s="97">
        <v>0</v>
      </c>
      <c r="FL74" s="97">
        <v>0</v>
      </c>
      <c r="FM74" s="97">
        <v>0</v>
      </c>
      <c r="FN74" s="97">
        <v>0</v>
      </c>
      <c r="FO74" s="97">
        <v>0</v>
      </c>
      <c r="FP74" s="139">
        <v>250062</v>
      </c>
      <c r="FQ74" s="140">
        <v>95979</v>
      </c>
      <c r="FR74" s="105">
        <v>67919</v>
      </c>
      <c r="FS74" s="105">
        <v>0</v>
      </c>
      <c r="FT74" s="105">
        <v>2518391</v>
      </c>
      <c r="FU74" s="140">
        <v>2932351</v>
      </c>
      <c r="FV74" s="97">
        <v>0</v>
      </c>
      <c r="FW74" s="97">
        <v>0</v>
      </c>
      <c r="FX74" s="97">
        <v>0</v>
      </c>
      <c r="FY74" s="97">
        <v>0</v>
      </c>
      <c r="FZ74" s="97">
        <v>0</v>
      </c>
      <c r="GA74" s="97">
        <v>0</v>
      </c>
      <c r="GB74" s="97">
        <v>0</v>
      </c>
      <c r="GC74" s="97">
        <v>0</v>
      </c>
      <c r="GD74" s="97">
        <v>0</v>
      </c>
      <c r="GE74" s="97">
        <v>0</v>
      </c>
      <c r="GF74" s="97">
        <v>0</v>
      </c>
      <c r="GG74" s="97">
        <v>0</v>
      </c>
      <c r="GH74" s="139">
        <v>131503</v>
      </c>
      <c r="GI74" s="139">
        <v>75099</v>
      </c>
      <c r="GJ74" s="139">
        <v>75714</v>
      </c>
      <c r="GK74" s="139">
        <v>97341</v>
      </c>
      <c r="GL74" s="139">
        <v>0</v>
      </c>
      <c r="GM74" s="139">
        <v>379657</v>
      </c>
      <c r="GN74" s="139">
        <v>1233905</v>
      </c>
      <c r="GO74" s="139">
        <v>315084</v>
      </c>
      <c r="GP74" s="139">
        <v>169195</v>
      </c>
      <c r="GQ74" s="139">
        <v>625813</v>
      </c>
      <c r="GR74" s="139">
        <v>0</v>
      </c>
      <c r="GS74" s="140">
        <v>2343997</v>
      </c>
      <c r="GT74" s="140">
        <v>241553</v>
      </c>
      <c r="GU74" s="139">
        <v>25709</v>
      </c>
      <c r="GV74" s="139">
        <v>27429</v>
      </c>
      <c r="GW74" s="139">
        <v>215001</v>
      </c>
      <c r="GX74" s="139">
        <v>0</v>
      </c>
      <c r="GY74" s="139">
        <v>509692</v>
      </c>
      <c r="GZ74" s="139">
        <v>453450</v>
      </c>
      <c r="HA74" s="139">
        <v>153605</v>
      </c>
      <c r="HB74" s="139">
        <v>81032</v>
      </c>
      <c r="HC74" s="139">
        <v>130940</v>
      </c>
      <c r="HD74" s="139">
        <v>0</v>
      </c>
      <c r="HE74" s="139">
        <v>819027</v>
      </c>
      <c r="HF74" s="139">
        <v>0</v>
      </c>
      <c r="HG74" s="139">
        <v>0</v>
      </c>
      <c r="HH74" s="139">
        <v>0</v>
      </c>
      <c r="HI74" s="139">
        <v>0</v>
      </c>
      <c r="HJ74" s="139">
        <v>213887</v>
      </c>
      <c r="HK74" s="139">
        <v>213887</v>
      </c>
      <c r="HL74" s="139">
        <v>0</v>
      </c>
      <c r="HM74" s="139">
        <v>5489</v>
      </c>
      <c r="HN74" s="140">
        <v>8230</v>
      </c>
      <c r="HO74" s="139">
        <v>87738</v>
      </c>
      <c r="HP74" s="140">
        <v>5727</v>
      </c>
      <c r="HQ74" s="139">
        <v>107184</v>
      </c>
      <c r="HR74" s="139">
        <v>2950</v>
      </c>
      <c r="HS74" s="139">
        <v>364</v>
      </c>
      <c r="HT74" s="140">
        <v>133</v>
      </c>
      <c r="HU74" s="140">
        <v>2595</v>
      </c>
      <c r="HV74" s="139">
        <v>2609649</v>
      </c>
      <c r="HW74" s="139">
        <v>2615691</v>
      </c>
      <c r="HX74" s="139">
        <v>45740</v>
      </c>
      <c r="HY74" s="139">
        <v>0</v>
      </c>
      <c r="HZ74" s="139">
        <v>0</v>
      </c>
      <c r="IA74" s="139">
        <v>0</v>
      </c>
      <c r="IB74" s="139">
        <v>0</v>
      </c>
      <c r="IC74" s="139">
        <v>45740</v>
      </c>
      <c r="ID74" s="97">
        <v>0</v>
      </c>
      <c r="IE74" s="97">
        <v>0</v>
      </c>
      <c r="IF74" s="97">
        <v>0</v>
      </c>
      <c r="IG74" s="97">
        <v>0</v>
      </c>
      <c r="IH74" s="97">
        <v>0</v>
      </c>
      <c r="II74" s="97">
        <v>0</v>
      </c>
      <c r="IJ74" s="139">
        <v>0</v>
      </c>
      <c r="IK74" s="139">
        <v>0</v>
      </c>
      <c r="IL74" s="139">
        <v>0</v>
      </c>
      <c r="IM74" s="139">
        <v>0</v>
      </c>
      <c r="IN74" s="139">
        <v>229546</v>
      </c>
      <c r="IO74" s="140">
        <v>229546</v>
      </c>
      <c r="IP74" s="139">
        <v>1940</v>
      </c>
      <c r="IQ74" s="139">
        <v>1100</v>
      </c>
      <c r="IR74" s="139">
        <v>480</v>
      </c>
      <c r="IS74" s="139">
        <v>4724</v>
      </c>
      <c r="IT74" s="140">
        <v>322136</v>
      </c>
      <c r="IU74" s="139">
        <v>330380</v>
      </c>
      <c r="IV74" s="139">
        <v>169420</v>
      </c>
      <c r="IW74" s="139">
        <v>103297</v>
      </c>
      <c r="IX74" s="140">
        <v>33389</v>
      </c>
      <c r="IY74" s="139">
        <v>105594</v>
      </c>
      <c r="IZ74" s="139">
        <v>969866</v>
      </c>
      <c r="JA74" s="139">
        <v>1381566</v>
      </c>
      <c r="JB74" s="139">
        <v>7177341</v>
      </c>
      <c r="JC74" s="140">
        <v>2043552</v>
      </c>
      <c r="JD74" s="139">
        <v>1168262</v>
      </c>
      <c r="JE74" s="139">
        <v>4323906</v>
      </c>
      <c r="JF74" s="139">
        <v>7201075</v>
      </c>
      <c r="JG74" s="139">
        <v>21914136</v>
      </c>
      <c r="JH74" s="97">
        <v>0</v>
      </c>
      <c r="JI74" s="97">
        <v>0</v>
      </c>
      <c r="JJ74" s="97">
        <v>0</v>
      </c>
      <c r="JK74" s="97">
        <v>0</v>
      </c>
      <c r="JL74" s="97">
        <v>0</v>
      </c>
      <c r="JM74" s="97">
        <v>0</v>
      </c>
      <c r="JN74" s="139">
        <v>7177341</v>
      </c>
      <c r="JO74" s="140">
        <v>2043552</v>
      </c>
      <c r="JP74" s="139">
        <v>1168262</v>
      </c>
      <c r="JQ74" s="139">
        <v>4323906</v>
      </c>
      <c r="JR74" s="139">
        <v>7201075</v>
      </c>
      <c r="JS74" s="140">
        <v>21914136</v>
      </c>
      <c r="JU74" s="5">
        <f t="shared" si="78"/>
        <v>2859879</v>
      </c>
      <c r="JV74" s="29">
        <f t="shared" si="79"/>
        <v>0</v>
      </c>
      <c r="JW74" s="5">
        <f t="shared" si="80"/>
        <v>6288913</v>
      </c>
      <c r="JX74" s="29">
        <f t="shared" si="81"/>
        <v>0</v>
      </c>
      <c r="JY74" s="5">
        <f t="shared" si="82"/>
        <v>873645</v>
      </c>
      <c r="JZ74" s="29">
        <f t="shared" si="83"/>
        <v>0</v>
      </c>
      <c r="KA74" s="5">
        <f t="shared" si="84"/>
        <v>3661830</v>
      </c>
      <c r="KB74" s="29">
        <f t="shared" si="85"/>
        <v>0</v>
      </c>
      <c r="KC74" s="5">
        <f t="shared" si="86"/>
        <v>0</v>
      </c>
      <c r="KD74" s="29">
        <f t="shared" si="87"/>
        <v>0</v>
      </c>
      <c r="KE74" s="5">
        <f t="shared" si="88"/>
        <v>0</v>
      </c>
      <c r="KF74" s="29">
        <f t="shared" si="89"/>
        <v>0</v>
      </c>
      <c r="KG74" s="5">
        <f t="shared" si="90"/>
        <v>1975130</v>
      </c>
      <c r="KH74" s="29">
        <f t="shared" si="91"/>
        <v>0</v>
      </c>
      <c r="KI74" s="5">
        <f t="shared" si="92"/>
        <v>0</v>
      </c>
      <c r="KJ74" s="29">
        <f t="shared" si="93"/>
        <v>0</v>
      </c>
      <c r="KK74" s="5">
        <f t="shared" si="94"/>
        <v>3436536</v>
      </c>
      <c r="KL74" s="29">
        <f t="shared" si="95"/>
        <v>0</v>
      </c>
      <c r="KM74" s="5">
        <f t="shared" si="96"/>
        <v>0</v>
      </c>
      <c r="KN74" s="29">
        <f t="shared" si="97"/>
        <v>0</v>
      </c>
      <c r="KO74" s="5">
        <f t="shared" si="98"/>
        <v>278601</v>
      </c>
      <c r="KP74" s="29">
        <f t="shared" si="99"/>
        <v>0</v>
      </c>
      <c r="KQ74" s="5">
        <f t="shared" si="100"/>
        <v>1314951</v>
      </c>
      <c r="KR74" s="29">
        <f t="shared" si="101"/>
        <v>0</v>
      </c>
      <c r="KS74" s="5">
        <f t="shared" si="102"/>
        <v>201920</v>
      </c>
      <c r="KT74" s="29">
        <f t="shared" si="103"/>
        <v>0</v>
      </c>
      <c r="KU74" s="5">
        <f t="shared" si="104"/>
        <v>52646</v>
      </c>
      <c r="KV74" s="29">
        <f t="shared" si="105"/>
        <v>0</v>
      </c>
      <c r="KW74" s="5">
        <f t="shared" si="106"/>
        <v>582644</v>
      </c>
      <c r="KX74" s="29">
        <f t="shared" si="107"/>
        <v>0</v>
      </c>
      <c r="KY74" s="5">
        <f t="shared" si="108"/>
        <v>21526695</v>
      </c>
      <c r="KZ74" s="29">
        <f t="shared" si="109"/>
        <v>0</v>
      </c>
      <c r="LA74" s="5">
        <f t="shared" si="110"/>
        <v>4527605</v>
      </c>
      <c r="LB74" s="29">
        <f t="shared" si="111"/>
        <v>0</v>
      </c>
      <c r="LC74" s="5">
        <f t="shared" si="112"/>
        <v>581243</v>
      </c>
      <c r="LD74" s="29">
        <f t="shared" si="113"/>
        <v>0</v>
      </c>
      <c r="LE74" s="5">
        <f t="shared" si="114"/>
        <v>4896570</v>
      </c>
      <c r="LF74" s="29">
        <f t="shared" si="115"/>
        <v>0</v>
      </c>
      <c r="LG74" s="5">
        <f t="shared" si="116"/>
        <v>0</v>
      </c>
      <c r="LH74" s="29">
        <f t="shared" si="117"/>
        <v>0</v>
      </c>
      <c r="LI74" s="5">
        <f t="shared" si="118"/>
        <v>2932351</v>
      </c>
      <c r="LJ74" s="29">
        <f t="shared" si="119"/>
        <v>0</v>
      </c>
      <c r="LK74" s="5">
        <f t="shared" si="120"/>
        <v>0</v>
      </c>
      <c r="LL74" s="29">
        <f t="shared" si="121"/>
        <v>0</v>
      </c>
      <c r="LM74" s="5">
        <f t="shared" si="122"/>
        <v>0</v>
      </c>
      <c r="LN74" s="29">
        <f t="shared" si="123"/>
        <v>0</v>
      </c>
      <c r="LO74" s="5">
        <f t="shared" si="124"/>
        <v>379657</v>
      </c>
      <c r="LP74" s="29">
        <f t="shared" si="125"/>
        <v>0</v>
      </c>
      <c r="LQ74" s="5">
        <f t="shared" si="126"/>
        <v>2343997</v>
      </c>
      <c r="LR74" s="29">
        <f t="shared" si="127"/>
        <v>0</v>
      </c>
      <c r="LS74" s="5">
        <f t="shared" si="128"/>
        <v>509692</v>
      </c>
      <c r="LT74" s="29">
        <f t="shared" si="129"/>
        <v>0</v>
      </c>
      <c r="LU74" s="5">
        <f t="shared" si="130"/>
        <v>819027</v>
      </c>
      <c r="LV74" s="29">
        <f t="shared" si="131"/>
        <v>0</v>
      </c>
      <c r="LW74" s="5">
        <f t="shared" si="132"/>
        <v>213887</v>
      </c>
      <c r="LX74" s="29">
        <f t="shared" si="133"/>
        <v>0</v>
      </c>
      <c r="LY74" s="5">
        <f t="shared" si="134"/>
        <v>107184</v>
      </c>
      <c r="LZ74" s="29">
        <f t="shared" si="135"/>
        <v>0</v>
      </c>
      <c r="MA74" s="5">
        <f t="shared" si="136"/>
        <v>2615691</v>
      </c>
      <c r="MB74" s="29">
        <f t="shared" si="137"/>
        <v>0</v>
      </c>
      <c r="MC74" s="5">
        <f t="shared" si="138"/>
        <v>45740</v>
      </c>
      <c r="MD74" s="29">
        <f t="shared" si="139"/>
        <v>0</v>
      </c>
      <c r="ME74" s="5">
        <f t="shared" si="140"/>
        <v>0</v>
      </c>
      <c r="MF74" s="29">
        <f t="shared" si="141"/>
        <v>0</v>
      </c>
      <c r="MG74" s="5">
        <f t="shared" si="142"/>
        <v>229546</v>
      </c>
      <c r="MH74" s="29">
        <f t="shared" si="143"/>
        <v>0</v>
      </c>
      <c r="MI74" s="5">
        <f t="shared" si="144"/>
        <v>330380</v>
      </c>
      <c r="MJ74" s="29">
        <f t="shared" si="145"/>
        <v>0</v>
      </c>
      <c r="MK74" s="5">
        <f t="shared" si="146"/>
        <v>1381566</v>
      </c>
      <c r="ML74" s="29">
        <f t="shared" si="147"/>
        <v>0</v>
      </c>
      <c r="MM74" s="5">
        <f t="shared" si="148"/>
        <v>21914136</v>
      </c>
      <c r="MN74" s="29">
        <f t="shared" si="149"/>
        <v>0</v>
      </c>
      <c r="MO74" s="5">
        <f t="shared" si="150"/>
        <v>0</v>
      </c>
      <c r="MP74" s="29">
        <f t="shared" si="151"/>
        <v>0</v>
      </c>
      <c r="MQ74" s="5">
        <f t="shared" si="152"/>
        <v>21914136</v>
      </c>
      <c r="MR74" s="29">
        <f t="shared" si="153"/>
        <v>0</v>
      </c>
      <c r="MT74" s="5">
        <f t="shared" si="156"/>
        <v>0</v>
      </c>
      <c r="MV74" s="4">
        <f t="shared" si="155"/>
        <v>0</v>
      </c>
    </row>
    <row r="75" spans="1:371" x14ac:dyDescent="0.15">
      <c r="A75" s="18" t="s">
        <v>351</v>
      </c>
      <c r="B75" s="28" t="s">
        <v>461</v>
      </c>
      <c r="C75" s="48">
        <v>147703</v>
      </c>
      <c r="D75" s="48">
        <v>2012</v>
      </c>
      <c r="E75" s="49">
        <v>1</v>
      </c>
      <c r="F75" s="49">
        <v>2</v>
      </c>
      <c r="G75" s="50">
        <v>17038</v>
      </c>
      <c r="H75" s="50">
        <v>18282</v>
      </c>
      <c r="I75" s="51">
        <v>2249621104</v>
      </c>
      <c r="J75" s="54"/>
      <c r="K75" s="54">
        <v>17633494</v>
      </c>
      <c r="L75" s="54"/>
      <c r="M75" s="54">
        <v>92441649</v>
      </c>
      <c r="N75" s="54"/>
      <c r="O75" s="54">
        <v>232646000</v>
      </c>
      <c r="P75" s="54"/>
      <c r="Q75" s="54">
        <v>1150470000</v>
      </c>
      <c r="R75" s="51"/>
      <c r="S75" s="54">
        <v>1654527564</v>
      </c>
      <c r="T75" s="54"/>
      <c r="U75" s="54">
        <v>20648</v>
      </c>
      <c r="V75" s="54"/>
      <c r="W75" s="54">
        <v>43406</v>
      </c>
      <c r="X75" s="51"/>
      <c r="Y75" s="54">
        <v>24272</v>
      </c>
      <c r="Z75" s="54"/>
      <c r="AA75" s="54">
        <v>47030</v>
      </c>
      <c r="AB75" s="54"/>
      <c r="AC75" s="72">
        <v>9</v>
      </c>
      <c r="AD75" s="72">
        <v>11</v>
      </c>
      <c r="AE75" s="72">
        <v>0</v>
      </c>
      <c r="AF75" s="76">
        <v>5374221</v>
      </c>
      <c r="AG75" s="76">
        <v>3910019</v>
      </c>
      <c r="AH75" s="76">
        <v>945905</v>
      </c>
      <c r="AI75" s="76">
        <v>511952</v>
      </c>
      <c r="AJ75" s="76">
        <v>1647266.43</v>
      </c>
      <c r="AK75" s="73">
        <v>7</v>
      </c>
      <c r="AL75" s="76">
        <v>1647266.43</v>
      </c>
      <c r="AM75" s="73">
        <v>7</v>
      </c>
      <c r="AN75" s="76">
        <v>376715.56</v>
      </c>
      <c r="AO75" s="73">
        <v>9</v>
      </c>
      <c r="AP75" s="76">
        <v>376715.56</v>
      </c>
      <c r="AQ75" s="78">
        <v>9</v>
      </c>
      <c r="AR75" s="76">
        <v>305945.34999999998</v>
      </c>
      <c r="AS75" s="78">
        <v>21.5</v>
      </c>
      <c r="AT75" s="76">
        <v>298992.05</v>
      </c>
      <c r="AU75" s="78">
        <v>22</v>
      </c>
      <c r="AV75" s="76">
        <v>110333.83</v>
      </c>
      <c r="AW75" s="78">
        <v>17.5</v>
      </c>
      <c r="AX75" s="76">
        <v>107269</v>
      </c>
      <c r="AY75" s="78">
        <v>18</v>
      </c>
      <c r="AZ75" s="100">
        <v>34063186</v>
      </c>
      <c r="BA75" s="100">
        <v>3727556</v>
      </c>
      <c r="BB75" s="100">
        <v>382600</v>
      </c>
      <c r="BC75" s="100">
        <v>1554408</v>
      </c>
      <c r="BD75" s="100">
        <v>19479628</v>
      </c>
      <c r="BE75" s="100">
        <v>59207378</v>
      </c>
      <c r="BF75" s="100">
        <v>0</v>
      </c>
      <c r="BG75" s="100">
        <v>0</v>
      </c>
      <c r="BH75" s="100">
        <v>0</v>
      </c>
      <c r="BI75" s="100">
        <v>0</v>
      </c>
      <c r="BJ75" s="100">
        <v>0</v>
      </c>
      <c r="BK75" s="100">
        <v>0</v>
      </c>
      <c r="BL75" s="100">
        <v>400000</v>
      </c>
      <c r="BM75" s="100">
        <v>30000</v>
      </c>
      <c r="BN75" s="100">
        <v>0</v>
      </c>
      <c r="BO75" s="100">
        <v>15000</v>
      </c>
      <c r="BP75" s="100">
        <v>0</v>
      </c>
      <c r="BQ75" s="100">
        <v>445000</v>
      </c>
      <c r="BR75" s="100">
        <v>30334872</v>
      </c>
      <c r="BS75" s="100">
        <v>3674767</v>
      </c>
      <c r="BT75" s="100">
        <v>512907</v>
      </c>
      <c r="BU75" s="100">
        <v>5752881</v>
      </c>
      <c r="BV75" s="100">
        <v>471920</v>
      </c>
      <c r="BW75" s="100">
        <v>40747347</v>
      </c>
      <c r="BX75" s="100">
        <v>0</v>
      </c>
      <c r="BY75" s="100">
        <v>0</v>
      </c>
      <c r="BZ75" s="100">
        <v>0</v>
      </c>
      <c r="CA75" s="100">
        <v>0</v>
      </c>
      <c r="CB75" s="100">
        <v>0</v>
      </c>
      <c r="CC75" s="100">
        <v>0</v>
      </c>
      <c r="CD75" s="100">
        <v>0</v>
      </c>
      <c r="CE75" s="100">
        <v>0</v>
      </c>
      <c r="CF75" s="100">
        <v>0</v>
      </c>
      <c r="CG75" s="100">
        <v>0</v>
      </c>
      <c r="CH75" s="100">
        <v>0</v>
      </c>
      <c r="CI75" s="100">
        <v>0</v>
      </c>
      <c r="CJ75" s="100">
        <v>0</v>
      </c>
      <c r="CK75" s="100">
        <v>0</v>
      </c>
      <c r="CL75" s="100">
        <v>0</v>
      </c>
      <c r="CM75" s="100">
        <v>0</v>
      </c>
      <c r="CN75" s="100">
        <v>0</v>
      </c>
      <c r="CO75" s="100">
        <v>0</v>
      </c>
      <c r="CP75" s="100">
        <v>0</v>
      </c>
      <c r="CQ75" s="100">
        <v>0</v>
      </c>
      <c r="CR75" s="100">
        <v>0</v>
      </c>
      <c r="CS75" s="100">
        <v>0</v>
      </c>
      <c r="CT75" s="100">
        <v>0</v>
      </c>
      <c r="CU75" s="100">
        <v>0</v>
      </c>
      <c r="CV75" s="100">
        <v>13058559</v>
      </c>
      <c r="CW75" s="100">
        <v>7884847</v>
      </c>
      <c r="CX75" s="100">
        <v>0</v>
      </c>
      <c r="CY75" s="100">
        <v>81003</v>
      </c>
      <c r="CZ75" s="100">
        <v>0</v>
      </c>
      <c r="DA75" s="100">
        <v>21024409</v>
      </c>
      <c r="DB75" s="100">
        <v>6721</v>
      </c>
      <c r="DC75" s="100">
        <v>0</v>
      </c>
      <c r="DD75" s="100">
        <v>0</v>
      </c>
      <c r="DE75" s="100">
        <v>0</v>
      </c>
      <c r="DF75" s="100">
        <v>0</v>
      </c>
      <c r="DG75" s="100">
        <v>6721</v>
      </c>
      <c r="DH75" s="100">
        <v>1869738</v>
      </c>
      <c r="DI75" s="100">
        <v>325046</v>
      </c>
      <c r="DJ75" s="100">
        <v>99437</v>
      </c>
      <c r="DK75" s="100">
        <v>329187</v>
      </c>
      <c r="DL75" s="100">
        <v>1533609</v>
      </c>
      <c r="DM75" s="100">
        <v>4157017</v>
      </c>
      <c r="DN75" s="100">
        <v>22361314</v>
      </c>
      <c r="DO75" s="100">
        <v>2418570</v>
      </c>
      <c r="DP75" s="100">
        <v>436027</v>
      </c>
      <c r="DQ75" s="100">
        <v>1524117</v>
      </c>
      <c r="DR75" s="100">
        <v>1963873</v>
      </c>
      <c r="DS75" s="100">
        <v>28703901</v>
      </c>
      <c r="DT75" s="100">
        <v>343258</v>
      </c>
      <c r="DU75" s="100">
        <v>280575</v>
      </c>
      <c r="DV75" s="100">
        <v>96475</v>
      </c>
      <c r="DW75" s="100">
        <v>3044185</v>
      </c>
      <c r="DX75" s="100">
        <v>397927</v>
      </c>
      <c r="DY75" s="100">
        <v>4162420</v>
      </c>
      <c r="DZ75" s="100">
        <v>605833</v>
      </c>
      <c r="EA75" s="100">
        <v>137066</v>
      </c>
      <c r="EB75" s="100">
        <v>55301</v>
      </c>
      <c r="EC75" s="100">
        <v>518905</v>
      </c>
      <c r="ED75" s="100">
        <v>31400</v>
      </c>
      <c r="EE75" s="100">
        <v>1348505</v>
      </c>
      <c r="EF75" s="100">
        <v>770203</v>
      </c>
      <c r="EG75" s="100">
        <v>40</v>
      </c>
      <c r="EH75" s="100">
        <v>0</v>
      </c>
      <c r="EI75" s="100">
        <v>225796</v>
      </c>
      <c r="EJ75" s="100">
        <v>2496378</v>
      </c>
      <c r="EK75" s="100">
        <v>3492417</v>
      </c>
      <c r="EL75" s="100">
        <v>103813684</v>
      </c>
      <c r="EM75" s="100">
        <v>18478467</v>
      </c>
      <c r="EN75" s="100">
        <v>1582747</v>
      </c>
      <c r="EO75" s="100">
        <v>13045482</v>
      </c>
      <c r="EP75" s="100">
        <v>26374735</v>
      </c>
      <c r="EQ75" s="100">
        <v>163295115</v>
      </c>
      <c r="ER75" s="100">
        <v>3444647</v>
      </c>
      <c r="ES75" s="100">
        <v>552363</v>
      </c>
      <c r="ET75" s="100">
        <v>600417</v>
      </c>
      <c r="EU75" s="100">
        <v>4686813</v>
      </c>
      <c r="EV75" s="100">
        <v>66050</v>
      </c>
      <c r="EW75" s="100">
        <v>9350290</v>
      </c>
      <c r="EX75" s="100">
        <v>1587500</v>
      </c>
      <c r="EY75" s="100">
        <v>532500</v>
      </c>
      <c r="EZ75" s="100">
        <v>136655</v>
      </c>
      <c r="FA75" s="100">
        <v>137718</v>
      </c>
      <c r="FB75" s="100">
        <v>0</v>
      </c>
      <c r="FC75" s="100">
        <v>2394373</v>
      </c>
      <c r="FD75" s="100">
        <v>10977409</v>
      </c>
      <c r="FE75" s="100">
        <v>3924227</v>
      </c>
      <c r="FF75" s="100">
        <v>1708174</v>
      </c>
      <c r="FG75" s="100">
        <v>6820162</v>
      </c>
      <c r="FH75" s="100">
        <v>0</v>
      </c>
      <c r="FI75" s="100">
        <v>23429972</v>
      </c>
      <c r="FJ75" s="100">
        <v>0</v>
      </c>
      <c r="FK75" s="100">
        <v>0</v>
      </c>
      <c r="FL75" s="100">
        <v>0</v>
      </c>
      <c r="FM75" s="100">
        <v>0</v>
      </c>
      <c r="FN75" s="100">
        <v>0</v>
      </c>
      <c r="FO75" s="100">
        <v>0</v>
      </c>
      <c r="FP75" s="100">
        <v>842225</v>
      </c>
      <c r="FQ75" s="100">
        <v>717762</v>
      </c>
      <c r="FR75" s="100">
        <v>422605</v>
      </c>
      <c r="FS75" s="100">
        <v>1165835</v>
      </c>
      <c r="FT75" s="100">
        <v>26947451</v>
      </c>
      <c r="FU75" s="100">
        <v>30095878</v>
      </c>
      <c r="FV75" s="100">
        <v>0</v>
      </c>
      <c r="FW75" s="100">
        <v>0</v>
      </c>
      <c r="FX75" s="100">
        <v>0</v>
      </c>
      <c r="FY75" s="100">
        <v>0</v>
      </c>
      <c r="FZ75" s="100">
        <v>0</v>
      </c>
      <c r="GA75" s="100">
        <v>0</v>
      </c>
      <c r="GB75" s="100">
        <v>0</v>
      </c>
      <c r="GC75" s="100">
        <v>0</v>
      </c>
      <c r="GD75" s="100">
        <v>0</v>
      </c>
      <c r="GE75" s="100">
        <v>140953</v>
      </c>
      <c r="GF75" s="100">
        <v>0</v>
      </c>
      <c r="GG75" s="100">
        <v>140953</v>
      </c>
      <c r="GH75" s="100">
        <v>493515</v>
      </c>
      <c r="GI75" s="100">
        <v>209911</v>
      </c>
      <c r="GJ75" s="100">
        <v>140487</v>
      </c>
      <c r="GK75" s="100">
        <v>613944</v>
      </c>
      <c r="GL75" s="100">
        <v>0</v>
      </c>
      <c r="GM75" s="100">
        <v>1457857</v>
      </c>
      <c r="GN75" s="100">
        <v>1399035</v>
      </c>
      <c r="GO75" s="100">
        <v>1194510</v>
      </c>
      <c r="GP75" s="100">
        <v>912810</v>
      </c>
      <c r="GQ75" s="100">
        <v>3709595</v>
      </c>
      <c r="GR75" s="100">
        <v>0</v>
      </c>
      <c r="GS75" s="100">
        <v>7215950</v>
      </c>
      <c r="GT75" s="100">
        <v>361251</v>
      </c>
      <c r="GU75" s="100">
        <v>90495</v>
      </c>
      <c r="GV75" s="100">
        <v>68769</v>
      </c>
      <c r="GW75" s="100">
        <v>554259</v>
      </c>
      <c r="GX75" s="100">
        <v>1597147</v>
      </c>
      <c r="GY75" s="100">
        <v>2671921</v>
      </c>
      <c r="GZ75" s="100">
        <v>3890997</v>
      </c>
      <c r="HA75" s="100">
        <v>950856</v>
      </c>
      <c r="HB75" s="100">
        <v>689430</v>
      </c>
      <c r="HC75" s="100">
        <v>1981982</v>
      </c>
      <c r="HD75" s="100">
        <v>14839610</v>
      </c>
      <c r="HE75" s="100">
        <v>22352875</v>
      </c>
      <c r="HF75" s="100">
        <v>150344</v>
      </c>
      <c r="HG75" s="100">
        <v>8278</v>
      </c>
      <c r="HH75" s="100">
        <v>15238</v>
      </c>
      <c r="HI75" s="100">
        <v>63368</v>
      </c>
      <c r="HJ75" s="100">
        <v>5163870</v>
      </c>
      <c r="HK75" s="100">
        <v>5401098</v>
      </c>
      <c r="HL75" s="100">
        <v>190278</v>
      </c>
      <c r="HM75" s="100">
        <v>172192</v>
      </c>
      <c r="HN75" s="100">
        <v>57780</v>
      </c>
      <c r="HO75" s="100">
        <v>865472</v>
      </c>
      <c r="HP75" s="100">
        <v>306411</v>
      </c>
      <c r="HQ75" s="100">
        <v>1592133</v>
      </c>
      <c r="HR75" s="100">
        <v>133111</v>
      </c>
      <c r="HS75" s="100">
        <v>22780</v>
      </c>
      <c r="HT75" s="100">
        <v>15041</v>
      </c>
      <c r="HU75" s="100">
        <v>276557</v>
      </c>
      <c r="HV75" s="100">
        <v>23568124</v>
      </c>
      <c r="HW75" s="100">
        <v>24015613</v>
      </c>
      <c r="HX75" s="100">
        <v>1073061</v>
      </c>
      <c r="HY75" s="100">
        <v>71125</v>
      </c>
      <c r="HZ75" s="100">
        <v>71125</v>
      </c>
      <c r="IA75" s="100">
        <v>13150</v>
      </c>
      <c r="IB75" s="100">
        <v>83114</v>
      </c>
      <c r="IC75" s="100">
        <v>1311575</v>
      </c>
      <c r="ID75" s="100">
        <v>0</v>
      </c>
      <c r="IE75" s="100">
        <v>0</v>
      </c>
      <c r="IF75" s="100">
        <v>0</v>
      </c>
      <c r="IG75" s="100">
        <v>0</v>
      </c>
      <c r="IH75" s="100">
        <v>0</v>
      </c>
      <c r="II75" s="100">
        <v>0</v>
      </c>
      <c r="IJ75" s="100">
        <v>36841</v>
      </c>
      <c r="IK75" s="100">
        <v>13215</v>
      </c>
      <c r="IL75" s="100">
        <v>20052</v>
      </c>
      <c r="IM75" s="100">
        <v>119539</v>
      </c>
      <c r="IN75" s="100">
        <v>1493452</v>
      </c>
      <c r="IO75" s="100">
        <v>1683099</v>
      </c>
      <c r="IP75" s="100">
        <v>2785</v>
      </c>
      <c r="IQ75" s="100">
        <v>16015</v>
      </c>
      <c r="IR75" s="100">
        <v>1321</v>
      </c>
      <c r="IS75" s="100">
        <v>17471</v>
      </c>
      <c r="IT75" s="100">
        <v>334560</v>
      </c>
      <c r="IU75" s="100">
        <v>372152</v>
      </c>
      <c r="IV75" s="100">
        <v>190664</v>
      </c>
      <c r="IW75" s="100">
        <v>0</v>
      </c>
      <c r="IX75" s="100">
        <v>0</v>
      </c>
      <c r="IY75" s="100">
        <v>0</v>
      </c>
      <c r="IZ75" s="100">
        <v>4593307</v>
      </c>
      <c r="JA75" s="100">
        <v>4783971</v>
      </c>
      <c r="JB75" s="100">
        <v>24773663</v>
      </c>
      <c r="JC75" s="100">
        <v>8476229</v>
      </c>
      <c r="JD75" s="100">
        <v>4859904</v>
      </c>
      <c r="JE75" s="100">
        <v>21166818</v>
      </c>
      <c r="JF75" s="100">
        <v>78993096</v>
      </c>
      <c r="JG75" s="100">
        <v>138269710</v>
      </c>
      <c r="JH75" s="100">
        <v>0</v>
      </c>
      <c r="JI75" s="100">
        <v>0</v>
      </c>
      <c r="JJ75" s="100">
        <v>0</v>
      </c>
      <c r="JK75" s="100">
        <v>0</v>
      </c>
      <c r="JL75" s="100">
        <v>8285714</v>
      </c>
      <c r="JM75" s="100">
        <v>8285714</v>
      </c>
      <c r="JN75" s="100">
        <v>24773663</v>
      </c>
      <c r="JO75" s="100">
        <v>8476229</v>
      </c>
      <c r="JP75" s="100">
        <v>4859904</v>
      </c>
      <c r="JQ75" s="100">
        <v>21166818</v>
      </c>
      <c r="JR75" s="100">
        <v>87278810</v>
      </c>
      <c r="JS75" s="100">
        <v>146555424</v>
      </c>
      <c r="JU75" s="5">
        <f t="shared" ref="JU75:JU92" si="157">SUM(AZ75:BD75)</f>
        <v>59207378</v>
      </c>
      <c r="JV75" s="29">
        <f t="shared" ref="JV75:JV92" si="158">BE75-JU75</f>
        <v>0</v>
      </c>
      <c r="JW75" s="5">
        <f t="shared" ref="JW75:JW92" si="159">SUM(BF75:BJ75)</f>
        <v>0</v>
      </c>
      <c r="JX75" s="29">
        <f t="shared" ref="JX75:JX92" si="160">BK75-JW75</f>
        <v>0</v>
      </c>
      <c r="JY75" s="5">
        <f t="shared" ref="JY75:JY92" si="161">SUM(BL75:BP75)</f>
        <v>445000</v>
      </c>
      <c r="JZ75" s="29">
        <f t="shared" ref="JZ75:JZ92" si="162">BQ75-JY75</f>
        <v>0</v>
      </c>
      <c r="KA75" s="5">
        <f t="shared" ref="KA75:KA92" si="163">SUM(BR75:BV75)</f>
        <v>40747347</v>
      </c>
      <c r="KB75" s="29">
        <f t="shared" ref="KB75:KB92" si="164">BW75-KA75</f>
        <v>0</v>
      </c>
      <c r="KC75" s="5">
        <f t="shared" ref="KC75:KC92" si="165">SUM(BX75:CB75)</f>
        <v>0</v>
      </c>
      <c r="KD75" s="29">
        <f t="shared" ref="KD75:KD92" si="166">CC75-KC75</f>
        <v>0</v>
      </c>
      <c r="KE75" s="5">
        <f t="shared" ref="KE75:KE92" si="167">SUM(CD75:CH75)</f>
        <v>0</v>
      </c>
      <c r="KF75" s="29">
        <f t="shared" ref="KF75:KF92" si="168">CI75-KE75</f>
        <v>0</v>
      </c>
      <c r="KG75" s="5">
        <f t="shared" ref="KG75:KG92" si="169">SUM(CJ75:CN75)</f>
        <v>0</v>
      </c>
      <c r="KH75" s="29">
        <f t="shared" ref="KH75:KH92" si="170">CO75-KG75</f>
        <v>0</v>
      </c>
      <c r="KI75" s="5">
        <f t="shared" ref="KI75:KI92" si="171">SUM(CP75:CT75)</f>
        <v>0</v>
      </c>
      <c r="KJ75" s="29">
        <f t="shared" ref="KJ75:KJ92" si="172">CU75-KI75</f>
        <v>0</v>
      </c>
      <c r="KK75" s="5">
        <f t="shared" ref="KK75:KK92" si="173">SUM(CV75:CZ75)</f>
        <v>21024409</v>
      </c>
      <c r="KL75" s="29">
        <f t="shared" ref="KL75:KL92" si="174">DA75-KK75</f>
        <v>0</v>
      </c>
      <c r="KM75" s="5">
        <f t="shared" ref="KM75:KM92" si="175">SUM(DB75:DF75)</f>
        <v>6721</v>
      </c>
      <c r="KN75" s="29">
        <f t="shared" ref="KN75:KN92" si="176">DG75-KM75</f>
        <v>0</v>
      </c>
      <c r="KO75" s="5">
        <f t="shared" ref="KO75:KO92" si="177">SUM(DH75:DL75)</f>
        <v>4157017</v>
      </c>
      <c r="KP75" s="29">
        <f t="shared" ref="KP75:KP92" si="178">DM75-KO75</f>
        <v>0</v>
      </c>
      <c r="KQ75" s="5">
        <f t="shared" ref="KQ75:KQ92" si="179">SUM(DN75:DR75)</f>
        <v>28703901</v>
      </c>
      <c r="KR75" s="29">
        <f t="shared" ref="KR75:KR92" si="180">DS75-KQ75</f>
        <v>0</v>
      </c>
      <c r="KS75" s="5">
        <f t="shared" ref="KS75:KS92" si="181">SUM(DT75:DX75)</f>
        <v>4162420</v>
      </c>
      <c r="KT75" s="29">
        <f t="shared" ref="KT75:KT92" si="182">DY75-KS75</f>
        <v>0</v>
      </c>
      <c r="KU75" s="5">
        <f t="shared" ref="KU75:KU92" si="183">SUM(DZ75:ED75)</f>
        <v>1348505</v>
      </c>
      <c r="KV75" s="29">
        <f t="shared" ref="KV75:KV92" si="184">EE75-KU75</f>
        <v>0</v>
      </c>
      <c r="KW75" s="5">
        <f t="shared" ref="KW75:KW92" si="185">SUM(EF75:EJ75)</f>
        <v>3492417</v>
      </c>
      <c r="KX75" s="29">
        <f t="shared" ref="KX75:KX92" si="186">EK75-KW75</f>
        <v>0</v>
      </c>
      <c r="KY75" s="5">
        <f t="shared" ref="KY75:KY92" si="187">SUM(EL75:EP75)</f>
        <v>163295115</v>
      </c>
      <c r="KZ75" s="29">
        <f t="shared" ref="KZ75:KZ92" si="188">EQ75-KY75</f>
        <v>0</v>
      </c>
      <c r="LA75" s="5">
        <f>SUM(ER75:EV75)</f>
        <v>9350290</v>
      </c>
      <c r="LB75" s="29">
        <f>EW75-LA75</f>
        <v>0</v>
      </c>
      <c r="LC75" s="5">
        <f>SUM(EX75:FB75)</f>
        <v>2394373</v>
      </c>
      <c r="LD75" s="29">
        <f t="shared" ref="LD75:LD92" si="189">FC75-LC75</f>
        <v>0</v>
      </c>
      <c r="LE75" s="5">
        <f t="shared" ref="LE75:LE92" si="190">SUM(FD75:FH75)</f>
        <v>23429972</v>
      </c>
      <c r="LF75" s="29">
        <f t="shared" ref="LF75:LF92" si="191">FI75-LE75</f>
        <v>0</v>
      </c>
      <c r="LG75" s="5">
        <f t="shared" ref="LG75:LG92" si="192">SUM(FJ75:FN75)</f>
        <v>0</v>
      </c>
      <c r="LH75" s="29">
        <f t="shared" ref="LH75:LH92" si="193">FO75-LG75</f>
        <v>0</v>
      </c>
      <c r="LI75" s="5">
        <f t="shared" ref="LI75:LI92" si="194">SUM(FP75:FT75)</f>
        <v>30095878</v>
      </c>
      <c r="LJ75" s="29">
        <f t="shared" ref="LJ75:LJ92" si="195">FU75-LI75</f>
        <v>0</v>
      </c>
      <c r="LK75" s="5">
        <f t="shared" ref="LK75:LK92" si="196">SUM(FV75:FZ75)</f>
        <v>0</v>
      </c>
      <c r="LL75" s="29">
        <f t="shared" ref="LL75:LL92" si="197">GA75-LK75</f>
        <v>0</v>
      </c>
      <c r="LM75" s="5">
        <f t="shared" ref="LM75:LM92" si="198">SUM(GB75:GF75)</f>
        <v>140953</v>
      </c>
      <c r="LN75" s="29">
        <f t="shared" ref="LN75:LN92" si="199">GG75-LM75</f>
        <v>0</v>
      </c>
      <c r="LO75" s="5">
        <f t="shared" ref="LO75:LO92" si="200">SUM(GH75:GL75)</f>
        <v>1457857</v>
      </c>
      <c r="LP75" s="29">
        <f t="shared" ref="LP75:LP92" si="201">GM75-LO75</f>
        <v>0</v>
      </c>
      <c r="LQ75" s="5">
        <f t="shared" ref="LQ75:LQ92" si="202">SUM(GN75:GR75)</f>
        <v>7215950</v>
      </c>
      <c r="LR75" s="29">
        <f t="shared" ref="LR75:LR92" si="203">GS75-LQ75</f>
        <v>0</v>
      </c>
      <c r="LS75" s="5">
        <f t="shared" ref="LS75:LS92" si="204">SUM(GT75:GX75)</f>
        <v>2671921</v>
      </c>
      <c r="LT75" s="29">
        <f t="shared" ref="LT75:LT92" si="205">GY75-LS75</f>
        <v>0</v>
      </c>
      <c r="LU75" s="5">
        <f t="shared" ref="LU75:LU92" si="206">SUM(GZ75:HD75)</f>
        <v>22352875</v>
      </c>
      <c r="LV75" s="29">
        <f t="shared" ref="LV75:LV92" si="207">HE75-LU75</f>
        <v>0</v>
      </c>
      <c r="LW75" s="5">
        <f t="shared" ref="LW75:LW92" si="208">SUM(HF75:HJ75)</f>
        <v>5401098</v>
      </c>
      <c r="LX75" s="29">
        <f t="shared" ref="LX75:LX92" si="209">HK75-LW75</f>
        <v>0</v>
      </c>
      <c r="LY75" s="5">
        <f t="shared" ref="LY75:LY92" si="210">SUM(HL75:HP75)</f>
        <v>1592133</v>
      </c>
      <c r="LZ75" s="29">
        <f t="shared" ref="LZ75:LZ92" si="211">HQ75-LY75</f>
        <v>0</v>
      </c>
      <c r="MA75" s="5">
        <f t="shared" ref="MA75:MA92" si="212">SUM(HR75:HV75)</f>
        <v>24015613</v>
      </c>
      <c r="MB75" s="29">
        <f t="shared" ref="MB75:MB92" si="213">HW75-MA75</f>
        <v>0</v>
      </c>
      <c r="MC75" s="5">
        <f t="shared" ref="MC75:MC92" si="214">SUM(HX75:IB75)</f>
        <v>1311575</v>
      </c>
      <c r="MD75" s="29">
        <f t="shared" ref="MD75:MD92" si="215">IC75-MC75</f>
        <v>0</v>
      </c>
      <c r="ME75" s="5">
        <f t="shared" ref="ME75:ME92" si="216">SUM(ID75:IH75)</f>
        <v>0</v>
      </c>
      <c r="MF75" s="29">
        <f t="shared" ref="MF75:MF92" si="217">II75-ME75</f>
        <v>0</v>
      </c>
      <c r="MG75" s="5">
        <f t="shared" ref="MG75:MG92" si="218">SUM(IJ75:IN75)</f>
        <v>1683099</v>
      </c>
      <c r="MH75" s="29">
        <f t="shared" ref="MH75:MH92" si="219">IO75-MG75</f>
        <v>0</v>
      </c>
      <c r="MI75" s="5">
        <f t="shared" ref="MI75:MI92" si="220">SUM(IP75:IT75)</f>
        <v>372152</v>
      </c>
      <c r="MJ75" s="29">
        <f t="shared" ref="MJ75:MJ92" si="221">IU75-MI75</f>
        <v>0</v>
      </c>
      <c r="MK75" s="5">
        <f t="shared" ref="MK75:MK92" si="222">SUM(IV75:IZ75)</f>
        <v>4783971</v>
      </c>
      <c r="ML75" s="29">
        <f t="shared" ref="ML75:ML92" si="223">JA75-MK75</f>
        <v>0</v>
      </c>
      <c r="MM75" s="5">
        <f t="shared" ref="MM75:MM92" si="224">SUM(JB75:JF75)</f>
        <v>138269710</v>
      </c>
      <c r="MN75" s="29">
        <f t="shared" ref="MN75:MN92" si="225">JG75-MM75</f>
        <v>0</v>
      </c>
      <c r="MO75" s="5">
        <f t="shared" ref="MO75:MO92" si="226">SUM(JH75:JL75)</f>
        <v>8285714</v>
      </c>
      <c r="MP75" s="29">
        <f t="shared" ref="MP75:MP92" si="227">JM75-MO75</f>
        <v>0</v>
      </c>
      <c r="MQ75" s="5">
        <f t="shared" ref="MQ75:MQ92" si="228">SUM(JN75:JR75)</f>
        <v>146555424</v>
      </c>
      <c r="MR75" s="29">
        <f t="shared" ref="MR75:MR92" si="229">JS75-MQ75</f>
        <v>0</v>
      </c>
      <c r="MT75" s="5">
        <f t="shared" si="156"/>
        <v>0</v>
      </c>
      <c r="MV75" s="4">
        <f t="shared" si="155"/>
        <v>0</v>
      </c>
    </row>
    <row r="76" spans="1:371" x14ac:dyDescent="0.15">
      <c r="A76" s="24" t="s">
        <v>352</v>
      </c>
      <c r="B76" s="28" t="s">
        <v>407</v>
      </c>
      <c r="C76" s="47">
        <v>228723</v>
      </c>
      <c r="D76" s="48">
        <v>2012</v>
      </c>
      <c r="E76" s="49">
        <v>1</v>
      </c>
      <c r="F76" s="49">
        <v>5</v>
      </c>
      <c r="G76" s="50">
        <v>19006</v>
      </c>
      <c r="H76" s="50">
        <v>17412</v>
      </c>
      <c r="I76" s="51">
        <v>1299712707</v>
      </c>
      <c r="J76" s="51"/>
      <c r="K76" s="51">
        <v>6580180</v>
      </c>
      <c r="L76" s="51"/>
      <c r="M76" s="51">
        <v>57184267</v>
      </c>
      <c r="N76" s="51"/>
      <c r="O76" s="51">
        <v>41382516</v>
      </c>
      <c r="P76" s="51"/>
      <c r="Q76" s="51">
        <v>527415249</v>
      </c>
      <c r="R76" s="51"/>
      <c r="S76" s="51">
        <v>905706132</v>
      </c>
      <c r="T76" s="51"/>
      <c r="U76" s="51">
        <v>17405</v>
      </c>
      <c r="V76" s="51"/>
      <c r="W76" s="51">
        <v>32795</v>
      </c>
      <c r="X76" s="51"/>
      <c r="Y76" s="51">
        <v>20782</v>
      </c>
      <c r="Z76" s="51"/>
      <c r="AA76" s="51">
        <v>36672</v>
      </c>
      <c r="AB76" s="51"/>
      <c r="AC76" s="72">
        <v>9</v>
      </c>
      <c r="AD76" s="72">
        <v>11</v>
      </c>
      <c r="AE76" s="72">
        <v>0</v>
      </c>
      <c r="AF76" s="29">
        <v>3788677</v>
      </c>
      <c r="AG76" s="29">
        <v>3330818</v>
      </c>
      <c r="AH76" s="29">
        <v>690129</v>
      </c>
      <c r="AI76" s="29">
        <v>334952</v>
      </c>
      <c r="AJ76" s="29">
        <v>732369</v>
      </c>
      <c r="AK76" s="73">
        <v>7</v>
      </c>
      <c r="AL76" s="29">
        <v>680057</v>
      </c>
      <c r="AM76" s="73">
        <v>7</v>
      </c>
      <c r="AN76" s="29">
        <v>308829</v>
      </c>
      <c r="AO76" s="73">
        <v>9</v>
      </c>
      <c r="AP76" s="29">
        <v>291672</v>
      </c>
      <c r="AQ76" s="73">
        <v>9</v>
      </c>
      <c r="AR76" s="29">
        <v>242389</v>
      </c>
      <c r="AS76" s="73">
        <v>20</v>
      </c>
      <c r="AT76" s="29">
        <v>210773</v>
      </c>
      <c r="AU76" s="73">
        <v>23</v>
      </c>
      <c r="AV76" s="29">
        <v>120885</v>
      </c>
      <c r="AW76" s="73">
        <v>17</v>
      </c>
      <c r="AX76" s="29">
        <v>102752</v>
      </c>
      <c r="AY76" s="73">
        <v>20</v>
      </c>
      <c r="AZ76" s="97">
        <v>29426925</v>
      </c>
      <c r="BA76" s="97">
        <v>2825307.1</v>
      </c>
      <c r="BB76" s="97">
        <v>752544.74</v>
      </c>
      <c r="BC76" s="97">
        <f>33803428.81+1222311.72-AZ76-BA76-BB76</f>
        <v>2020963.6900000011</v>
      </c>
      <c r="BD76" s="97">
        <v>0</v>
      </c>
      <c r="BE76" s="97">
        <v>35025740</v>
      </c>
      <c r="BF76" s="97">
        <v>0</v>
      </c>
      <c r="BG76" s="97">
        <v>0</v>
      </c>
      <c r="BH76" s="97">
        <v>0</v>
      </c>
      <c r="BI76" s="97">
        <v>0</v>
      </c>
      <c r="BJ76" s="97">
        <v>0</v>
      </c>
      <c r="BK76" s="97">
        <v>0</v>
      </c>
      <c r="BL76" s="97">
        <v>0</v>
      </c>
      <c r="BM76" s="97">
        <v>50000</v>
      </c>
      <c r="BN76" s="97">
        <v>0</v>
      </c>
      <c r="BO76" s="97">
        <v>12000</v>
      </c>
      <c r="BP76" s="97">
        <v>0</v>
      </c>
      <c r="BQ76" s="97">
        <v>62000</v>
      </c>
      <c r="BR76" s="97">
        <v>8303577.5</v>
      </c>
      <c r="BS76" s="97">
        <v>1284742.8999999999</v>
      </c>
      <c r="BT76" s="97">
        <v>39127</v>
      </c>
      <c r="BU76" s="97">
        <f>11835282.94+2483742.03-BR76-BS76-BT76</f>
        <v>4691577.5699999984</v>
      </c>
      <c r="BV76" s="97">
        <v>39069353</v>
      </c>
      <c r="BW76" s="97">
        <v>53388377</v>
      </c>
      <c r="BX76" s="97">
        <v>0</v>
      </c>
      <c r="BY76" s="97">
        <v>0</v>
      </c>
      <c r="BZ76" s="97">
        <v>0</v>
      </c>
      <c r="CA76" s="97">
        <v>0</v>
      </c>
      <c r="CB76" s="97">
        <v>0</v>
      </c>
      <c r="CC76" s="97">
        <v>0</v>
      </c>
      <c r="CD76" s="97">
        <v>0</v>
      </c>
      <c r="CE76" s="97">
        <v>0</v>
      </c>
      <c r="CF76" s="97">
        <v>0</v>
      </c>
      <c r="CG76" s="97">
        <v>0</v>
      </c>
      <c r="CH76" s="100">
        <v>0</v>
      </c>
      <c r="CI76" s="97">
        <v>0</v>
      </c>
      <c r="CJ76" s="97">
        <v>0</v>
      </c>
      <c r="CK76" s="97">
        <v>0</v>
      </c>
      <c r="CL76" s="97">
        <v>0</v>
      </c>
      <c r="CM76" s="97">
        <v>0</v>
      </c>
      <c r="CN76" s="100">
        <v>5200000</v>
      </c>
      <c r="CO76" s="97">
        <v>5200000</v>
      </c>
      <c r="CP76" s="97">
        <v>0</v>
      </c>
      <c r="CQ76" s="97">
        <v>0</v>
      </c>
      <c r="CR76" s="97">
        <v>0</v>
      </c>
      <c r="CS76" s="97">
        <v>0</v>
      </c>
      <c r="CT76" s="97">
        <v>0</v>
      </c>
      <c r="CU76" s="97">
        <v>0</v>
      </c>
      <c r="CV76" s="97">
        <v>3074413</v>
      </c>
      <c r="CW76" s="97">
        <v>1317266</v>
      </c>
      <c r="CX76" s="97">
        <v>226294</v>
      </c>
      <c r="CY76" s="97">
        <f>4817837+492368-CV76-CW76-CX76</f>
        <v>692232</v>
      </c>
      <c r="CZ76" s="100">
        <v>68870</v>
      </c>
      <c r="DA76" s="97">
        <v>5379075</v>
      </c>
      <c r="DB76" s="97">
        <v>0</v>
      </c>
      <c r="DC76" s="97">
        <v>0</v>
      </c>
      <c r="DD76" s="97">
        <v>0</v>
      </c>
      <c r="DE76" s="97">
        <v>0</v>
      </c>
      <c r="DF76" s="100">
        <v>0</v>
      </c>
      <c r="DG76" s="97">
        <v>0</v>
      </c>
      <c r="DH76" s="97">
        <v>2294479</v>
      </c>
      <c r="DI76" s="97">
        <v>258586</v>
      </c>
      <c r="DJ76" s="97">
        <v>157561</v>
      </c>
      <c r="DK76" s="97">
        <v>680445</v>
      </c>
      <c r="DL76" s="100">
        <v>203366</v>
      </c>
      <c r="DM76" s="97">
        <v>3594437</v>
      </c>
      <c r="DN76" s="97">
        <v>457500</v>
      </c>
      <c r="DO76" s="97">
        <v>82500</v>
      </c>
      <c r="DP76" s="97">
        <v>52500</v>
      </c>
      <c r="DQ76" s="97">
        <f>1169946+634964-DN76-DO76-DP76</f>
        <v>1212410</v>
      </c>
      <c r="DR76" s="97">
        <v>8874378</v>
      </c>
      <c r="DS76" s="97">
        <v>10679288</v>
      </c>
      <c r="DT76" s="97">
        <v>298706</v>
      </c>
      <c r="DU76" s="97">
        <v>315876</v>
      </c>
      <c r="DV76" s="97">
        <v>337480</v>
      </c>
      <c r="DW76" s="97">
        <v>3859581</v>
      </c>
      <c r="DX76" s="97">
        <v>0</v>
      </c>
      <c r="DY76" s="97">
        <v>4811643</v>
      </c>
      <c r="DZ76" s="97">
        <v>0</v>
      </c>
      <c r="EA76" s="97">
        <v>0</v>
      </c>
      <c r="EB76" s="97">
        <v>0</v>
      </c>
      <c r="EC76" s="97">
        <v>0</v>
      </c>
      <c r="ED76" s="97">
        <v>236250</v>
      </c>
      <c r="EE76" s="97">
        <v>236250</v>
      </c>
      <c r="EF76" s="97">
        <v>565161</v>
      </c>
      <c r="EG76" s="97">
        <v>37</v>
      </c>
      <c r="EH76" s="97">
        <v>20109</v>
      </c>
      <c r="EI76" s="97">
        <f>787742+223687-EF76-EG76-EH76</f>
        <v>426122</v>
      </c>
      <c r="EJ76" s="97">
        <v>313977</v>
      </c>
      <c r="EK76" s="97">
        <v>1325406</v>
      </c>
      <c r="EL76" s="97">
        <v>44420761.5</v>
      </c>
      <c r="EM76" s="97">
        <v>6134315</v>
      </c>
      <c r="EN76" s="97">
        <v>1585615.74</v>
      </c>
      <c r="EO76" s="97">
        <v>13595331</v>
      </c>
      <c r="EP76" s="97">
        <v>53966194</v>
      </c>
      <c r="EQ76" s="97">
        <v>119702217</v>
      </c>
      <c r="ER76" s="97">
        <v>2174901</v>
      </c>
      <c r="ES76" s="97">
        <v>324594</v>
      </c>
      <c r="ET76" s="97">
        <v>391806</v>
      </c>
      <c r="EU76" s="97">
        <f>3788677+3330818-ER76-ES76-ET76</f>
        <v>4228194</v>
      </c>
      <c r="EV76" s="97">
        <v>0</v>
      </c>
      <c r="EW76" s="97">
        <v>7119495</v>
      </c>
      <c r="EX76" s="97">
        <v>1100000</v>
      </c>
      <c r="EY76" s="97">
        <v>543617</v>
      </c>
      <c r="EZ76" s="97">
        <v>52958</v>
      </c>
      <c r="FA76" s="97">
        <v>106323</v>
      </c>
      <c r="FB76" s="97">
        <v>0</v>
      </c>
      <c r="FC76" s="97">
        <v>1802898</v>
      </c>
      <c r="FD76" s="97">
        <v>5163113</v>
      </c>
      <c r="FE76" s="97">
        <v>1942458</v>
      </c>
      <c r="FF76" s="97">
        <v>1550581</v>
      </c>
      <c r="FG76" s="97">
        <v>5632139</v>
      </c>
      <c r="FH76" s="97">
        <v>0</v>
      </c>
      <c r="FI76" s="97">
        <v>14288291</v>
      </c>
      <c r="FJ76" s="97">
        <v>0</v>
      </c>
      <c r="FK76" s="97">
        <v>0</v>
      </c>
      <c r="FL76" s="97">
        <v>0</v>
      </c>
      <c r="FM76" s="97">
        <v>0</v>
      </c>
      <c r="FN76" s="97">
        <v>0</v>
      </c>
      <c r="FO76" s="97">
        <v>0</v>
      </c>
      <c r="FP76" s="97">
        <v>1756645</v>
      </c>
      <c r="FQ76" s="97">
        <v>504042</v>
      </c>
      <c r="FR76" s="97">
        <v>432818</v>
      </c>
      <c r="FS76" s="100">
        <v>9065665</v>
      </c>
      <c r="FT76" s="127">
        <v>3730100</v>
      </c>
      <c r="FU76" s="99">
        <v>15489270</v>
      </c>
      <c r="FV76" s="97">
        <v>0</v>
      </c>
      <c r="FW76" s="97">
        <v>0</v>
      </c>
      <c r="FX76" s="97">
        <v>0</v>
      </c>
      <c r="FY76" s="97">
        <v>0</v>
      </c>
      <c r="FZ76" s="97">
        <v>0</v>
      </c>
      <c r="GA76" s="97">
        <v>0</v>
      </c>
      <c r="GB76" s="97">
        <v>1992029</v>
      </c>
      <c r="GC76" s="97">
        <v>93750</v>
      </c>
      <c r="GD76" s="97">
        <v>0</v>
      </c>
      <c r="GE76" s="97">
        <v>168372</v>
      </c>
      <c r="GF76" s="97">
        <v>230000</v>
      </c>
      <c r="GG76" s="97">
        <v>2484151</v>
      </c>
      <c r="GH76" s="97">
        <v>323102</v>
      </c>
      <c r="GI76" s="97">
        <v>236072</v>
      </c>
      <c r="GJ76" s="97">
        <v>104074</v>
      </c>
      <c r="GK76" s="97">
        <v>361833</v>
      </c>
      <c r="GL76" s="97">
        <v>0</v>
      </c>
      <c r="GM76" s="97">
        <v>1025081</v>
      </c>
      <c r="GN76" s="97">
        <v>1105798</v>
      </c>
      <c r="GO76" s="97">
        <v>727400</v>
      </c>
      <c r="GP76" s="97">
        <v>939307</v>
      </c>
      <c r="GQ76" s="97">
        <v>2897103</v>
      </c>
      <c r="GR76" s="97">
        <v>0</v>
      </c>
      <c r="GS76" s="97">
        <v>5669608</v>
      </c>
      <c r="GT76" s="97">
        <v>624126</v>
      </c>
      <c r="GU76" s="97">
        <v>93025</v>
      </c>
      <c r="GV76" s="97">
        <v>57565</v>
      </c>
      <c r="GW76" s="97">
        <v>1112408</v>
      </c>
      <c r="GX76" s="97">
        <v>52866</v>
      </c>
      <c r="GY76" s="97">
        <v>1939990</v>
      </c>
      <c r="GZ76" s="97">
        <v>982695</v>
      </c>
      <c r="HA76" s="97">
        <v>136601</v>
      </c>
      <c r="HB76" s="97">
        <v>27675</v>
      </c>
      <c r="HC76" s="97">
        <v>486851</v>
      </c>
      <c r="HD76" s="97">
        <v>0</v>
      </c>
      <c r="HE76" s="97">
        <v>1633822</v>
      </c>
      <c r="HF76" s="97">
        <v>318</v>
      </c>
      <c r="HG76" s="97">
        <v>843</v>
      </c>
      <c r="HH76" s="97">
        <v>153</v>
      </c>
      <c r="HI76" s="97">
        <f>6212+2999-HF76-HG76-HH76</f>
        <v>7897</v>
      </c>
      <c r="HJ76" s="97">
        <v>614</v>
      </c>
      <c r="HK76" s="97">
        <v>9825</v>
      </c>
      <c r="HL76" s="97">
        <v>206605</v>
      </c>
      <c r="HM76" s="97">
        <v>173354</v>
      </c>
      <c r="HN76" s="97">
        <v>379163</v>
      </c>
      <c r="HO76" s="97">
        <f>881068+2259761-HL76-HM76-HN76</f>
        <v>2381707</v>
      </c>
      <c r="HP76" s="97">
        <v>0</v>
      </c>
      <c r="HQ76" s="97">
        <v>3140829</v>
      </c>
      <c r="HR76" s="97">
        <v>25336</v>
      </c>
      <c r="HS76" s="97">
        <v>483024</v>
      </c>
      <c r="HT76" s="97">
        <v>262962</v>
      </c>
      <c r="HU76" s="97">
        <v>4741087</v>
      </c>
      <c r="HV76" s="97">
        <v>7013177</v>
      </c>
      <c r="HW76" s="97">
        <v>12525586</v>
      </c>
      <c r="HX76" s="97">
        <v>50000</v>
      </c>
      <c r="HY76" s="97">
        <v>0</v>
      </c>
      <c r="HZ76" s="97">
        <v>0</v>
      </c>
      <c r="IA76" s="97">
        <v>108555</v>
      </c>
      <c r="IB76" s="97">
        <v>0</v>
      </c>
      <c r="IC76" s="97">
        <v>158555</v>
      </c>
      <c r="ID76" s="97">
        <v>0</v>
      </c>
      <c r="IE76" s="97">
        <v>0</v>
      </c>
      <c r="IF76" s="97">
        <v>0</v>
      </c>
      <c r="IG76" s="97">
        <v>0</v>
      </c>
      <c r="IH76" s="97">
        <v>0</v>
      </c>
      <c r="II76" s="97">
        <v>0</v>
      </c>
      <c r="IJ76" s="97">
        <v>111036</v>
      </c>
      <c r="IK76" s="97">
        <v>7982</v>
      </c>
      <c r="IL76" s="97">
        <v>12271</v>
      </c>
      <c r="IM76" s="97">
        <v>487337</v>
      </c>
      <c r="IN76" s="97">
        <v>0</v>
      </c>
      <c r="IO76" s="97">
        <v>618626</v>
      </c>
      <c r="IP76" s="97">
        <v>16320</v>
      </c>
      <c r="IQ76" s="97">
        <v>4150</v>
      </c>
      <c r="IR76" s="97">
        <v>2545</v>
      </c>
      <c r="IS76" s="97">
        <v>68600</v>
      </c>
      <c r="IT76" s="97">
        <v>29302</v>
      </c>
      <c r="IU76" s="97">
        <v>120917</v>
      </c>
      <c r="IV76" s="97">
        <v>2297861</v>
      </c>
      <c r="IW76" s="97">
        <v>584118</v>
      </c>
      <c r="IX76" s="97">
        <v>617366</v>
      </c>
      <c r="IY76" s="97">
        <v>3696780</v>
      </c>
      <c r="IZ76" s="97">
        <v>6569048</v>
      </c>
      <c r="JA76" s="97">
        <v>13765173</v>
      </c>
      <c r="JB76" s="97">
        <v>17929885</v>
      </c>
      <c r="JC76" s="97">
        <v>5855030</v>
      </c>
      <c r="JD76" s="97">
        <v>4831244</v>
      </c>
      <c r="JE76" s="97">
        <f>39379659+24787351-JB76-JC76-JD76</f>
        <v>35550851</v>
      </c>
      <c r="JF76" s="97">
        <v>17625107</v>
      </c>
      <c r="JG76" s="97">
        <v>81792117</v>
      </c>
      <c r="JH76" s="97">
        <v>0</v>
      </c>
      <c r="JI76" s="97">
        <v>0</v>
      </c>
      <c r="JJ76" s="97">
        <v>0</v>
      </c>
      <c r="JK76" s="97">
        <v>0</v>
      </c>
      <c r="JL76" s="97">
        <v>0</v>
      </c>
      <c r="JM76" s="97">
        <v>0</v>
      </c>
      <c r="JN76" s="97">
        <v>17929885</v>
      </c>
      <c r="JO76" s="97">
        <v>5855030</v>
      </c>
      <c r="JP76" s="97">
        <v>4831244</v>
      </c>
      <c r="JQ76" s="97">
        <v>35550851</v>
      </c>
      <c r="JR76" s="97">
        <v>17625107</v>
      </c>
      <c r="JS76" s="97">
        <v>81792117</v>
      </c>
      <c r="JU76" s="5">
        <f t="shared" si="157"/>
        <v>35025740.530000001</v>
      </c>
      <c r="JV76" s="29">
        <f t="shared" si="158"/>
        <v>-0.5300000011920929</v>
      </c>
      <c r="JW76" s="5">
        <f t="shared" si="159"/>
        <v>0</v>
      </c>
      <c r="JX76" s="29">
        <f t="shared" si="160"/>
        <v>0</v>
      </c>
      <c r="JY76" s="5">
        <f t="shared" si="161"/>
        <v>62000</v>
      </c>
      <c r="JZ76" s="29">
        <f t="shared" si="162"/>
        <v>0</v>
      </c>
      <c r="KA76" s="5">
        <f t="shared" si="163"/>
        <v>53388377.969999999</v>
      </c>
      <c r="KB76" s="29">
        <f t="shared" si="164"/>
        <v>-0.9699999988079071</v>
      </c>
      <c r="KC76" s="5">
        <f t="shared" si="165"/>
        <v>0</v>
      </c>
      <c r="KD76" s="29">
        <f t="shared" si="166"/>
        <v>0</v>
      </c>
      <c r="KE76" s="5">
        <f t="shared" si="167"/>
        <v>0</v>
      </c>
      <c r="KF76" s="29">
        <f t="shared" si="168"/>
        <v>0</v>
      </c>
      <c r="KG76" s="5">
        <f t="shared" si="169"/>
        <v>5200000</v>
      </c>
      <c r="KH76" s="29">
        <f t="shared" si="170"/>
        <v>0</v>
      </c>
      <c r="KI76" s="5">
        <f t="shared" si="171"/>
        <v>0</v>
      </c>
      <c r="KJ76" s="29">
        <f t="shared" si="172"/>
        <v>0</v>
      </c>
      <c r="KK76" s="5">
        <f t="shared" si="173"/>
        <v>5379075</v>
      </c>
      <c r="KL76" s="29">
        <f t="shared" si="174"/>
        <v>0</v>
      </c>
      <c r="KM76" s="5">
        <f t="shared" si="175"/>
        <v>0</v>
      </c>
      <c r="KN76" s="29">
        <f t="shared" si="176"/>
        <v>0</v>
      </c>
      <c r="KO76" s="5">
        <f t="shared" si="177"/>
        <v>3594437</v>
      </c>
      <c r="KP76" s="29">
        <f t="shared" si="178"/>
        <v>0</v>
      </c>
      <c r="KQ76" s="5">
        <f t="shared" si="179"/>
        <v>10679288</v>
      </c>
      <c r="KR76" s="29">
        <f t="shared" si="180"/>
        <v>0</v>
      </c>
      <c r="KS76" s="5">
        <f t="shared" si="181"/>
        <v>4811643</v>
      </c>
      <c r="KT76" s="29">
        <f t="shared" si="182"/>
        <v>0</v>
      </c>
      <c r="KU76" s="5">
        <f t="shared" si="183"/>
        <v>236250</v>
      </c>
      <c r="KV76" s="29">
        <f t="shared" si="184"/>
        <v>0</v>
      </c>
      <c r="KW76" s="5">
        <f t="shared" si="185"/>
        <v>1325406</v>
      </c>
      <c r="KX76" s="29">
        <f t="shared" si="186"/>
        <v>0</v>
      </c>
      <c r="KY76" s="5">
        <f t="shared" si="187"/>
        <v>119702217.24000001</v>
      </c>
      <c r="KZ76" s="29">
        <f t="shared" si="188"/>
        <v>-0.24000000953674316</v>
      </c>
      <c r="LA76" s="5">
        <f t="shared" ref="LA76:LA92" si="230">SUM(ER76:EV76)</f>
        <v>7119495</v>
      </c>
      <c r="LB76" s="29">
        <f t="shared" ref="LB76:LB92" si="231">EW76-LA76</f>
        <v>0</v>
      </c>
      <c r="LC76" s="5">
        <f t="shared" ref="LC76:LC92" si="232">SUM(EX76:FB76)</f>
        <v>1802898</v>
      </c>
      <c r="LD76" s="29">
        <f t="shared" si="189"/>
        <v>0</v>
      </c>
      <c r="LE76" s="5">
        <f t="shared" si="190"/>
        <v>14288291</v>
      </c>
      <c r="LF76" s="29">
        <f t="shared" si="191"/>
        <v>0</v>
      </c>
      <c r="LG76" s="5">
        <f t="shared" si="192"/>
        <v>0</v>
      </c>
      <c r="LH76" s="29">
        <f t="shared" si="193"/>
        <v>0</v>
      </c>
      <c r="LI76" s="5">
        <f t="shared" si="194"/>
        <v>15489270</v>
      </c>
      <c r="LJ76" s="29">
        <f t="shared" si="195"/>
        <v>0</v>
      </c>
      <c r="LK76" s="5">
        <f t="shared" si="196"/>
        <v>0</v>
      </c>
      <c r="LL76" s="29">
        <f t="shared" si="197"/>
        <v>0</v>
      </c>
      <c r="LM76" s="5">
        <f t="shared" si="198"/>
        <v>2484151</v>
      </c>
      <c r="LN76" s="29">
        <f t="shared" si="199"/>
        <v>0</v>
      </c>
      <c r="LO76" s="5">
        <f t="shared" si="200"/>
        <v>1025081</v>
      </c>
      <c r="LP76" s="29">
        <f t="shared" si="201"/>
        <v>0</v>
      </c>
      <c r="LQ76" s="5">
        <f t="shared" si="202"/>
        <v>5669608</v>
      </c>
      <c r="LR76" s="29">
        <f t="shared" si="203"/>
        <v>0</v>
      </c>
      <c r="LS76" s="5">
        <f t="shared" si="204"/>
        <v>1939990</v>
      </c>
      <c r="LT76" s="29">
        <f t="shared" si="205"/>
        <v>0</v>
      </c>
      <c r="LU76" s="5">
        <f t="shared" si="206"/>
        <v>1633822</v>
      </c>
      <c r="LV76" s="29">
        <f t="shared" si="207"/>
        <v>0</v>
      </c>
      <c r="LW76" s="5">
        <f t="shared" si="208"/>
        <v>9825</v>
      </c>
      <c r="LX76" s="29">
        <f t="shared" si="209"/>
        <v>0</v>
      </c>
      <c r="LY76" s="5">
        <f t="shared" si="210"/>
        <v>3140829</v>
      </c>
      <c r="LZ76" s="29">
        <f t="shared" si="211"/>
        <v>0</v>
      </c>
      <c r="MA76" s="5">
        <f t="shared" si="212"/>
        <v>12525586</v>
      </c>
      <c r="MB76" s="29">
        <f t="shared" si="213"/>
        <v>0</v>
      </c>
      <c r="MC76" s="5">
        <f t="shared" si="214"/>
        <v>158555</v>
      </c>
      <c r="MD76" s="29">
        <f t="shared" si="215"/>
        <v>0</v>
      </c>
      <c r="ME76" s="5">
        <f t="shared" si="216"/>
        <v>0</v>
      </c>
      <c r="MF76" s="29">
        <f t="shared" si="217"/>
        <v>0</v>
      </c>
      <c r="MG76" s="5">
        <f t="shared" si="218"/>
        <v>618626</v>
      </c>
      <c r="MH76" s="29">
        <f t="shared" si="219"/>
        <v>0</v>
      </c>
      <c r="MI76" s="5">
        <f t="shared" si="220"/>
        <v>120917</v>
      </c>
      <c r="MJ76" s="29">
        <f t="shared" si="221"/>
        <v>0</v>
      </c>
      <c r="MK76" s="5">
        <f t="shared" si="222"/>
        <v>13765173</v>
      </c>
      <c r="ML76" s="29">
        <f t="shared" si="223"/>
        <v>0</v>
      </c>
      <c r="MM76" s="5">
        <f t="shared" si="224"/>
        <v>81792117</v>
      </c>
      <c r="MN76" s="29">
        <f t="shared" si="225"/>
        <v>0</v>
      </c>
      <c r="MO76" s="5">
        <f t="shared" si="226"/>
        <v>0</v>
      </c>
      <c r="MP76" s="29">
        <f t="shared" si="227"/>
        <v>0</v>
      </c>
      <c r="MQ76" s="5">
        <f t="shared" si="228"/>
        <v>81792117</v>
      </c>
      <c r="MR76" s="29">
        <f t="shared" si="229"/>
        <v>0</v>
      </c>
      <c r="MT76" s="5">
        <f t="shared" si="156"/>
        <v>-0.77000001072883606</v>
      </c>
      <c r="MV76" s="4">
        <f t="shared" si="155"/>
        <v>1</v>
      </c>
    </row>
    <row r="77" spans="1:371" x14ac:dyDescent="0.15">
      <c r="A77" s="42" t="s">
        <v>353</v>
      </c>
      <c r="B77" s="25" t="s">
        <v>463</v>
      </c>
      <c r="C77" s="48">
        <v>229115</v>
      </c>
      <c r="D77" s="48">
        <v>2012</v>
      </c>
      <c r="E77" s="49">
        <v>1</v>
      </c>
      <c r="F77" s="49">
        <v>2</v>
      </c>
      <c r="G77" s="50">
        <v>12941</v>
      </c>
      <c r="H77" s="50">
        <v>10482</v>
      </c>
      <c r="I77" s="51">
        <v>652204710</v>
      </c>
      <c r="J77" s="51"/>
      <c r="K77" s="51">
        <v>10182745</v>
      </c>
      <c r="L77" s="51"/>
      <c r="M77" s="51">
        <v>39758322</v>
      </c>
      <c r="N77" s="51"/>
      <c r="O77" s="51">
        <v>113420459</v>
      </c>
      <c r="P77" s="51"/>
      <c r="Q77" s="51">
        <v>360751407</v>
      </c>
      <c r="R77" s="51"/>
      <c r="S77" s="51"/>
      <c r="T77" s="51"/>
      <c r="U77" s="51">
        <v>18776</v>
      </c>
      <c r="V77" s="51"/>
      <c r="W77" s="51">
        <v>28166</v>
      </c>
      <c r="X77" s="51"/>
      <c r="Y77" s="51">
        <v>22437</v>
      </c>
      <c r="Z77" s="51"/>
      <c r="AA77" s="51">
        <v>31827</v>
      </c>
      <c r="AB77" s="51"/>
      <c r="AC77" s="74">
        <v>8</v>
      </c>
      <c r="AD77" s="74">
        <v>9</v>
      </c>
      <c r="AE77" s="74">
        <v>0</v>
      </c>
      <c r="AF77" s="29">
        <v>3539538</v>
      </c>
      <c r="AG77" s="29">
        <v>2141933</v>
      </c>
      <c r="AH77" s="29">
        <v>1057973</v>
      </c>
      <c r="AI77" s="29">
        <v>417174</v>
      </c>
      <c r="AJ77" s="29">
        <v>731683.27</v>
      </c>
      <c r="AK77" s="73">
        <v>5.5</v>
      </c>
      <c r="AL77" s="29">
        <v>670709.67000000004</v>
      </c>
      <c r="AM77" s="73">
        <v>6</v>
      </c>
      <c r="AN77" s="29">
        <v>255457.08</v>
      </c>
      <c r="AO77" s="73">
        <v>6.5</v>
      </c>
      <c r="AP77" s="29">
        <v>237210.14</v>
      </c>
      <c r="AQ77" s="73">
        <v>7</v>
      </c>
      <c r="AR77" s="29">
        <v>169295.08</v>
      </c>
      <c r="AS77" s="73">
        <v>18.5</v>
      </c>
      <c r="AT77" s="29">
        <v>149140.9</v>
      </c>
      <c r="AU77" s="73">
        <v>21</v>
      </c>
      <c r="AV77" s="29">
        <v>86850.59</v>
      </c>
      <c r="AW77" s="73">
        <v>13.5</v>
      </c>
      <c r="AX77" s="29">
        <v>73280.19</v>
      </c>
      <c r="AY77" s="73">
        <v>16</v>
      </c>
      <c r="AZ77" s="97">
        <v>12756765</v>
      </c>
      <c r="BA77" s="97">
        <v>834660</v>
      </c>
      <c r="BB77" s="97">
        <v>469710</v>
      </c>
      <c r="BC77" s="97">
        <v>232923</v>
      </c>
      <c r="BD77" s="97">
        <v>378897</v>
      </c>
      <c r="BE77" s="97">
        <v>14672955</v>
      </c>
      <c r="BF77" s="97">
        <v>1376990</v>
      </c>
      <c r="BG77" s="97">
        <v>688495</v>
      </c>
      <c r="BH77" s="97">
        <v>413097</v>
      </c>
      <c r="BI77" s="97">
        <v>275397</v>
      </c>
      <c r="BJ77" s="97">
        <v>0</v>
      </c>
      <c r="BK77" s="97">
        <v>2753979</v>
      </c>
      <c r="BL77" s="97">
        <v>100000</v>
      </c>
      <c r="BM77" s="97">
        <v>0</v>
      </c>
      <c r="BN77" s="97">
        <v>0</v>
      </c>
      <c r="BO77" s="97">
        <v>13600</v>
      </c>
      <c r="BP77" s="97">
        <v>0</v>
      </c>
      <c r="BQ77" s="97">
        <v>113600</v>
      </c>
      <c r="BR77" s="97">
        <v>9420671</v>
      </c>
      <c r="BS77" s="97">
        <v>1751674</v>
      </c>
      <c r="BT77" s="97">
        <v>1264750</v>
      </c>
      <c r="BU77" s="97">
        <v>1983705</v>
      </c>
      <c r="BV77" s="97">
        <v>6844929</v>
      </c>
      <c r="BW77" s="97">
        <v>21265729</v>
      </c>
      <c r="BX77" s="97">
        <v>0</v>
      </c>
      <c r="BY77" s="97">
        <v>0</v>
      </c>
      <c r="BZ77" s="97">
        <v>0</v>
      </c>
      <c r="CA77" s="97">
        <v>0</v>
      </c>
      <c r="CB77" s="97">
        <v>0</v>
      </c>
      <c r="CC77" s="97">
        <v>0</v>
      </c>
      <c r="CD77" s="97">
        <v>0</v>
      </c>
      <c r="CE77" s="97">
        <v>0</v>
      </c>
      <c r="CF77" s="97">
        <v>0</v>
      </c>
      <c r="CG77" s="97">
        <v>0</v>
      </c>
      <c r="CH77" s="97">
        <v>0</v>
      </c>
      <c r="CI77" s="97">
        <v>0</v>
      </c>
      <c r="CJ77" s="97">
        <v>0</v>
      </c>
      <c r="CK77" s="97">
        <v>0</v>
      </c>
      <c r="CL77" s="97">
        <v>0</v>
      </c>
      <c r="CM77" s="97">
        <v>0</v>
      </c>
      <c r="CN77" s="97">
        <v>1000000</v>
      </c>
      <c r="CO77" s="97">
        <v>1000000</v>
      </c>
      <c r="CP77" s="97">
        <v>0</v>
      </c>
      <c r="CQ77" s="97">
        <v>0</v>
      </c>
      <c r="CR77" s="97">
        <v>0</v>
      </c>
      <c r="CS77" s="97">
        <v>0</v>
      </c>
      <c r="CT77" s="97">
        <v>0</v>
      </c>
      <c r="CU77" s="97">
        <v>0</v>
      </c>
      <c r="CV77" s="97">
        <v>12424754</v>
      </c>
      <c r="CW77" s="97">
        <v>4421684</v>
      </c>
      <c r="CX77" s="97">
        <v>0</v>
      </c>
      <c r="CY77" s="97">
        <v>0</v>
      </c>
      <c r="CZ77" s="97">
        <v>2568824</v>
      </c>
      <c r="DA77" s="97">
        <v>19415262</v>
      </c>
      <c r="DB77" s="97">
        <v>0</v>
      </c>
      <c r="DC77" s="97">
        <v>0</v>
      </c>
      <c r="DD77" s="97">
        <v>0</v>
      </c>
      <c r="DE77" s="97">
        <v>0</v>
      </c>
      <c r="DF77" s="97">
        <v>0</v>
      </c>
      <c r="DG77" s="97">
        <v>0</v>
      </c>
      <c r="DH77" s="97">
        <v>793437</v>
      </c>
      <c r="DI77" s="97">
        <v>39674</v>
      </c>
      <c r="DJ77" s="97">
        <v>19954</v>
      </c>
      <c r="DK77" s="97">
        <v>60975</v>
      </c>
      <c r="DL77" s="97">
        <v>293911</v>
      </c>
      <c r="DM77" s="97">
        <v>1207951</v>
      </c>
      <c r="DN77" s="97">
        <v>69500</v>
      </c>
      <c r="DO77" s="97">
        <v>12963</v>
      </c>
      <c r="DP77" s="97">
        <v>24637</v>
      </c>
      <c r="DQ77" s="97">
        <v>56985</v>
      </c>
      <c r="DR77" s="97">
        <v>6474167</v>
      </c>
      <c r="DS77" s="97">
        <v>6638252</v>
      </c>
      <c r="DT77" s="97">
        <v>0</v>
      </c>
      <c r="DU77" s="97">
        <v>0</v>
      </c>
      <c r="DV77" s="97">
        <v>0</v>
      </c>
      <c r="DW77" s="97">
        <v>0</v>
      </c>
      <c r="DX77" s="97">
        <v>0</v>
      </c>
      <c r="DY77" s="97">
        <v>0</v>
      </c>
      <c r="DZ77" s="97">
        <v>63985</v>
      </c>
      <c r="EA77" s="97">
        <v>13905</v>
      </c>
      <c r="EB77" s="97">
        <v>27682</v>
      </c>
      <c r="EC77" s="97">
        <v>77697</v>
      </c>
      <c r="ED77" s="97">
        <v>66640</v>
      </c>
      <c r="EE77" s="97">
        <v>249909</v>
      </c>
      <c r="EF77" s="97">
        <v>0</v>
      </c>
      <c r="EG77" s="97">
        <v>4519</v>
      </c>
      <c r="EH77" s="97">
        <v>634</v>
      </c>
      <c r="EI77" s="97">
        <v>35915</v>
      </c>
      <c r="EJ77" s="97">
        <v>569645</v>
      </c>
      <c r="EK77" s="97">
        <v>610713</v>
      </c>
      <c r="EL77" s="97">
        <v>37006102</v>
      </c>
      <c r="EM77" s="97">
        <v>7767574</v>
      </c>
      <c r="EN77" s="97">
        <v>2220464</v>
      </c>
      <c r="EO77" s="97">
        <v>2737197</v>
      </c>
      <c r="EP77" s="97">
        <v>18197013</v>
      </c>
      <c r="EQ77" s="97">
        <v>67928350</v>
      </c>
      <c r="ER77" s="97">
        <v>2442774</v>
      </c>
      <c r="ES77" s="97">
        <v>333730</v>
      </c>
      <c r="ET77" s="97">
        <v>360459</v>
      </c>
      <c r="EU77" s="97">
        <v>2544508</v>
      </c>
      <c r="EV77" s="97">
        <v>6455</v>
      </c>
      <c r="EW77" s="97">
        <v>5687926</v>
      </c>
      <c r="EX77" s="97">
        <v>575000</v>
      </c>
      <c r="EY77" s="97">
        <v>382000</v>
      </c>
      <c r="EZ77" s="97">
        <v>119000</v>
      </c>
      <c r="FA77" s="97">
        <v>62000</v>
      </c>
      <c r="FB77" s="97">
        <v>0</v>
      </c>
      <c r="FC77" s="97">
        <v>1138000</v>
      </c>
      <c r="FD77" s="97">
        <v>4445946</v>
      </c>
      <c r="FE77" s="97">
        <v>1309514</v>
      </c>
      <c r="FF77" s="97">
        <v>1140191</v>
      </c>
      <c r="FG77" s="97">
        <v>3093520</v>
      </c>
      <c r="FH77" s="97">
        <v>0</v>
      </c>
      <c r="FI77" s="97">
        <v>9989171</v>
      </c>
      <c r="FJ77" s="97">
        <v>0</v>
      </c>
      <c r="FK77" s="97">
        <v>0</v>
      </c>
      <c r="FL77" s="97">
        <v>0</v>
      </c>
      <c r="FM77" s="97">
        <v>0</v>
      </c>
      <c r="FN77" s="97">
        <v>0</v>
      </c>
      <c r="FO77" s="97">
        <v>0</v>
      </c>
      <c r="FP77" s="97">
        <v>2257846</v>
      </c>
      <c r="FQ77" s="97">
        <v>650543</v>
      </c>
      <c r="FR77" s="97">
        <v>217644</v>
      </c>
      <c r="FS77" s="97">
        <v>456987</v>
      </c>
      <c r="FT77" s="97">
        <v>8666271</v>
      </c>
      <c r="FU77" s="97">
        <v>12249291</v>
      </c>
      <c r="FV77" s="97">
        <v>0</v>
      </c>
      <c r="FW77" s="97">
        <v>0</v>
      </c>
      <c r="FX77" s="97">
        <v>0</v>
      </c>
      <c r="FY77" s="97">
        <v>0</v>
      </c>
      <c r="FZ77" s="97">
        <v>0</v>
      </c>
      <c r="GA77" s="97">
        <v>0</v>
      </c>
      <c r="GB77" s="97">
        <v>100000</v>
      </c>
      <c r="GC77" s="97">
        <v>0</v>
      </c>
      <c r="GD77" s="97">
        <v>0</v>
      </c>
      <c r="GE77" s="97">
        <v>680900</v>
      </c>
      <c r="GF77" s="97">
        <v>0</v>
      </c>
      <c r="GG77" s="97">
        <v>780900</v>
      </c>
      <c r="GH77" s="97">
        <v>635135</v>
      </c>
      <c r="GI77" s="97">
        <v>215879</v>
      </c>
      <c r="GJ77" s="97">
        <v>141030</v>
      </c>
      <c r="GK77" s="97">
        <v>483103</v>
      </c>
      <c r="GL77" s="97">
        <v>0</v>
      </c>
      <c r="GM77" s="97">
        <v>1475147</v>
      </c>
      <c r="GN77" s="97">
        <v>697266</v>
      </c>
      <c r="GO77" s="97">
        <v>678315</v>
      </c>
      <c r="GP77" s="97">
        <v>515461</v>
      </c>
      <c r="GQ77" s="97">
        <v>1799799</v>
      </c>
      <c r="GR77" s="97">
        <v>0</v>
      </c>
      <c r="GS77" s="97">
        <v>3690841</v>
      </c>
      <c r="GT77" s="97">
        <v>1080476</v>
      </c>
      <c r="GU77" s="97">
        <v>96010</v>
      </c>
      <c r="GV77" s="97">
        <v>35003</v>
      </c>
      <c r="GW77" s="97">
        <v>395316</v>
      </c>
      <c r="GX77" s="97">
        <v>7251</v>
      </c>
      <c r="GY77" s="97">
        <v>1614056</v>
      </c>
      <c r="GZ77" s="97">
        <v>1364838</v>
      </c>
      <c r="HA77" s="97">
        <v>333556</v>
      </c>
      <c r="HB77" s="97">
        <v>387910</v>
      </c>
      <c r="HC77" s="97">
        <v>417788</v>
      </c>
      <c r="HD77" s="97">
        <v>59405</v>
      </c>
      <c r="HE77" s="97">
        <v>2563497</v>
      </c>
      <c r="HF77" s="97">
        <v>27497</v>
      </c>
      <c r="HG77" s="97">
        <v>49117</v>
      </c>
      <c r="HH77" s="97">
        <v>10848</v>
      </c>
      <c r="HI77" s="97">
        <v>32746</v>
      </c>
      <c r="HJ77" s="97">
        <v>1326689</v>
      </c>
      <c r="HK77" s="97">
        <v>1446897</v>
      </c>
      <c r="HL77" s="97">
        <v>0</v>
      </c>
      <c r="HM77" s="97">
        <v>0</v>
      </c>
      <c r="HN77" s="97">
        <v>0</v>
      </c>
      <c r="HO77" s="97">
        <v>0</v>
      </c>
      <c r="HP77" s="97">
        <v>0</v>
      </c>
      <c r="HQ77" s="97">
        <v>0</v>
      </c>
      <c r="HR77" s="97">
        <v>8683114</v>
      </c>
      <c r="HS77" s="97">
        <v>1354318</v>
      </c>
      <c r="HT77" s="97">
        <v>1346642</v>
      </c>
      <c r="HU77" s="97">
        <v>1848126</v>
      </c>
      <c r="HV77" s="97">
        <v>3337382</v>
      </c>
      <c r="HW77" s="97">
        <v>16569582</v>
      </c>
      <c r="HX77" s="97">
        <v>0</v>
      </c>
      <c r="HY77" s="97">
        <v>0</v>
      </c>
      <c r="HZ77" s="97">
        <v>0</v>
      </c>
      <c r="IA77" s="97">
        <v>0</v>
      </c>
      <c r="IB77" s="97">
        <v>43729</v>
      </c>
      <c r="IC77" s="97">
        <v>43729</v>
      </c>
      <c r="ID77" s="97">
        <v>0</v>
      </c>
      <c r="IE77" s="97">
        <v>0</v>
      </c>
      <c r="IF77" s="97">
        <v>0</v>
      </c>
      <c r="IG77" s="97">
        <v>0</v>
      </c>
      <c r="IH77" s="97">
        <v>0</v>
      </c>
      <c r="II77" s="97">
        <v>0</v>
      </c>
      <c r="IJ77" s="97">
        <v>47419</v>
      </c>
      <c r="IK77" s="97">
        <v>4870</v>
      </c>
      <c r="IL77" s="97">
        <v>14052</v>
      </c>
      <c r="IM77" s="97">
        <v>91744</v>
      </c>
      <c r="IN77" s="97">
        <v>810939</v>
      </c>
      <c r="IO77" s="97">
        <v>969024</v>
      </c>
      <c r="IP77" s="97">
        <v>13250</v>
      </c>
      <c r="IQ77" s="97">
        <v>6193</v>
      </c>
      <c r="IR77" s="97">
        <v>1863</v>
      </c>
      <c r="IS77" s="97">
        <v>10449</v>
      </c>
      <c r="IT77" s="97">
        <v>26845</v>
      </c>
      <c r="IU77" s="97">
        <v>58600</v>
      </c>
      <c r="IV77" s="97">
        <v>358286</v>
      </c>
      <c r="IW77" s="97">
        <v>120086</v>
      </c>
      <c r="IX77" s="97">
        <v>89587</v>
      </c>
      <c r="IY77" s="97">
        <v>219111</v>
      </c>
      <c r="IZ77" s="97">
        <v>1283105</v>
      </c>
      <c r="JA77" s="97">
        <v>2070175</v>
      </c>
      <c r="JB77" s="97">
        <v>22728847</v>
      </c>
      <c r="JC77" s="97">
        <v>5534131</v>
      </c>
      <c r="JD77" s="97">
        <v>4379690</v>
      </c>
      <c r="JE77" s="97">
        <v>12136097</v>
      </c>
      <c r="JF77" s="97">
        <v>15568071</v>
      </c>
      <c r="JG77" s="97">
        <v>60346836</v>
      </c>
      <c r="JH77" s="97">
        <v>0</v>
      </c>
      <c r="JI77" s="97">
        <v>0</v>
      </c>
      <c r="JJ77" s="97">
        <v>0</v>
      </c>
      <c r="JK77" s="97">
        <v>0</v>
      </c>
      <c r="JL77" s="97">
        <v>0</v>
      </c>
      <c r="JM77" s="97">
        <v>0</v>
      </c>
      <c r="JN77" s="97">
        <v>22728847</v>
      </c>
      <c r="JO77" s="97">
        <v>5534131</v>
      </c>
      <c r="JP77" s="97">
        <v>4379690</v>
      </c>
      <c r="JQ77" s="97">
        <v>12136097</v>
      </c>
      <c r="JR77" s="97">
        <v>15568071</v>
      </c>
      <c r="JS77" s="97">
        <v>60346836</v>
      </c>
      <c r="JU77" s="5">
        <f t="shared" si="157"/>
        <v>14672955</v>
      </c>
      <c r="JV77" s="29">
        <f t="shared" si="158"/>
        <v>0</v>
      </c>
      <c r="JW77" s="5">
        <f t="shared" si="159"/>
        <v>2753979</v>
      </c>
      <c r="JX77" s="29">
        <f t="shared" si="160"/>
        <v>0</v>
      </c>
      <c r="JY77" s="5">
        <f t="shared" si="161"/>
        <v>113600</v>
      </c>
      <c r="JZ77" s="29">
        <f t="shared" si="162"/>
        <v>0</v>
      </c>
      <c r="KA77" s="5">
        <f t="shared" si="163"/>
        <v>21265729</v>
      </c>
      <c r="KB77" s="29">
        <f t="shared" si="164"/>
        <v>0</v>
      </c>
      <c r="KC77" s="5">
        <f t="shared" si="165"/>
        <v>0</v>
      </c>
      <c r="KD77" s="29">
        <f t="shared" si="166"/>
        <v>0</v>
      </c>
      <c r="KE77" s="5">
        <f t="shared" si="167"/>
        <v>0</v>
      </c>
      <c r="KF77" s="29">
        <f t="shared" si="168"/>
        <v>0</v>
      </c>
      <c r="KG77" s="5">
        <f t="shared" si="169"/>
        <v>1000000</v>
      </c>
      <c r="KH77" s="29">
        <f t="shared" si="170"/>
        <v>0</v>
      </c>
      <c r="KI77" s="5">
        <f t="shared" si="171"/>
        <v>0</v>
      </c>
      <c r="KJ77" s="29">
        <f t="shared" si="172"/>
        <v>0</v>
      </c>
      <c r="KK77" s="5">
        <f t="shared" si="173"/>
        <v>19415262</v>
      </c>
      <c r="KL77" s="29">
        <f t="shared" si="174"/>
        <v>0</v>
      </c>
      <c r="KM77" s="5">
        <f t="shared" si="175"/>
        <v>0</v>
      </c>
      <c r="KN77" s="29">
        <f t="shared" si="176"/>
        <v>0</v>
      </c>
      <c r="KO77" s="5">
        <f t="shared" si="177"/>
        <v>1207951</v>
      </c>
      <c r="KP77" s="29">
        <f t="shared" si="178"/>
        <v>0</v>
      </c>
      <c r="KQ77" s="5">
        <f t="shared" si="179"/>
        <v>6638252</v>
      </c>
      <c r="KR77" s="29">
        <f t="shared" si="180"/>
        <v>0</v>
      </c>
      <c r="KS77" s="5">
        <f t="shared" si="181"/>
        <v>0</v>
      </c>
      <c r="KT77" s="29">
        <f t="shared" si="182"/>
        <v>0</v>
      </c>
      <c r="KU77" s="5">
        <f t="shared" si="183"/>
        <v>249909</v>
      </c>
      <c r="KV77" s="29">
        <f t="shared" si="184"/>
        <v>0</v>
      </c>
      <c r="KW77" s="5">
        <f t="shared" si="185"/>
        <v>610713</v>
      </c>
      <c r="KX77" s="29">
        <f t="shared" si="186"/>
        <v>0</v>
      </c>
      <c r="KY77" s="5">
        <f t="shared" si="187"/>
        <v>67928350</v>
      </c>
      <c r="KZ77" s="29">
        <f t="shared" si="188"/>
        <v>0</v>
      </c>
      <c r="LA77" s="5">
        <f t="shared" si="230"/>
        <v>5687926</v>
      </c>
      <c r="LB77" s="29">
        <f t="shared" si="231"/>
        <v>0</v>
      </c>
      <c r="LC77" s="5">
        <f t="shared" si="232"/>
        <v>1138000</v>
      </c>
      <c r="LD77" s="29">
        <f t="shared" si="189"/>
        <v>0</v>
      </c>
      <c r="LE77" s="5">
        <f t="shared" si="190"/>
        <v>9989171</v>
      </c>
      <c r="LF77" s="29">
        <f t="shared" si="191"/>
        <v>0</v>
      </c>
      <c r="LG77" s="5">
        <f t="shared" si="192"/>
        <v>0</v>
      </c>
      <c r="LH77" s="29">
        <f t="shared" si="193"/>
        <v>0</v>
      </c>
      <c r="LI77" s="5">
        <f t="shared" si="194"/>
        <v>12249291</v>
      </c>
      <c r="LJ77" s="29">
        <f t="shared" si="195"/>
        <v>0</v>
      </c>
      <c r="LK77" s="5">
        <f t="shared" si="196"/>
        <v>0</v>
      </c>
      <c r="LL77" s="29">
        <f t="shared" si="197"/>
        <v>0</v>
      </c>
      <c r="LM77" s="5">
        <f t="shared" si="198"/>
        <v>780900</v>
      </c>
      <c r="LN77" s="29">
        <f t="shared" si="199"/>
        <v>0</v>
      </c>
      <c r="LO77" s="5">
        <f t="shared" si="200"/>
        <v>1475147</v>
      </c>
      <c r="LP77" s="29">
        <f t="shared" si="201"/>
        <v>0</v>
      </c>
      <c r="LQ77" s="5">
        <f t="shared" si="202"/>
        <v>3690841</v>
      </c>
      <c r="LR77" s="29">
        <f t="shared" si="203"/>
        <v>0</v>
      </c>
      <c r="LS77" s="5">
        <f t="shared" si="204"/>
        <v>1614056</v>
      </c>
      <c r="LT77" s="29">
        <f t="shared" si="205"/>
        <v>0</v>
      </c>
      <c r="LU77" s="5">
        <f t="shared" si="206"/>
        <v>2563497</v>
      </c>
      <c r="LV77" s="29">
        <f t="shared" si="207"/>
        <v>0</v>
      </c>
      <c r="LW77" s="5">
        <f t="shared" si="208"/>
        <v>1446897</v>
      </c>
      <c r="LX77" s="29">
        <f t="shared" si="209"/>
        <v>0</v>
      </c>
      <c r="LY77" s="5">
        <f t="shared" si="210"/>
        <v>0</v>
      </c>
      <c r="LZ77" s="29">
        <f t="shared" si="211"/>
        <v>0</v>
      </c>
      <c r="MA77" s="5">
        <f t="shared" si="212"/>
        <v>16569582</v>
      </c>
      <c r="MB77" s="29">
        <f t="shared" si="213"/>
        <v>0</v>
      </c>
      <c r="MC77" s="5">
        <f t="shared" si="214"/>
        <v>43729</v>
      </c>
      <c r="MD77" s="29">
        <f t="shared" si="215"/>
        <v>0</v>
      </c>
      <c r="ME77" s="5">
        <f t="shared" si="216"/>
        <v>0</v>
      </c>
      <c r="MF77" s="29">
        <f t="shared" si="217"/>
        <v>0</v>
      </c>
      <c r="MG77" s="5">
        <f t="shared" si="218"/>
        <v>969024</v>
      </c>
      <c r="MH77" s="29">
        <f t="shared" si="219"/>
        <v>0</v>
      </c>
      <c r="MI77" s="5">
        <f t="shared" si="220"/>
        <v>58600</v>
      </c>
      <c r="MJ77" s="29">
        <f t="shared" si="221"/>
        <v>0</v>
      </c>
      <c r="MK77" s="5">
        <f t="shared" si="222"/>
        <v>2070175</v>
      </c>
      <c r="ML77" s="29">
        <f t="shared" si="223"/>
        <v>0</v>
      </c>
      <c r="MM77" s="5">
        <f t="shared" si="224"/>
        <v>60346836</v>
      </c>
      <c r="MN77" s="29">
        <f t="shared" si="225"/>
        <v>0</v>
      </c>
      <c r="MO77" s="5">
        <f t="shared" si="226"/>
        <v>0</v>
      </c>
      <c r="MP77" s="29">
        <f t="shared" si="227"/>
        <v>0</v>
      </c>
      <c r="MQ77" s="5">
        <f t="shared" si="228"/>
        <v>60346836</v>
      </c>
      <c r="MR77" s="29">
        <f t="shared" si="229"/>
        <v>0</v>
      </c>
      <c r="MT77" s="5">
        <f t="shared" si="156"/>
        <v>0</v>
      </c>
      <c r="MV77" s="4">
        <f t="shared" si="155"/>
        <v>0</v>
      </c>
    </row>
    <row r="78" spans="1:371" x14ac:dyDescent="0.15">
      <c r="A78" s="158" t="s">
        <v>354</v>
      </c>
      <c r="B78" s="28" t="s">
        <v>462</v>
      </c>
      <c r="C78" s="47">
        <v>206084</v>
      </c>
      <c r="D78" s="48">
        <v>2012</v>
      </c>
      <c r="E78" s="49">
        <v>1</v>
      </c>
      <c r="F78" s="65">
        <v>9</v>
      </c>
      <c r="G78" s="50">
        <v>7361</v>
      </c>
      <c r="H78" s="66">
        <v>7104</v>
      </c>
      <c r="I78" s="67">
        <v>855817000</v>
      </c>
      <c r="J78" s="67"/>
      <c r="K78" s="67"/>
      <c r="L78" s="67"/>
      <c r="M78" s="67"/>
      <c r="N78" s="67"/>
      <c r="O78" s="67"/>
      <c r="P78" s="67"/>
      <c r="Q78" s="67"/>
      <c r="R78" s="51"/>
      <c r="S78" s="67">
        <v>488605000</v>
      </c>
      <c r="T78" s="67"/>
      <c r="U78" s="67">
        <v>19001</v>
      </c>
      <c r="V78" s="67"/>
      <c r="W78" s="67">
        <v>28121</v>
      </c>
      <c r="X78" s="67"/>
      <c r="Y78" s="67">
        <v>23152</v>
      </c>
      <c r="Z78" s="67"/>
      <c r="AA78" s="67">
        <v>32272</v>
      </c>
      <c r="AB78" s="67"/>
      <c r="AC78" s="90">
        <v>6</v>
      </c>
      <c r="AD78" s="90">
        <v>10</v>
      </c>
      <c r="AE78" s="90">
        <v>0</v>
      </c>
      <c r="AF78" s="91">
        <v>3675170</v>
      </c>
      <c r="AG78" s="91">
        <v>2846142</v>
      </c>
      <c r="AH78" s="91">
        <v>339852</v>
      </c>
      <c r="AI78" s="91">
        <v>122439</v>
      </c>
      <c r="AJ78" s="91">
        <v>261271.45454545456</v>
      </c>
      <c r="AK78" s="92">
        <v>5.5</v>
      </c>
      <c r="AL78" s="91">
        <v>239498.83333333334</v>
      </c>
      <c r="AM78" s="92">
        <v>6</v>
      </c>
      <c r="AN78" s="91">
        <v>128241.46666666666</v>
      </c>
      <c r="AO78" s="92">
        <v>7.5</v>
      </c>
      <c r="AP78" s="91">
        <v>120226.375</v>
      </c>
      <c r="AQ78" s="92">
        <v>8</v>
      </c>
      <c r="AR78" s="91">
        <v>127052.37037037036</v>
      </c>
      <c r="AS78" s="92">
        <v>13.5</v>
      </c>
      <c r="AT78" s="91">
        <v>122514.78571428571</v>
      </c>
      <c r="AU78" s="92">
        <v>14</v>
      </c>
      <c r="AV78" s="91">
        <v>65617.475728155332</v>
      </c>
      <c r="AW78" s="92">
        <v>10.3</v>
      </c>
      <c r="AX78" s="91">
        <v>61441.818181818184</v>
      </c>
      <c r="AY78" s="92">
        <v>11</v>
      </c>
      <c r="AZ78" s="98">
        <v>1117420</v>
      </c>
      <c r="BA78" s="98">
        <v>384702</v>
      </c>
      <c r="BB78" s="98">
        <v>187201</v>
      </c>
      <c r="BC78" s="98">
        <v>12508</v>
      </c>
      <c r="BD78" s="98">
        <v>271207</v>
      </c>
      <c r="BE78" s="98">
        <v>1973038</v>
      </c>
      <c r="BF78" s="98">
        <v>0</v>
      </c>
      <c r="BG78" s="98">
        <v>0</v>
      </c>
      <c r="BH78" s="98">
        <v>0</v>
      </c>
      <c r="BI78" s="98">
        <v>0</v>
      </c>
      <c r="BJ78" s="98">
        <v>11168746</v>
      </c>
      <c r="BK78" s="98">
        <v>11168746</v>
      </c>
      <c r="BL78" s="98">
        <v>475000</v>
      </c>
      <c r="BM78" s="98">
        <v>0</v>
      </c>
      <c r="BN78" s="98">
        <v>10000</v>
      </c>
      <c r="BO78" s="98">
        <v>22400</v>
      </c>
      <c r="BP78" s="98">
        <v>0</v>
      </c>
      <c r="BQ78" s="98">
        <v>507400</v>
      </c>
      <c r="BR78" s="98">
        <v>0</v>
      </c>
      <c r="BS78" s="98">
        <v>0</v>
      </c>
      <c r="BT78" s="98">
        <v>0</v>
      </c>
      <c r="BU78" s="98">
        <v>0</v>
      </c>
      <c r="BV78" s="98">
        <v>3333849</v>
      </c>
      <c r="BW78" s="98">
        <v>3333849</v>
      </c>
      <c r="BX78" s="98">
        <v>0</v>
      </c>
      <c r="BY78" s="98">
        <v>0</v>
      </c>
      <c r="BZ78" s="98">
        <v>0</v>
      </c>
      <c r="CA78" s="98">
        <v>0</v>
      </c>
      <c r="CB78" s="98">
        <v>0</v>
      </c>
      <c r="CC78" s="98">
        <v>0</v>
      </c>
      <c r="CD78" s="98">
        <v>0</v>
      </c>
      <c r="CE78" s="98">
        <v>0</v>
      </c>
      <c r="CF78" s="98">
        <v>0</v>
      </c>
      <c r="CG78" s="98">
        <v>0</v>
      </c>
      <c r="CH78" s="98">
        <v>0</v>
      </c>
      <c r="CI78" s="98">
        <v>0</v>
      </c>
      <c r="CJ78" s="98">
        <v>0</v>
      </c>
      <c r="CK78" s="98">
        <v>0</v>
      </c>
      <c r="CL78" s="98">
        <v>0</v>
      </c>
      <c r="CM78" s="98">
        <v>0</v>
      </c>
      <c r="CN78" s="98">
        <v>0</v>
      </c>
      <c r="CO78" s="98">
        <v>0</v>
      </c>
      <c r="CP78" s="98">
        <v>0</v>
      </c>
      <c r="CQ78" s="98">
        <v>0</v>
      </c>
      <c r="CR78" s="98">
        <v>0</v>
      </c>
      <c r="CS78" s="98">
        <v>0</v>
      </c>
      <c r="CT78" s="98">
        <v>0</v>
      </c>
      <c r="CU78" s="98">
        <v>0</v>
      </c>
      <c r="CV78" s="98">
        <v>0</v>
      </c>
      <c r="CW78" s="98">
        <v>0</v>
      </c>
      <c r="CX78" s="98">
        <v>0</v>
      </c>
      <c r="CY78" s="98">
        <v>0</v>
      </c>
      <c r="CZ78" s="98">
        <v>1429248</v>
      </c>
      <c r="DA78" s="98">
        <v>1429248</v>
      </c>
      <c r="DB78" s="98">
        <v>0</v>
      </c>
      <c r="DC78" s="98">
        <v>0</v>
      </c>
      <c r="DD78" s="98">
        <v>0</v>
      </c>
      <c r="DE78" s="98">
        <v>0</v>
      </c>
      <c r="DF78" s="98">
        <v>0</v>
      </c>
      <c r="DG78" s="98">
        <v>0</v>
      </c>
      <c r="DH78" s="98">
        <v>9959</v>
      </c>
      <c r="DI78" s="98">
        <v>2265</v>
      </c>
      <c r="DJ78" s="98">
        <v>0</v>
      </c>
      <c r="DK78" s="98">
        <v>0</v>
      </c>
      <c r="DL78" s="98">
        <v>40127</v>
      </c>
      <c r="DM78" s="98">
        <v>52351</v>
      </c>
      <c r="DN78" s="98">
        <v>2276</v>
      </c>
      <c r="DO78" s="98">
        <v>0</v>
      </c>
      <c r="DP78" s="98">
        <v>0</v>
      </c>
      <c r="DQ78" s="98">
        <v>0</v>
      </c>
      <c r="DR78" s="98">
        <v>1653917</v>
      </c>
      <c r="DS78" s="98">
        <v>1656193</v>
      </c>
      <c r="DT78" s="98">
        <v>54820</v>
      </c>
      <c r="DU78" s="98">
        <v>33232</v>
      </c>
      <c r="DV78" s="98">
        <v>46013</v>
      </c>
      <c r="DW78" s="98">
        <v>104098</v>
      </c>
      <c r="DX78" s="98">
        <v>0</v>
      </c>
      <c r="DY78" s="98">
        <v>238163</v>
      </c>
      <c r="DZ78" s="98">
        <v>0</v>
      </c>
      <c r="EA78" s="98">
        <v>0</v>
      </c>
      <c r="EB78" s="98">
        <v>0</v>
      </c>
      <c r="EC78" s="98">
        <v>0</v>
      </c>
      <c r="ED78" s="98">
        <v>0</v>
      </c>
      <c r="EE78" s="98">
        <v>0</v>
      </c>
      <c r="EF78" s="98">
        <v>200434</v>
      </c>
      <c r="EG78" s="98">
        <v>46939</v>
      </c>
      <c r="EH78" s="98">
        <v>37303</v>
      </c>
      <c r="EI78" s="98">
        <v>0</v>
      </c>
      <c r="EJ78" s="98">
        <v>622209</v>
      </c>
      <c r="EK78" s="98">
        <v>906885</v>
      </c>
      <c r="EL78" s="98">
        <v>1859909</v>
      </c>
      <c r="EM78" s="98">
        <v>467138</v>
      </c>
      <c r="EN78" s="98">
        <v>403618</v>
      </c>
      <c r="EO78" s="98">
        <v>139006</v>
      </c>
      <c r="EP78" s="98">
        <v>18396202</v>
      </c>
      <c r="EQ78" s="98">
        <v>21265873</v>
      </c>
      <c r="ER78" s="98">
        <v>2474069</v>
      </c>
      <c r="ES78" s="98">
        <v>427561</v>
      </c>
      <c r="ET78" s="98">
        <v>418414</v>
      </c>
      <c r="EU78" s="98">
        <v>3201267</v>
      </c>
      <c r="EV78" s="98">
        <v>349693</v>
      </c>
      <c r="EW78" s="98">
        <v>6871004</v>
      </c>
      <c r="EX78" s="98">
        <v>645000</v>
      </c>
      <c r="EY78" s="98">
        <v>0</v>
      </c>
      <c r="EZ78" s="98">
        <v>0</v>
      </c>
      <c r="FA78" s="98">
        <v>1000</v>
      </c>
      <c r="FB78" s="98">
        <v>125570</v>
      </c>
      <c r="FC78" s="98">
        <v>771570</v>
      </c>
      <c r="FD78" s="98">
        <v>1896099</v>
      </c>
      <c r="FE78" s="98">
        <v>898658</v>
      </c>
      <c r="FF78" s="98">
        <v>758087</v>
      </c>
      <c r="FG78" s="98">
        <v>1237027</v>
      </c>
      <c r="FH78" s="98">
        <v>0</v>
      </c>
      <c r="FI78" s="98">
        <v>4789871</v>
      </c>
      <c r="FJ78" s="98">
        <v>0</v>
      </c>
      <c r="FK78" s="98">
        <v>0</v>
      </c>
      <c r="FL78" s="98">
        <v>0</v>
      </c>
      <c r="FM78" s="98">
        <v>0</v>
      </c>
      <c r="FN78" s="98">
        <v>0</v>
      </c>
      <c r="FO78" s="98">
        <v>0</v>
      </c>
      <c r="FP78" s="98">
        <v>316978</v>
      </c>
      <c r="FQ78" s="98">
        <v>44893</v>
      </c>
      <c r="FR78" s="98">
        <v>42304</v>
      </c>
      <c r="FS78" s="98">
        <v>0</v>
      </c>
      <c r="FT78" s="98">
        <v>2073858</v>
      </c>
      <c r="FU78" s="98">
        <v>2478033</v>
      </c>
      <c r="FV78" s="98">
        <v>0</v>
      </c>
      <c r="FW78" s="98">
        <v>0</v>
      </c>
      <c r="FX78" s="98">
        <v>0</v>
      </c>
      <c r="FY78" s="98">
        <v>0</v>
      </c>
      <c r="FZ78" s="98">
        <v>0</v>
      </c>
      <c r="GA78" s="98">
        <v>0</v>
      </c>
      <c r="GB78" s="98">
        <v>0</v>
      </c>
      <c r="GC78" s="98">
        <v>0</v>
      </c>
      <c r="GD78" s="98">
        <v>0</v>
      </c>
      <c r="GE78" s="98">
        <v>0</v>
      </c>
      <c r="GF78" s="98">
        <v>0</v>
      </c>
      <c r="GG78" s="98">
        <v>0</v>
      </c>
      <c r="GH78" s="98">
        <v>265711</v>
      </c>
      <c r="GI78" s="98">
        <v>59895</v>
      </c>
      <c r="GJ78" s="98">
        <v>58137</v>
      </c>
      <c r="GK78" s="98">
        <v>78548</v>
      </c>
      <c r="GL78" s="98">
        <v>1890</v>
      </c>
      <c r="GM78" s="98">
        <v>464181</v>
      </c>
      <c r="GN78" s="98">
        <v>750501</v>
      </c>
      <c r="GO78" s="98">
        <v>117830</v>
      </c>
      <c r="GP78" s="98">
        <v>236711</v>
      </c>
      <c r="GQ78" s="98">
        <v>509677</v>
      </c>
      <c r="GR78" s="98">
        <v>219242</v>
      </c>
      <c r="GS78" s="98">
        <v>1833961</v>
      </c>
      <c r="GT78" s="98">
        <v>302979</v>
      </c>
      <c r="GU78" s="98">
        <v>63641</v>
      </c>
      <c r="GV78" s="98">
        <v>50262</v>
      </c>
      <c r="GW78" s="98">
        <v>329934</v>
      </c>
      <c r="GX78" s="98">
        <v>278520</v>
      </c>
      <c r="GY78" s="98">
        <v>1025336</v>
      </c>
      <c r="GZ78" s="98">
        <v>365046</v>
      </c>
      <c r="HA78" s="97">
        <v>205358</v>
      </c>
      <c r="HB78" s="98">
        <v>88076</v>
      </c>
      <c r="HC78" s="98">
        <v>67963</v>
      </c>
      <c r="HD78" s="98">
        <v>67388</v>
      </c>
      <c r="HE78" s="98">
        <v>793831</v>
      </c>
      <c r="HF78" s="98">
        <v>0</v>
      </c>
      <c r="HG78" s="98">
        <v>0</v>
      </c>
      <c r="HH78" s="98">
        <v>0</v>
      </c>
      <c r="HI78" s="98">
        <v>6409</v>
      </c>
      <c r="HJ78" s="98">
        <v>863084</v>
      </c>
      <c r="HK78" s="98">
        <v>869493</v>
      </c>
      <c r="HL78" s="98">
        <v>38526</v>
      </c>
      <c r="HM78" s="98">
        <v>13970</v>
      </c>
      <c r="HN78" s="98">
        <v>33962</v>
      </c>
      <c r="HO78" s="98">
        <v>77583</v>
      </c>
      <c r="HP78" s="98">
        <v>0</v>
      </c>
      <c r="HQ78" s="98">
        <v>164041</v>
      </c>
      <c r="HR78" s="98">
        <v>0</v>
      </c>
      <c r="HS78" s="98">
        <v>0</v>
      </c>
      <c r="HT78" s="98">
        <v>0</v>
      </c>
      <c r="HU78" s="98">
        <v>0</v>
      </c>
      <c r="HV78" s="98">
        <v>0</v>
      </c>
      <c r="HW78" s="98">
        <v>0</v>
      </c>
      <c r="HX78" s="98">
        <v>0</v>
      </c>
      <c r="HY78" s="98">
        <v>0</v>
      </c>
      <c r="HZ78" s="98">
        <v>0</v>
      </c>
      <c r="IA78" s="98">
        <v>0</v>
      </c>
      <c r="IB78" s="98">
        <v>54640</v>
      </c>
      <c r="IC78" s="98">
        <v>54640</v>
      </c>
      <c r="ID78" s="98">
        <v>0</v>
      </c>
      <c r="IE78" s="98">
        <v>0</v>
      </c>
      <c r="IF78" s="98">
        <v>0</v>
      </c>
      <c r="IG78" s="98">
        <v>0</v>
      </c>
      <c r="IH78" s="98">
        <v>0</v>
      </c>
      <c r="II78" s="98">
        <v>0</v>
      </c>
      <c r="IJ78" s="98">
        <v>0</v>
      </c>
      <c r="IK78" s="98">
        <v>0</v>
      </c>
      <c r="IL78" s="98">
        <v>916</v>
      </c>
      <c r="IM78" s="98">
        <v>0</v>
      </c>
      <c r="IN78" s="98">
        <v>246387</v>
      </c>
      <c r="IO78" s="98">
        <v>247303</v>
      </c>
      <c r="IP78" s="98">
        <v>152500</v>
      </c>
      <c r="IQ78" s="98">
        <v>830</v>
      </c>
      <c r="IR78" s="98">
        <v>3230</v>
      </c>
      <c r="IS78" s="98">
        <v>3719</v>
      </c>
      <c r="IT78" s="98">
        <v>120919</v>
      </c>
      <c r="IU78" s="98">
        <v>281198</v>
      </c>
      <c r="IV78" s="98">
        <v>249772</v>
      </c>
      <c r="IW78" s="98">
        <v>57848</v>
      </c>
      <c r="IX78" s="98">
        <v>70883</v>
      </c>
      <c r="IY78" s="98">
        <v>178668</v>
      </c>
      <c r="IZ78" s="98">
        <v>1180329</v>
      </c>
      <c r="JA78" s="98">
        <v>1737500</v>
      </c>
      <c r="JB78" s="98">
        <v>7457181</v>
      </c>
      <c r="JC78" s="98">
        <v>1890484</v>
      </c>
      <c r="JD78" s="98">
        <v>1760982</v>
      </c>
      <c r="JE78" s="98">
        <v>5691846</v>
      </c>
      <c r="JF78" s="98">
        <v>5581470</v>
      </c>
      <c r="JG78" s="98">
        <v>22381963</v>
      </c>
      <c r="JH78" s="98">
        <v>0</v>
      </c>
      <c r="JI78" s="98">
        <v>0</v>
      </c>
      <c r="JJ78" s="98">
        <v>0</v>
      </c>
      <c r="JK78" s="98">
        <v>0</v>
      </c>
      <c r="JL78" s="98">
        <v>0</v>
      </c>
      <c r="JM78" s="98">
        <v>0</v>
      </c>
      <c r="JN78" s="98">
        <v>7457181</v>
      </c>
      <c r="JO78" s="98">
        <v>1890484</v>
      </c>
      <c r="JP78" s="98">
        <v>1760982</v>
      </c>
      <c r="JQ78" s="98">
        <v>5691846</v>
      </c>
      <c r="JR78" s="98">
        <v>5581470</v>
      </c>
      <c r="JS78" s="98">
        <v>22381963</v>
      </c>
      <c r="JU78" s="5">
        <f t="shared" si="157"/>
        <v>1973038</v>
      </c>
      <c r="JV78" s="29">
        <f t="shared" si="158"/>
        <v>0</v>
      </c>
      <c r="JW78" s="5">
        <f t="shared" si="159"/>
        <v>11168746</v>
      </c>
      <c r="JX78" s="29">
        <f t="shared" si="160"/>
        <v>0</v>
      </c>
      <c r="JY78" s="5">
        <f t="shared" si="161"/>
        <v>507400</v>
      </c>
      <c r="JZ78" s="29">
        <f t="shared" si="162"/>
        <v>0</v>
      </c>
      <c r="KA78" s="5">
        <f t="shared" si="163"/>
        <v>3333849</v>
      </c>
      <c r="KB78" s="29">
        <f t="shared" si="164"/>
        <v>0</v>
      </c>
      <c r="KC78" s="5">
        <f t="shared" si="165"/>
        <v>0</v>
      </c>
      <c r="KD78" s="29">
        <f t="shared" si="166"/>
        <v>0</v>
      </c>
      <c r="KE78" s="5">
        <f t="shared" si="167"/>
        <v>0</v>
      </c>
      <c r="KF78" s="29">
        <f t="shared" si="168"/>
        <v>0</v>
      </c>
      <c r="KG78" s="5">
        <f t="shared" si="169"/>
        <v>0</v>
      </c>
      <c r="KH78" s="29">
        <f t="shared" si="170"/>
        <v>0</v>
      </c>
      <c r="KI78" s="5">
        <f t="shared" si="171"/>
        <v>0</v>
      </c>
      <c r="KJ78" s="29">
        <f t="shared" si="172"/>
        <v>0</v>
      </c>
      <c r="KK78" s="5">
        <f t="shared" si="173"/>
        <v>1429248</v>
      </c>
      <c r="KL78" s="29">
        <f t="shared" si="174"/>
        <v>0</v>
      </c>
      <c r="KM78" s="5">
        <f t="shared" si="175"/>
        <v>0</v>
      </c>
      <c r="KN78" s="29">
        <f t="shared" si="176"/>
        <v>0</v>
      </c>
      <c r="KO78" s="5">
        <f t="shared" si="177"/>
        <v>52351</v>
      </c>
      <c r="KP78" s="29">
        <f t="shared" si="178"/>
        <v>0</v>
      </c>
      <c r="KQ78" s="5">
        <f t="shared" si="179"/>
        <v>1656193</v>
      </c>
      <c r="KR78" s="29">
        <f t="shared" si="180"/>
        <v>0</v>
      </c>
      <c r="KS78" s="5">
        <f t="shared" si="181"/>
        <v>238163</v>
      </c>
      <c r="KT78" s="29">
        <f t="shared" si="182"/>
        <v>0</v>
      </c>
      <c r="KU78" s="5">
        <f t="shared" si="183"/>
        <v>0</v>
      </c>
      <c r="KV78" s="29">
        <f t="shared" si="184"/>
        <v>0</v>
      </c>
      <c r="KW78" s="5">
        <f t="shared" si="185"/>
        <v>906885</v>
      </c>
      <c r="KX78" s="29">
        <f t="shared" si="186"/>
        <v>0</v>
      </c>
      <c r="KY78" s="5">
        <f t="shared" si="187"/>
        <v>21265873</v>
      </c>
      <c r="KZ78" s="29">
        <f t="shared" si="188"/>
        <v>0</v>
      </c>
      <c r="LA78" s="5">
        <f t="shared" si="230"/>
        <v>6871004</v>
      </c>
      <c r="LB78" s="29">
        <f t="shared" si="231"/>
        <v>0</v>
      </c>
      <c r="LC78" s="5">
        <f t="shared" si="232"/>
        <v>771570</v>
      </c>
      <c r="LD78" s="29">
        <f t="shared" si="189"/>
        <v>0</v>
      </c>
      <c r="LE78" s="5">
        <f t="shared" si="190"/>
        <v>4789871</v>
      </c>
      <c r="LF78" s="29">
        <f t="shared" si="191"/>
        <v>0</v>
      </c>
      <c r="LG78" s="5">
        <f t="shared" si="192"/>
        <v>0</v>
      </c>
      <c r="LH78" s="29">
        <f t="shared" si="193"/>
        <v>0</v>
      </c>
      <c r="LI78" s="5">
        <f t="shared" si="194"/>
        <v>2478033</v>
      </c>
      <c r="LJ78" s="29">
        <f t="shared" si="195"/>
        <v>0</v>
      </c>
      <c r="LK78" s="5">
        <f t="shared" si="196"/>
        <v>0</v>
      </c>
      <c r="LL78" s="29">
        <f t="shared" si="197"/>
        <v>0</v>
      </c>
      <c r="LM78" s="5">
        <f t="shared" si="198"/>
        <v>0</v>
      </c>
      <c r="LN78" s="29">
        <f t="shared" si="199"/>
        <v>0</v>
      </c>
      <c r="LO78" s="5">
        <f t="shared" si="200"/>
        <v>464181</v>
      </c>
      <c r="LP78" s="29">
        <f t="shared" si="201"/>
        <v>0</v>
      </c>
      <c r="LQ78" s="5">
        <f t="shared" si="202"/>
        <v>1833961</v>
      </c>
      <c r="LR78" s="29">
        <f t="shared" si="203"/>
        <v>0</v>
      </c>
      <c r="LS78" s="5">
        <f t="shared" si="204"/>
        <v>1025336</v>
      </c>
      <c r="LT78" s="29">
        <f t="shared" si="205"/>
        <v>0</v>
      </c>
      <c r="LU78" s="5">
        <f t="shared" si="206"/>
        <v>793831</v>
      </c>
      <c r="LV78" s="29">
        <f t="shared" si="207"/>
        <v>0</v>
      </c>
      <c r="LW78" s="5">
        <f t="shared" si="208"/>
        <v>869493</v>
      </c>
      <c r="LX78" s="29">
        <f t="shared" si="209"/>
        <v>0</v>
      </c>
      <c r="LY78" s="5">
        <f t="shared" si="210"/>
        <v>164041</v>
      </c>
      <c r="LZ78" s="29">
        <f t="shared" si="211"/>
        <v>0</v>
      </c>
      <c r="MA78" s="5">
        <f t="shared" si="212"/>
        <v>0</v>
      </c>
      <c r="MB78" s="29">
        <f t="shared" si="213"/>
        <v>0</v>
      </c>
      <c r="MC78" s="5">
        <f t="shared" si="214"/>
        <v>54640</v>
      </c>
      <c r="MD78" s="29">
        <f t="shared" si="215"/>
        <v>0</v>
      </c>
      <c r="ME78" s="5">
        <f t="shared" si="216"/>
        <v>0</v>
      </c>
      <c r="MF78" s="29">
        <f t="shared" si="217"/>
        <v>0</v>
      </c>
      <c r="MG78" s="5">
        <f t="shared" si="218"/>
        <v>247303</v>
      </c>
      <c r="MH78" s="29">
        <f t="shared" si="219"/>
        <v>0</v>
      </c>
      <c r="MI78" s="5">
        <f t="shared" si="220"/>
        <v>281198</v>
      </c>
      <c r="MJ78" s="29">
        <f t="shared" si="221"/>
        <v>0</v>
      </c>
      <c r="MK78" s="5">
        <f t="shared" si="222"/>
        <v>1737500</v>
      </c>
      <c r="ML78" s="29">
        <f t="shared" si="223"/>
        <v>0</v>
      </c>
      <c r="MM78" s="5">
        <f t="shared" si="224"/>
        <v>22381963</v>
      </c>
      <c r="MN78" s="29">
        <f t="shared" si="225"/>
        <v>0</v>
      </c>
      <c r="MO78" s="5">
        <f t="shared" si="226"/>
        <v>0</v>
      </c>
      <c r="MP78" s="29">
        <f t="shared" si="227"/>
        <v>0</v>
      </c>
      <c r="MQ78" s="5">
        <f t="shared" si="228"/>
        <v>22381963</v>
      </c>
      <c r="MR78" s="29">
        <f t="shared" si="229"/>
        <v>0</v>
      </c>
      <c r="MT78" s="5">
        <f t="shared" si="156"/>
        <v>0</v>
      </c>
      <c r="MV78" s="4">
        <f t="shared" si="155"/>
        <v>0</v>
      </c>
    </row>
    <row r="79" spans="1:371" x14ac:dyDescent="0.15">
      <c r="A79" s="155" t="s">
        <v>355</v>
      </c>
      <c r="B79" s="28" t="s">
        <v>466</v>
      </c>
      <c r="C79" s="47">
        <v>102368</v>
      </c>
      <c r="D79" s="48">
        <v>2012</v>
      </c>
      <c r="E79" s="49">
        <v>1</v>
      </c>
      <c r="F79" s="49">
        <v>11</v>
      </c>
      <c r="G79" s="50">
        <v>7674</v>
      </c>
      <c r="H79" s="50">
        <v>12196</v>
      </c>
      <c r="I79" s="51">
        <v>253280304</v>
      </c>
      <c r="J79" s="51"/>
      <c r="K79" s="51">
        <v>3239336</v>
      </c>
      <c r="L79" s="51"/>
      <c r="M79" s="51">
        <v>9950244</v>
      </c>
      <c r="N79" s="51"/>
      <c r="O79" s="51">
        <v>46045155</v>
      </c>
      <c r="P79" s="51"/>
      <c r="Q79" s="51">
        <v>111835000</v>
      </c>
      <c r="R79" s="51"/>
      <c r="S79" s="52">
        <v>243904190</v>
      </c>
      <c r="T79" s="52"/>
      <c r="U79" s="52">
        <v>16443</v>
      </c>
      <c r="V79" s="52"/>
      <c r="W79" s="68">
        <v>23415</v>
      </c>
      <c r="X79" s="52"/>
      <c r="Y79" s="68">
        <v>20732</v>
      </c>
      <c r="Z79" s="52"/>
      <c r="AA79" s="68">
        <v>28202</v>
      </c>
      <c r="AB79" s="49"/>
      <c r="AC79" s="72">
        <v>7</v>
      </c>
      <c r="AD79" s="72">
        <v>9</v>
      </c>
      <c r="AE79" s="72">
        <v>1</v>
      </c>
      <c r="AF79" s="29">
        <v>2568646</v>
      </c>
      <c r="AG79" s="29">
        <v>1752307</v>
      </c>
      <c r="AH79" s="29">
        <v>151106</v>
      </c>
      <c r="AI79" s="29">
        <v>103358</v>
      </c>
      <c r="AJ79" s="29">
        <v>164122.04</v>
      </c>
      <c r="AK79" s="73">
        <v>4.9000000000000004</v>
      </c>
      <c r="AL79" s="29">
        <v>114885.43</v>
      </c>
      <c r="AM79" s="73">
        <v>7</v>
      </c>
      <c r="AN79" s="29">
        <v>72056.39</v>
      </c>
      <c r="AO79" s="73">
        <v>6.1</v>
      </c>
      <c r="AP79" s="29">
        <v>54943</v>
      </c>
      <c r="AQ79" s="73">
        <v>8</v>
      </c>
      <c r="AR79" s="29">
        <v>89083.91</v>
      </c>
      <c r="AS79" s="73">
        <v>16.899999999999999</v>
      </c>
      <c r="AT79" s="29">
        <v>68432.639999999999</v>
      </c>
      <c r="AU79" s="73">
        <v>22</v>
      </c>
      <c r="AV79" s="29">
        <v>44012.2</v>
      </c>
      <c r="AW79" s="73">
        <v>9.1</v>
      </c>
      <c r="AX79" s="29">
        <v>28607.93</v>
      </c>
      <c r="AY79" s="73">
        <v>14</v>
      </c>
      <c r="AZ79" s="97">
        <v>740248</v>
      </c>
      <c r="BA79" s="97">
        <v>47653</v>
      </c>
      <c r="BB79" s="97">
        <v>44</v>
      </c>
      <c r="BC79" s="97">
        <v>42423</v>
      </c>
      <c r="BD79" s="97">
        <v>0</v>
      </c>
      <c r="BE79" s="97">
        <v>830368</v>
      </c>
      <c r="BF79" s="97">
        <v>0</v>
      </c>
      <c r="BG79" s="97">
        <v>0</v>
      </c>
      <c r="BH79" s="97">
        <v>0</v>
      </c>
      <c r="BI79" s="97">
        <v>0</v>
      </c>
      <c r="BJ79" s="97">
        <v>920916</v>
      </c>
      <c r="BK79" s="97">
        <v>920916</v>
      </c>
      <c r="BL79" s="97">
        <v>650000</v>
      </c>
      <c r="BM79" s="97">
        <v>145000</v>
      </c>
      <c r="BN79" s="97">
        <v>12000</v>
      </c>
      <c r="BO79" s="97">
        <v>3000</v>
      </c>
      <c r="BP79" s="97">
        <v>0</v>
      </c>
      <c r="BQ79" s="97">
        <v>810000</v>
      </c>
      <c r="BR79" s="97">
        <v>705510</v>
      </c>
      <c r="BS79" s="97">
        <v>40182</v>
      </c>
      <c r="BT79" s="97">
        <v>15412</v>
      </c>
      <c r="BU79" s="97">
        <v>164125</v>
      </c>
      <c r="BV79" s="97">
        <v>1023669</v>
      </c>
      <c r="BW79" s="97">
        <v>1948898</v>
      </c>
      <c r="BX79" s="97">
        <v>0</v>
      </c>
      <c r="BY79" s="97">
        <v>0</v>
      </c>
      <c r="BZ79" s="97">
        <v>0</v>
      </c>
      <c r="CA79" s="97">
        <v>0</v>
      </c>
      <c r="CB79" s="97">
        <v>0</v>
      </c>
      <c r="CC79" s="97">
        <v>0</v>
      </c>
      <c r="CD79" s="97">
        <v>0</v>
      </c>
      <c r="CE79" s="97">
        <v>0</v>
      </c>
      <c r="CF79" s="97">
        <v>0</v>
      </c>
      <c r="CG79" s="97">
        <v>0</v>
      </c>
      <c r="CH79" s="97">
        <v>0</v>
      </c>
      <c r="CI79" s="97">
        <v>0</v>
      </c>
      <c r="CJ79" s="97">
        <v>3079031</v>
      </c>
      <c r="CK79" s="97">
        <v>710367</v>
      </c>
      <c r="CL79" s="97">
        <v>812026</v>
      </c>
      <c r="CM79" s="97">
        <v>4512328</v>
      </c>
      <c r="CN79" s="97">
        <v>332929</v>
      </c>
      <c r="CO79" s="97">
        <v>9446681</v>
      </c>
      <c r="CP79" s="97">
        <v>0</v>
      </c>
      <c r="CQ79" s="97">
        <v>0</v>
      </c>
      <c r="CR79" s="97">
        <v>0</v>
      </c>
      <c r="CS79" s="97">
        <v>0</v>
      </c>
      <c r="CT79" s="97">
        <v>1274406</v>
      </c>
      <c r="CU79" s="97">
        <v>1274406</v>
      </c>
      <c r="CV79" s="97">
        <v>0</v>
      </c>
      <c r="CW79" s="97">
        <v>0</v>
      </c>
      <c r="CX79" s="97">
        <v>0</v>
      </c>
      <c r="CY79" s="97">
        <v>0</v>
      </c>
      <c r="CZ79" s="97">
        <v>920720</v>
      </c>
      <c r="DA79" s="97">
        <v>920720</v>
      </c>
      <c r="DB79" s="97">
        <v>0</v>
      </c>
      <c r="DC79" s="97">
        <v>0</v>
      </c>
      <c r="DD79" s="97">
        <v>0</v>
      </c>
      <c r="DE79" s="97">
        <v>0</v>
      </c>
      <c r="DF79" s="97">
        <v>0</v>
      </c>
      <c r="DG79" s="97">
        <v>0</v>
      </c>
      <c r="DH79" s="97">
        <v>4404</v>
      </c>
      <c r="DI79" s="97">
        <v>0</v>
      </c>
      <c r="DJ79" s="97">
        <v>0</v>
      </c>
      <c r="DK79" s="97">
        <v>0</v>
      </c>
      <c r="DL79" s="97">
        <v>53030</v>
      </c>
      <c r="DM79" s="97">
        <v>57434</v>
      </c>
      <c r="DN79" s="97">
        <v>0</v>
      </c>
      <c r="DO79" s="97">
        <v>0</v>
      </c>
      <c r="DP79" s="97">
        <v>0</v>
      </c>
      <c r="DQ79" s="97">
        <v>0</v>
      </c>
      <c r="DR79" s="97">
        <v>162379</v>
      </c>
      <c r="DS79" s="97">
        <v>162379</v>
      </c>
      <c r="DT79" s="97">
        <v>20430</v>
      </c>
      <c r="DU79" s="97">
        <v>26860</v>
      </c>
      <c r="DV79" s="97">
        <v>6400</v>
      </c>
      <c r="DW79" s="97">
        <v>79172</v>
      </c>
      <c r="DX79" s="97">
        <v>0</v>
      </c>
      <c r="DY79" s="97">
        <v>132862</v>
      </c>
      <c r="DZ79" s="97">
        <v>0</v>
      </c>
      <c r="EA79" s="97">
        <v>0</v>
      </c>
      <c r="EB79" s="97">
        <v>0</v>
      </c>
      <c r="EC79" s="97">
        <v>0</v>
      </c>
      <c r="ED79" s="97">
        <v>0</v>
      </c>
      <c r="EE79" s="97">
        <v>0</v>
      </c>
      <c r="EF79" s="97">
        <v>0</v>
      </c>
      <c r="EG79" s="97">
        <v>0</v>
      </c>
      <c r="EH79" s="97">
        <v>0</v>
      </c>
      <c r="EI79" s="97">
        <v>0</v>
      </c>
      <c r="EJ79" s="97">
        <v>0</v>
      </c>
      <c r="EK79" s="97">
        <v>0</v>
      </c>
      <c r="EL79" s="97">
        <v>5199623</v>
      </c>
      <c r="EM79" s="97">
        <v>970062</v>
      </c>
      <c r="EN79" s="97">
        <v>845882</v>
      </c>
      <c r="EO79" s="97">
        <v>4801048</v>
      </c>
      <c r="EP79" s="97">
        <v>4688049</v>
      </c>
      <c r="EQ79" s="97">
        <v>16504664</v>
      </c>
      <c r="ER79" s="97">
        <v>1641918</v>
      </c>
      <c r="ES79" s="97">
        <v>279397</v>
      </c>
      <c r="ET79" s="97">
        <v>353014</v>
      </c>
      <c r="EU79" s="97">
        <v>2098414</v>
      </c>
      <c r="EV79" s="97">
        <v>332929</v>
      </c>
      <c r="EW79" s="97">
        <v>4705672</v>
      </c>
      <c r="EX79" s="97">
        <v>600000</v>
      </c>
      <c r="EY79" s="97">
        <v>0</v>
      </c>
      <c r="EZ79" s="97">
        <v>0</v>
      </c>
      <c r="FA79" s="97">
        <v>0</v>
      </c>
      <c r="FB79" s="97">
        <v>42709</v>
      </c>
      <c r="FC79" s="97">
        <v>642709</v>
      </c>
      <c r="FD79" s="97">
        <v>1462169</v>
      </c>
      <c r="FE79" s="97">
        <v>469576</v>
      </c>
      <c r="FF79" s="97">
        <v>304031</v>
      </c>
      <c r="FG79" s="97">
        <v>913995</v>
      </c>
      <c r="FH79" s="97">
        <v>0</v>
      </c>
      <c r="FI79" s="97">
        <v>3149771</v>
      </c>
      <c r="FJ79" s="97">
        <v>0</v>
      </c>
      <c r="FK79" s="97">
        <v>0</v>
      </c>
      <c r="FL79" s="97">
        <v>0</v>
      </c>
      <c r="FM79" s="97">
        <v>0</v>
      </c>
      <c r="FN79" s="97">
        <v>0</v>
      </c>
      <c r="FO79" s="97">
        <v>0</v>
      </c>
      <c r="FP79" s="97">
        <v>32508</v>
      </c>
      <c r="FQ79" s="97">
        <v>9828</v>
      </c>
      <c r="FR79" s="97">
        <v>9829</v>
      </c>
      <c r="FS79" s="97">
        <v>60721</v>
      </c>
      <c r="FT79" s="97">
        <v>1335856</v>
      </c>
      <c r="FU79" s="97">
        <v>1448742</v>
      </c>
      <c r="FV79" s="97">
        <v>0</v>
      </c>
      <c r="FW79" s="97">
        <v>0</v>
      </c>
      <c r="FX79" s="97">
        <v>0</v>
      </c>
      <c r="FY79" s="97">
        <v>0</v>
      </c>
      <c r="FZ79" s="97">
        <v>0</v>
      </c>
      <c r="GA79" s="97">
        <v>0</v>
      </c>
      <c r="GB79" s="97">
        <v>0</v>
      </c>
      <c r="GC79" s="97">
        <v>0</v>
      </c>
      <c r="GD79" s="97">
        <v>0</v>
      </c>
      <c r="GE79" s="97">
        <v>0</v>
      </c>
      <c r="GF79" s="97">
        <v>0</v>
      </c>
      <c r="GG79" s="97">
        <v>0</v>
      </c>
      <c r="GH79" s="97">
        <v>97429</v>
      </c>
      <c r="GI79" s="97">
        <v>24412</v>
      </c>
      <c r="GJ79" s="97">
        <v>43232</v>
      </c>
      <c r="GK79" s="97">
        <v>89522</v>
      </c>
      <c r="GL79" s="97">
        <v>0</v>
      </c>
      <c r="GM79" s="97">
        <v>254595</v>
      </c>
      <c r="GN79" s="97">
        <v>523945</v>
      </c>
      <c r="GO79" s="97">
        <v>136911</v>
      </c>
      <c r="GP79" s="97">
        <v>95483</v>
      </c>
      <c r="GQ79" s="97">
        <v>586318</v>
      </c>
      <c r="GR79" s="97">
        <v>70460</v>
      </c>
      <c r="GS79" s="97">
        <v>1413117</v>
      </c>
      <c r="GT79" s="97">
        <v>211333</v>
      </c>
      <c r="GU79" s="97">
        <v>24367</v>
      </c>
      <c r="GV79" s="97">
        <v>36746</v>
      </c>
      <c r="GW79" s="97">
        <v>285211</v>
      </c>
      <c r="GX79" s="97">
        <v>95046</v>
      </c>
      <c r="GY79" s="97">
        <v>652703</v>
      </c>
      <c r="GZ79" s="97">
        <v>36015</v>
      </c>
      <c r="HA79" s="97">
        <v>0</v>
      </c>
      <c r="HB79" s="97">
        <v>0</v>
      </c>
      <c r="HC79" s="97">
        <v>0</v>
      </c>
      <c r="HD79" s="97">
        <v>340953</v>
      </c>
      <c r="HE79" s="97">
        <v>376968</v>
      </c>
      <c r="HF79" s="97">
        <v>0</v>
      </c>
      <c r="HG79" s="97">
        <v>0</v>
      </c>
      <c r="HH79" s="97">
        <v>0</v>
      </c>
      <c r="HI79" s="97">
        <v>0</v>
      </c>
      <c r="HJ79" s="97">
        <v>224962</v>
      </c>
      <c r="HK79" s="97">
        <v>224962</v>
      </c>
      <c r="HL79" s="97">
        <v>56063</v>
      </c>
      <c r="HM79" s="97">
        <v>28137</v>
      </c>
      <c r="HN79" s="97">
        <v>7457</v>
      </c>
      <c r="HO79" s="97">
        <v>62934</v>
      </c>
      <c r="HP79" s="97">
        <v>0</v>
      </c>
      <c r="HQ79" s="97">
        <v>154591</v>
      </c>
      <c r="HR79" s="97">
        <v>400000</v>
      </c>
      <c r="HS79" s="97">
        <v>0</v>
      </c>
      <c r="HT79" s="97">
        <v>0</v>
      </c>
      <c r="HU79" s="97">
        <v>684500</v>
      </c>
      <c r="HV79" s="97">
        <v>213227</v>
      </c>
      <c r="HW79" s="97">
        <v>1297727</v>
      </c>
      <c r="HX79" s="97">
        <v>0</v>
      </c>
      <c r="HY79" s="97">
        <v>0</v>
      </c>
      <c r="HZ79" s="97">
        <v>0</v>
      </c>
      <c r="IA79" s="97">
        <v>0</v>
      </c>
      <c r="IB79" s="97">
        <v>1070</v>
      </c>
      <c r="IC79" s="97">
        <v>1070</v>
      </c>
      <c r="ID79" s="97">
        <v>0</v>
      </c>
      <c r="IE79" s="97">
        <v>0</v>
      </c>
      <c r="IF79" s="97">
        <v>0</v>
      </c>
      <c r="IG79" s="97">
        <v>0</v>
      </c>
      <c r="IH79" s="97">
        <v>1274406</v>
      </c>
      <c r="II79" s="97">
        <v>1274406</v>
      </c>
      <c r="IJ79" s="97">
        <v>0</v>
      </c>
      <c r="IK79" s="97">
        <v>0</v>
      </c>
      <c r="IL79" s="97">
        <v>0</v>
      </c>
      <c r="IM79" s="97">
        <v>0</v>
      </c>
      <c r="IN79" s="97">
        <v>218235</v>
      </c>
      <c r="IO79" s="97">
        <v>218235</v>
      </c>
      <c r="IP79" s="97">
        <v>250</v>
      </c>
      <c r="IQ79" s="97">
        <v>0</v>
      </c>
      <c r="IR79" s="97">
        <v>160</v>
      </c>
      <c r="IS79" s="97">
        <v>3519</v>
      </c>
      <c r="IT79" s="97">
        <v>94871</v>
      </c>
      <c r="IU79" s="97">
        <v>98800</v>
      </c>
      <c r="IV79" s="97">
        <v>167179</v>
      </c>
      <c r="IW79" s="97">
        <v>6111</v>
      </c>
      <c r="IX79" s="97">
        <v>5332</v>
      </c>
      <c r="IY79" s="97">
        <v>68036</v>
      </c>
      <c r="IZ79" s="97">
        <v>343938</v>
      </c>
      <c r="JA79" s="97">
        <v>590596</v>
      </c>
      <c r="JB79" s="97">
        <v>5228809</v>
      </c>
      <c r="JC79" s="97">
        <v>978739</v>
      </c>
      <c r="JD79" s="97">
        <v>855284</v>
      </c>
      <c r="JE79" s="97">
        <v>4853170</v>
      </c>
      <c r="JF79" s="97">
        <v>4588662</v>
      </c>
      <c r="JG79" s="97">
        <v>16504664</v>
      </c>
      <c r="JH79" s="97">
        <v>0</v>
      </c>
      <c r="JI79" s="97">
        <v>0</v>
      </c>
      <c r="JJ79" s="97">
        <v>0</v>
      </c>
      <c r="JK79" s="97">
        <v>0</v>
      </c>
      <c r="JL79" s="97">
        <v>0</v>
      </c>
      <c r="JM79" s="97">
        <v>0</v>
      </c>
      <c r="JN79" s="97">
        <v>5228809</v>
      </c>
      <c r="JO79" s="97">
        <v>978739</v>
      </c>
      <c r="JP79" s="97">
        <v>855284</v>
      </c>
      <c r="JQ79" s="97">
        <v>4853170</v>
      </c>
      <c r="JR79" s="97">
        <v>4588662</v>
      </c>
      <c r="JS79" s="97">
        <v>16504664</v>
      </c>
      <c r="JU79" s="5">
        <f t="shared" si="157"/>
        <v>830368</v>
      </c>
      <c r="JV79" s="29">
        <f t="shared" si="158"/>
        <v>0</v>
      </c>
      <c r="JW79" s="5">
        <f t="shared" si="159"/>
        <v>920916</v>
      </c>
      <c r="JX79" s="29">
        <f t="shared" si="160"/>
        <v>0</v>
      </c>
      <c r="JY79" s="5">
        <f t="shared" si="161"/>
        <v>810000</v>
      </c>
      <c r="JZ79" s="29">
        <f t="shared" si="162"/>
        <v>0</v>
      </c>
      <c r="KA79" s="5">
        <f t="shared" si="163"/>
        <v>1948898</v>
      </c>
      <c r="KB79" s="29">
        <f t="shared" si="164"/>
        <v>0</v>
      </c>
      <c r="KC79" s="5">
        <f t="shared" si="165"/>
        <v>0</v>
      </c>
      <c r="KD79" s="29">
        <f t="shared" si="166"/>
        <v>0</v>
      </c>
      <c r="KE79" s="5">
        <f t="shared" si="167"/>
        <v>0</v>
      </c>
      <c r="KF79" s="29">
        <f t="shared" si="168"/>
        <v>0</v>
      </c>
      <c r="KG79" s="5">
        <f t="shared" si="169"/>
        <v>9446681</v>
      </c>
      <c r="KH79" s="29">
        <f t="shared" si="170"/>
        <v>0</v>
      </c>
      <c r="KI79" s="5">
        <f t="shared" si="171"/>
        <v>1274406</v>
      </c>
      <c r="KJ79" s="29">
        <f t="shared" si="172"/>
        <v>0</v>
      </c>
      <c r="KK79" s="5">
        <f t="shared" si="173"/>
        <v>920720</v>
      </c>
      <c r="KL79" s="29">
        <f t="shared" si="174"/>
        <v>0</v>
      </c>
      <c r="KM79" s="5">
        <f t="shared" si="175"/>
        <v>0</v>
      </c>
      <c r="KN79" s="29">
        <f t="shared" si="176"/>
        <v>0</v>
      </c>
      <c r="KO79" s="5">
        <f t="shared" si="177"/>
        <v>57434</v>
      </c>
      <c r="KP79" s="29">
        <f t="shared" si="178"/>
        <v>0</v>
      </c>
      <c r="KQ79" s="5">
        <f t="shared" si="179"/>
        <v>162379</v>
      </c>
      <c r="KR79" s="29">
        <f t="shared" si="180"/>
        <v>0</v>
      </c>
      <c r="KS79" s="5">
        <f t="shared" si="181"/>
        <v>132862</v>
      </c>
      <c r="KT79" s="29">
        <f t="shared" si="182"/>
        <v>0</v>
      </c>
      <c r="KU79" s="5">
        <f t="shared" si="183"/>
        <v>0</v>
      </c>
      <c r="KV79" s="29">
        <f t="shared" si="184"/>
        <v>0</v>
      </c>
      <c r="KW79" s="5">
        <f t="shared" si="185"/>
        <v>0</v>
      </c>
      <c r="KX79" s="29">
        <f t="shared" si="186"/>
        <v>0</v>
      </c>
      <c r="KY79" s="5">
        <f t="shared" si="187"/>
        <v>16504664</v>
      </c>
      <c r="KZ79" s="29">
        <f t="shared" si="188"/>
        <v>0</v>
      </c>
      <c r="LA79" s="5">
        <f t="shared" si="230"/>
        <v>4705672</v>
      </c>
      <c r="LB79" s="29">
        <f t="shared" si="231"/>
        <v>0</v>
      </c>
      <c r="LC79" s="5">
        <f t="shared" si="232"/>
        <v>642709</v>
      </c>
      <c r="LD79" s="29">
        <f t="shared" si="189"/>
        <v>0</v>
      </c>
      <c r="LE79" s="5">
        <f t="shared" si="190"/>
        <v>3149771</v>
      </c>
      <c r="LF79" s="29">
        <f t="shared" si="191"/>
        <v>0</v>
      </c>
      <c r="LG79" s="5">
        <f t="shared" si="192"/>
        <v>0</v>
      </c>
      <c r="LH79" s="29">
        <f t="shared" si="193"/>
        <v>0</v>
      </c>
      <c r="LI79" s="5">
        <f t="shared" si="194"/>
        <v>1448742</v>
      </c>
      <c r="LJ79" s="29">
        <f t="shared" si="195"/>
        <v>0</v>
      </c>
      <c r="LK79" s="5">
        <f t="shared" si="196"/>
        <v>0</v>
      </c>
      <c r="LL79" s="29">
        <f t="shared" si="197"/>
        <v>0</v>
      </c>
      <c r="LM79" s="5">
        <f t="shared" si="198"/>
        <v>0</v>
      </c>
      <c r="LN79" s="29">
        <f t="shared" si="199"/>
        <v>0</v>
      </c>
      <c r="LO79" s="5">
        <f t="shared" si="200"/>
        <v>254595</v>
      </c>
      <c r="LP79" s="29">
        <f t="shared" si="201"/>
        <v>0</v>
      </c>
      <c r="LQ79" s="5">
        <f t="shared" si="202"/>
        <v>1413117</v>
      </c>
      <c r="LR79" s="29">
        <f t="shared" si="203"/>
        <v>0</v>
      </c>
      <c r="LS79" s="5">
        <f t="shared" si="204"/>
        <v>652703</v>
      </c>
      <c r="LT79" s="29">
        <f t="shared" si="205"/>
        <v>0</v>
      </c>
      <c r="LU79" s="5">
        <f t="shared" si="206"/>
        <v>376968</v>
      </c>
      <c r="LV79" s="29">
        <f t="shared" si="207"/>
        <v>0</v>
      </c>
      <c r="LW79" s="5">
        <f t="shared" si="208"/>
        <v>224962</v>
      </c>
      <c r="LX79" s="29">
        <f t="shared" si="209"/>
        <v>0</v>
      </c>
      <c r="LY79" s="5">
        <f t="shared" si="210"/>
        <v>154591</v>
      </c>
      <c r="LZ79" s="29">
        <f t="shared" si="211"/>
        <v>0</v>
      </c>
      <c r="MA79" s="5">
        <f t="shared" si="212"/>
        <v>1297727</v>
      </c>
      <c r="MB79" s="29">
        <f t="shared" si="213"/>
        <v>0</v>
      </c>
      <c r="MC79" s="5">
        <f t="shared" si="214"/>
        <v>1070</v>
      </c>
      <c r="MD79" s="29">
        <f t="shared" si="215"/>
        <v>0</v>
      </c>
      <c r="ME79" s="5">
        <f t="shared" si="216"/>
        <v>1274406</v>
      </c>
      <c r="MF79" s="29">
        <f t="shared" si="217"/>
        <v>0</v>
      </c>
      <c r="MG79" s="5">
        <f t="shared" si="218"/>
        <v>218235</v>
      </c>
      <c r="MH79" s="29">
        <f t="shared" si="219"/>
        <v>0</v>
      </c>
      <c r="MI79" s="5">
        <f t="shared" si="220"/>
        <v>98800</v>
      </c>
      <c r="MJ79" s="29">
        <f t="shared" si="221"/>
        <v>0</v>
      </c>
      <c r="MK79" s="5">
        <f t="shared" si="222"/>
        <v>590596</v>
      </c>
      <c r="ML79" s="29">
        <f t="shared" si="223"/>
        <v>0</v>
      </c>
      <c r="MM79" s="5">
        <f t="shared" si="224"/>
        <v>16504664</v>
      </c>
      <c r="MN79" s="29">
        <f t="shared" si="225"/>
        <v>0</v>
      </c>
      <c r="MO79" s="5">
        <f t="shared" si="226"/>
        <v>0</v>
      </c>
      <c r="MP79" s="29">
        <f t="shared" si="227"/>
        <v>0</v>
      </c>
      <c r="MQ79" s="5">
        <f t="shared" si="228"/>
        <v>16504664</v>
      </c>
      <c r="MR79" s="29">
        <f t="shared" si="229"/>
        <v>0</v>
      </c>
      <c r="MT79" s="5">
        <f t="shared" si="156"/>
        <v>0</v>
      </c>
      <c r="MV79" s="4">
        <f t="shared" si="155"/>
        <v>0</v>
      </c>
    </row>
    <row r="80" spans="1:371" x14ac:dyDescent="0.15">
      <c r="A80" s="155" t="s">
        <v>356</v>
      </c>
      <c r="B80" s="28" t="s">
        <v>406</v>
      </c>
      <c r="C80" s="47">
        <v>110662</v>
      </c>
      <c r="D80" s="48">
        <v>2012</v>
      </c>
      <c r="E80" s="49">
        <v>1</v>
      </c>
      <c r="F80" s="49">
        <v>4</v>
      </c>
      <c r="G80" s="50">
        <v>11933</v>
      </c>
      <c r="H80" s="50">
        <v>14541</v>
      </c>
      <c r="I80" s="51">
        <v>5448784000</v>
      </c>
      <c r="J80" s="51"/>
      <c r="K80" s="51">
        <v>1336276</v>
      </c>
      <c r="L80" s="51"/>
      <c r="M80" s="51">
        <v>241355000</v>
      </c>
      <c r="N80" s="51"/>
      <c r="O80" s="51">
        <v>5336842</v>
      </c>
      <c r="P80" s="51"/>
      <c r="Q80" s="51">
        <v>3319458000</v>
      </c>
      <c r="R80" s="51"/>
      <c r="S80" s="51">
        <v>2958455000</v>
      </c>
      <c r="T80" s="51"/>
      <c r="U80" s="51">
        <v>26302</v>
      </c>
      <c r="V80" s="51"/>
      <c r="W80" s="51">
        <v>49180</v>
      </c>
      <c r="X80" s="51"/>
      <c r="Y80" s="51">
        <v>30210</v>
      </c>
      <c r="Z80" s="51"/>
      <c r="AA80" s="51">
        <v>53088</v>
      </c>
      <c r="AB80" s="51"/>
      <c r="AC80" s="30">
        <v>11</v>
      </c>
      <c r="AD80" s="30">
        <v>13</v>
      </c>
      <c r="AE80" s="30">
        <v>0</v>
      </c>
      <c r="AF80" s="29">
        <v>5651861</v>
      </c>
      <c r="AG80" s="29">
        <v>5318069</v>
      </c>
      <c r="AH80" s="29">
        <v>759491</v>
      </c>
      <c r="AI80" s="29">
        <v>287938</v>
      </c>
      <c r="AJ80" s="29">
        <v>538024.56000000006</v>
      </c>
      <c r="AK80" s="73">
        <v>9</v>
      </c>
      <c r="AL80" s="29">
        <v>538024.56000000006</v>
      </c>
      <c r="AM80" s="73">
        <v>9</v>
      </c>
      <c r="AN80" s="29">
        <v>176387.36</v>
      </c>
      <c r="AO80" s="73">
        <v>11</v>
      </c>
      <c r="AP80" s="29">
        <v>176387.36</v>
      </c>
      <c r="AQ80" s="73">
        <v>11</v>
      </c>
      <c r="AR80" s="29">
        <v>213684.89</v>
      </c>
      <c r="AS80" s="73">
        <v>23.5</v>
      </c>
      <c r="AT80" s="29">
        <v>200863.8</v>
      </c>
      <c r="AU80" s="73">
        <v>25</v>
      </c>
      <c r="AV80" s="29">
        <v>84548.36</v>
      </c>
      <c r="AW80" s="73">
        <v>19</v>
      </c>
      <c r="AX80" s="29">
        <v>78509.19</v>
      </c>
      <c r="AY80" s="73">
        <v>21</v>
      </c>
      <c r="AZ80" s="97">
        <v>10011854</v>
      </c>
      <c r="BA80" s="113">
        <v>3954619</v>
      </c>
      <c r="BB80" s="113">
        <v>52019</v>
      </c>
      <c r="BC80" s="113">
        <v>475971</v>
      </c>
      <c r="BD80" s="113">
        <v>0</v>
      </c>
      <c r="BE80" s="113">
        <f>SUM(AZ80:BD80)</f>
        <v>14494463</v>
      </c>
      <c r="BF80" s="113">
        <v>0</v>
      </c>
      <c r="BG80" s="97">
        <v>0</v>
      </c>
      <c r="BH80" s="97">
        <v>897152</v>
      </c>
      <c r="BI80" s="97">
        <v>1818512</v>
      </c>
      <c r="BJ80" s="97">
        <v>0</v>
      </c>
      <c r="BK80" s="97">
        <f>SUM(BH80:BJ80)</f>
        <v>2715664</v>
      </c>
      <c r="BL80" s="97">
        <v>3294766</v>
      </c>
      <c r="BM80" s="113">
        <v>190142</v>
      </c>
      <c r="BN80" s="113">
        <v>0</v>
      </c>
      <c r="BO80" s="113">
        <v>20483</v>
      </c>
      <c r="BP80" s="113">
        <v>0</v>
      </c>
      <c r="BQ80" s="113">
        <f>SUM(BL80:BP80)</f>
        <v>3505391</v>
      </c>
      <c r="BR80" s="113">
        <v>329521</v>
      </c>
      <c r="BS80" s="113">
        <v>88839</v>
      </c>
      <c r="BT80" s="113">
        <v>62281</v>
      </c>
      <c r="BU80" s="113">
        <v>1090306</v>
      </c>
      <c r="BV80" s="113">
        <v>14427130</v>
      </c>
      <c r="BW80" s="113">
        <f>SUM(BR80:BV80)</f>
        <v>15998077</v>
      </c>
      <c r="BX80" s="113">
        <v>0</v>
      </c>
      <c r="BY80" s="113">
        <v>0</v>
      </c>
      <c r="BZ80" s="113">
        <v>0</v>
      </c>
      <c r="CA80" s="113">
        <v>0</v>
      </c>
      <c r="CB80" s="113">
        <v>0</v>
      </c>
      <c r="CC80" s="113">
        <v>0</v>
      </c>
      <c r="CD80" s="113">
        <v>0</v>
      </c>
      <c r="CE80" s="113">
        <v>0</v>
      </c>
      <c r="CF80" s="113">
        <v>0</v>
      </c>
      <c r="CG80" s="113">
        <v>0</v>
      </c>
      <c r="CH80" s="113">
        <v>0</v>
      </c>
      <c r="CI80" s="113">
        <v>0</v>
      </c>
      <c r="CJ80" s="97">
        <v>0</v>
      </c>
      <c r="CK80" s="113">
        <v>0</v>
      </c>
      <c r="CL80" s="113">
        <v>0</v>
      </c>
      <c r="CM80" s="113">
        <v>0</v>
      </c>
      <c r="CN80" s="113">
        <v>60000</v>
      </c>
      <c r="CO80" s="113">
        <v>60000</v>
      </c>
      <c r="CP80" s="113">
        <v>0</v>
      </c>
      <c r="CQ80" s="113">
        <v>0</v>
      </c>
      <c r="CR80" s="113">
        <v>0</v>
      </c>
      <c r="CS80" s="113">
        <v>0</v>
      </c>
      <c r="CT80" s="113">
        <v>0</v>
      </c>
      <c r="CU80" s="113">
        <v>0</v>
      </c>
      <c r="CV80" s="97">
        <v>3438602</v>
      </c>
      <c r="CW80" s="113">
        <v>2138347</v>
      </c>
      <c r="CX80" s="113">
        <v>9340</v>
      </c>
      <c r="CY80" s="113">
        <v>200776</v>
      </c>
      <c r="CZ80" s="113">
        <v>1803572</v>
      </c>
      <c r="DA80" s="113">
        <f>SUM(CV80:CZ80)</f>
        <v>7590637</v>
      </c>
      <c r="DB80" s="113">
        <v>6747285</v>
      </c>
      <c r="DC80" s="97">
        <v>1344750</v>
      </c>
      <c r="DD80" s="97">
        <v>0</v>
      </c>
      <c r="DE80" s="97">
        <v>0</v>
      </c>
      <c r="DF80" s="97">
        <v>1500</v>
      </c>
      <c r="DG80" s="97">
        <f>SUM(DB80:DF80)</f>
        <v>8093535</v>
      </c>
      <c r="DH80" s="97">
        <v>624279</v>
      </c>
      <c r="DI80" s="113">
        <v>4400</v>
      </c>
      <c r="DJ80" s="113">
        <v>0</v>
      </c>
      <c r="DK80" s="113">
        <v>0</v>
      </c>
      <c r="DL80" s="113">
        <v>61915</v>
      </c>
      <c r="DM80" s="113">
        <f>SUM(DH80:DL80)</f>
        <v>690594</v>
      </c>
      <c r="DN80" s="113">
        <v>0</v>
      </c>
      <c r="DO80" s="113">
        <v>0</v>
      </c>
      <c r="DP80" s="113">
        <v>0</v>
      </c>
      <c r="DQ80" s="113">
        <v>0</v>
      </c>
      <c r="DR80" s="113">
        <v>11407611</v>
      </c>
      <c r="DS80" s="113">
        <v>11407611</v>
      </c>
      <c r="DT80" s="113">
        <v>56476</v>
      </c>
      <c r="DU80" s="113">
        <v>400272</v>
      </c>
      <c r="DV80" s="113">
        <v>47203</v>
      </c>
      <c r="DW80" s="113">
        <v>1874650</v>
      </c>
      <c r="DX80" s="113">
        <v>27711</v>
      </c>
      <c r="DY80" s="113">
        <f>SUM(DT80:DX80)</f>
        <v>2406312</v>
      </c>
      <c r="DZ80" s="113">
        <v>636220</v>
      </c>
      <c r="EA80" s="113">
        <v>223070</v>
      </c>
      <c r="EB80" s="113">
        <v>69107</v>
      </c>
      <c r="EC80" s="113">
        <v>464946</v>
      </c>
      <c r="ED80" s="113">
        <v>0</v>
      </c>
      <c r="EE80" s="113">
        <f>SUM(DZ80:ED80)</f>
        <v>1393343</v>
      </c>
      <c r="EF80" s="113">
        <v>29001</v>
      </c>
      <c r="EG80" s="113">
        <v>30670</v>
      </c>
      <c r="EH80" s="113">
        <v>4136</v>
      </c>
      <c r="EI80" s="113">
        <v>204472</v>
      </c>
      <c r="EJ80" s="113">
        <v>3107870</v>
      </c>
      <c r="EK80" s="113">
        <f>SUM(EF80:EJ80)</f>
        <v>3376149</v>
      </c>
      <c r="EL80" s="113">
        <v>25168004</v>
      </c>
      <c r="EM80" s="113">
        <v>8375109</v>
      </c>
      <c r="EN80" s="113">
        <v>1141238</v>
      </c>
      <c r="EO80" s="113">
        <v>6150116</v>
      </c>
      <c r="EP80" s="113">
        <v>30897309</v>
      </c>
      <c r="EQ80" s="113">
        <f>SUM(EL80:EP80)</f>
        <v>71731776</v>
      </c>
      <c r="ER80" s="113">
        <v>3086241</v>
      </c>
      <c r="ES80" s="113">
        <v>466576</v>
      </c>
      <c r="ET80" s="113">
        <v>567805</v>
      </c>
      <c r="EU80" s="113">
        <v>6849308</v>
      </c>
      <c r="EV80" s="113">
        <v>158501</v>
      </c>
      <c r="EW80" s="113">
        <f>SUM(ER80:EV80)</f>
        <v>11128431</v>
      </c>
      <c r="EX80" s="113">
        <v>1425000</v>
      </c>
      <c r="EY80" s="113">
        <v>740197</v>
      </c>
      <c r="EZ80" s="113">
        <v>22500</v>
      </c>
      <c r="FA80" s="113">
        <v>33500</v>
      </c>
      <c r="FB80" s="113">
        <v>0</v>
      </c>
      <c r="FC80" s="113">
        <f>SUM(EX80:FB80)</f>
        <v>2221197</v>
      </c>
      <c r="FD80" s="113">
        <v>4858159</v>
      </c>
      <c r="FE80" s="113">
        <v>2795069</v>
      </c>
      <c r="FF80" s="113">
        <v>890965</v>
      </c>
      <c r="FG80" s="113">
        <v>4908577</v>
      </c>
      <c r="FH80" s="113">
        <v>0</v>
      </c>
      <c r="FI80" s="113">
        <f>SUM(FD80:FH80)</f>
        <v>13452770</v>
      </c>
      <c r="FJ80" s="113">
        <v>0</v>
      </c>
      <c r="FK80" s="113">
        <v>0</v>
      </c>
      <c r="FL80" s="113">
        <v>0</v>
      </c>
      <c r="FM80" s="113">
        <v>0</v>
      </c>
      <c r="FN80" s="113">
        <v>0</v>
      </c>
      <c r="FO80" s="113">
        <v>0</v>
      </c>
      <c r="FP80" s="97">
        <v>387564</v>
      </c>
      <c r="FQ80" s="113">
        <v>341837</v>
      </c>
      <c r="FR80" s="113">
        <v>187922</v>
      </c>
      <c r="FS80" s="113">
        <v>172998</v>
      </c>
      <c r="FT80" s="113">
        <v>12262985</v>
      </c>
      <c r="FU80" s="113">
        <f>SUM(FP80:FT80)</f>
        <v>13353306</v>
      </c>
      <c r="FV80" s="113">
        <v>0</v>
      </c>
      <c r="FW80" s="113">
        <v>0</v>
      </c>
      <c r="FX80" s="113">
        <v>0</v>
      </c>
      <c r="FY80" s="113">
        <v>0</v>
      </c>
      <c r="FZ80" s="113">
        <v>0</v>
      </c>
      <c r="GA80" s="113">
        <v>0</v>
      </c>
      <c r="GB80" s="97">
        <v>728587</v>
      </c>
      <c r="GC80" s="97">
        <v>0</v>
      </c>
      <c r="GD80" s="97">
        <v>0</v>
      </c>
      <c r="GE80" s="97">
        <v>0</v>
      </c>
      <c r="GF80" s="97">
        <v>0</v>
      </c>
      <c r="GG80" s="97">
        <v>728587</v>
      </c>
      <c r="GH80" s="97">
        <v>493337</v>
      </c>
      <c r="GI80" s="97">
        <v>162980</v>
      </c>
      <c r="GJ80" s="97">
        <v>109397</v>
      </c>
      <c r="GK80" s="97">
        <v>281715</v>
      </c>
      <c r="GL80" s="97">
        <v>54685</v>
      </c>
      <c r="GM80" s="97">
        <f>SUM(GH80:GL80)</f>
        <v>1102114</v>
      </c>
      <c r="GN80" s="97">
        <v>1844631</v>
      </c>
      <c r="GO80" s="97">
        <v>541200</v>
      </c>
      <c r="GP80" s="97">
        <v>189556</v>
      </c>
      <c r="GQ80" s="97">
        <v>2691862</v>
      </c>
      <c r="GR80" s="97">
        <v>0</v>
      </c>
      <c r="GS80" s="97">
        <f>SUM(GN80:GR80)</f>
        <v>5267249</v>
      </c>
      <c r="GT80" s="97">
        <v>745374</v>
      </c>
      <c r="GU80" s="97">
        <v>104866</v>
      </c>
      <c r="GV80" s="97">
        <v>83539</v>
      </c>
      <c r="GW80" s="97">
        <v>1207711</v>
      </c>
      <c r="GX80" s="97">
        <v>442488</v>
      </c>
      <c r="GY80" s="97">
        <f>SUM(GT80:GX80)</f>
        <v>2583978</v>
      </c>
      <c r="GZ80" s="97">
        <v>2410043</v>
      </c>
      <c r="HA80" s="97">
        <v>1332285</v>
      </c>
      <c r="HB80" s="97">
        <v>183025</v>
      </c>
      <c r="HC80" s="97">
        <v>1018137</v>
      </c>
      <c r="HD80" s="97">
        <v>0</v>
      </c>
      <c r="HE80" s="97">
        <f>SUM(GZ80:HD80)</f>
        <v>4943490</v>
      </c>
      <c r="HF80" s="97">
        <v>279209</v>
      </c>
      <c r="HG80" s="97">
        <v>108274</v>
      </c>
      <c r="HH80" s="97">
        <v>0</v>
      </c>
      <c r="HI80" s="97">
        <v>0</v>
      </c>
      <c r="HJ80" s="97">
        <v>1580572</v>
      </c>
      <c r="HK80" s="97">
        <f>SUM(HF80:HJ80)</f>
        <v>1968055</v>
      </c>
      <c r="HL80" s="97">
        <v>45226</v>
      </c>
      <c r="HM80" s="97">
        <v>351202</v>
      </c>
      <c r="HN80" s="97">
        <v>41657</v>
      </c>
      <c r="HO80" s="97">
        <v>1471003</v>
      </c>
      <c r="HP80" s="97">
        <v>55221</v>
      </c>
      <c r="HQ80" s="97">
        <f>SUM(HL80:HP80)</f>
        <v>1964309</v>
      </c>
      <c r="HR80" s="97">
        <v>1016863</v>
      </c>
      <c r="HS80" s="97">
        <v>1673</v>
      </c>
      <c r="HT80" s="97">
        <v>28</v>
      </c>
      <c r="HU80" s="97">
        <v>90316</v>
      </c>
      <c r="HV80" s="97">
        <v>5542824</v>
      </c>
      <c r="HW80" s="97">
        <f>SUM(HR80:HV80)</f>
        <v>6651704</v>
      </c>
      <c r="HX80" s="97">
        <v>0</v>
      </c>
      <c r="HY80" s="97">
        <v>0</v>
      </c>
      <c r="HZ80" s="97">
        <v>0</v>
      </c>
      <c r="IA80" s="97">
        <v>0</v>
      </c>
      <c r="IB80" s="97">
        <v>0</v>
      </c>
      <c r="IC80" s="97">
        <v>0</v>
      </c>
      <c r="ID80" s="97">
        <v>0</v>
      </c>
      <c r="IE80" s="97">
        <v>0</v>
      </c>
      <c r="IF80" s="97">
        <v>0</v>
      </c>
      <c r="IG80" s="97">
        <v>0</v>
      </c>
      <c r="IH80" s="97">
        <v>0</v>
      </c>
      <c r="II80" s="97">
        <v>0</v>
      </c>
      <c r="IJ80" s="97">
        <v>0</v>
      </c>
      <c r="IK80" s="97">
        <v>0</v>
      </c>
      <c r="IL80" s="97">
        <v>0</v>
      </c>
      <c r="IM80" s="97">
        <v>0</v>
      </c>
      <c r="IN80" s="97">
        <v>445262</v>
      </c>
      <c r="IO80" s="97">
        <v>445262</v>
      </c>
      <c r="IP80" s="97">
        <v>19367</v>
      </c>
      <c r="IQ80" s="97">
        <v>6171</v>
      </c>
      <c r="IR80" s="97">
        <v>15211</v>
      </c>
      <c r="IS80" s="97">
        <v>29241</v>
      </c>
      <c r="IT80" s="97">
        <v>19948</v>
      </c>
      <c r="IU80" s="97">
        <f>SUM(IP80:IT80)</f>
        <v>89938</v>
      </c>
      <c r="IV80" s="97">
        <v>1853745</v>
      </c>
      <c r="IW80" s="97">
        <v>264410</v>
      </c>
      <c r="IX80" s="97">
        <v>173973</v>
      </c>
      <c r="IY80" s="97">
        <v>1806428</v>
      </c>
      <c r="IZ80" s="97">
        <v>1732830</v>
      </c>
      <c r="JA80" s="97">
        <f>SUM(IV80:IZ80)</f>
        <v>5831386</v>
      </c>
      <c r="JB80" s="97">
        <v>19193346</v>
      </c>
      <c r="JC80" s="97">
        <v>7216740</v>
      </c>
      <c r="JD80" s="97">
        <v>2465578</v>
      </c>
      <c r="JE80" s="97">
        <v>20560796</v>
      </c>
      <c r="JF80" s="97">
        <v>22295316</v>
      </c>
      <c r="JG80" s="97">
        <v>71731776</v>
      </c>
      <c r="JH80" s="97">
        <v>0</v>
      </c>
      <c r="JI80" s="97">
        <v>0</v>
      </c>
      <c r="JJ80" s="97">
        <v>0</v>
      </c>
      <c r="JK80" s="97">
        <v>0</v>
      </c>
      <c r="JL80" s="97">
        <v>0</v>
      </c>
      <c r="JM80" s="97">
        <v>0</v>
      </c>
      <c r="JN80" s="97">
        <v>19193346</v>
      </c>
      <c r="JO80" s="97">
        <v>7216740</v>
      </c>
      <c r="JP80" s="97">
        <v>2465578</v>
      </c>
      <c r="JQ80" s="97">
        <v>20560796</v>
      </c>
      <c r="JR80" s="97">
        <v>22295316</v>
      </c>
      <c r="JS80" s="97">
        <v>71731776</v>
      </c>
      <c r="JU80" s="5">
        <f t="shared" si="157"/>
        <v>14494463</v>
      </c>
      <c r="JV80" s="29">
        <f t="shared" si="158"/>
        <v>0</v>
      </c>
      <c r="JW80" s="5">
        <f t="shared" si="159"/>
        <v>2715664</v>
      </c>
      <c r="JX80" s="29">
        <f t="shared" si="160"/>
        <v>0</v>
      </c>
      <c r="JY80" s="5">
        <f t="shared" si="161"/>
        <v>3505391</v>
      </c>
      <c r="JZ80" s="29">
        <f t="shared" si="162"/>
        <v>0</v>
      </c>
      <c r="KA80" s="5">
        <f t="shared" si="163"/>
        <v>15998077</v>
      </c>
      <c r="KB80" s="29">
        <f t="shared" si="164"/>
        <v>0</v>
      </c>
      <c r="KC80" s="5">
        <f t="shared" si="165"/>
        <v>0</v>
      </c>
      <c r="KD80" s="29">
        <f t="shared" si="166"/>
        <v>0</v>
      </c>
      <c r="KE80" s="5">
        <f t="shared" si="167"/>
        <v>0</v>
      </c>
      <c r="KF80" s="29">
        <f t="shared" si="168"/>
        <v>0</v>
      </c>
      <c r="KG80" s="5">
        <f t="shared" si="169"/>
        <v>60000</v>
      </c>
      <c r="KH80" s="29">
        <f t="shared" si="170"/>
        <v>0</v>
      </c>
      <c r="KI80" s="5">
        <f t="shared" si="171"/>
        <v>0</v>
      </c>
      <c r="KJ80" s="29">
        <f t="shared" si="172"/>
        <v>0</v>
      </c>
      <c r="KK80" s="5">
        <f t="shared" si="173"/>
        <v>7590637</v>
      </c>
      <c r="KL80" s="29">
        <f t="shared" si="174"/>
        <v>0</v>
      </c>
      <c r="KM80" s="5">
        <f t="shared" si="175"/>
        <v>8093535</v>
      </c>
      <c r="KN80" s="29">
        <f t="shared" si="176"/>
        <v>0</v>
      </c>
      <c r="KO80" s="5">
        <f t="shared" si="177"/>
        <v>690594</v>
      </c>
      <c r="KP80" s="29">
        <f t="shared" si="178"/>
        <v>0</v>
      </c>
      <c r="KQ80" s="5">
        <f t="shared" si="179"/>
        <v>11407611</v>
      </c>
      <c r="KR80" s="29">
        <f t="shared" si="180"/>
        <v>0</v>
      </c>
      <c r="KS80" s="5">
        <f t="shared" si="181"/>
        <v>2406312</v>
      </c>
      <c r="KT80" s="29">
        <f t="shared" si="182"/>
        <v>0</v>
      </c>
      <c r="KU80" s="5">
        <f t="shared" si="183"/>
        <v>1393343</v>
      </c>
      <c r="KV80" s="29">
        <f t="shared" si="184"/>
        <v>0</v>
      </c>
      <c r="KW80" s="5">
        <f t="shared" si="185"/>
        <v>3376149</v>
      </c>
      <c r="KX80" s="29">
        <f t="shared" si="186"/>
        <v>0</v>
      </c>
      <c r="KY80" s="5">
        <f t="shared" si="187"/>
        <v>71731776</v>
      </c>
      <c r="KZ80" s="29">
        <f t="shared" si="188"/>
        <v>0</v>
      </c>
      <c r="LA80" s="5">
        <f t="shared" si="230"/>
        <v>11128431</v>
      </c>
      <c r="LB80" s="29">
        <f t="shared" si="231"/>
        <v>0</v>
      </c>
      <c r="LC80" s="5">
        <f t="shared" si="232"/>
        <v>2221197</v>
      </c>
      <c r="LD80" s="29">
        <f t="shared" si="189"/>
        <v>0</v>
      </c>
      <c r="LE80" s="5">
        <f t="shared" si="190"/>
        <v>13452770</v>
      </c>
      <c r="LF80" s="29">
        <f t="shared" si="191"/>
        <v>0</v>
      </c>
      <c r="LG80" s="5">
        <f t="shared" si="192"/>
        <v>0</v>
      </c>
      <c r="LH80" s="29">
        <f t="shared" si="193"/>
        <v>0</v>
      </c>
      <c r="LI80" s="5">
        <f t="shared" si="194"/>
        <v>13353306</v>
      </c>
      <c r="LJ80" s="29">
        <f t="shared" si="195"/>
        <v>0</v>
      </c>
      <c r="LK80" s="5">
        <f t="shared" si="196"/>
        <v>0</v>
      </c>
      <c r="LL80" s="29">
        <f t="shared" si="197"/>
        <v>0</v>
      </c>
      <c r="LM80" s="5">
        <f t="shared" si="198"/>
        <v>728587</v>
      </c>
      <c r="LN80" s="29">
        <f t="shared" si="199"/>
        <v>0</v>
      </c>
      <c r="LO80" s="5">
        <f t="shared" si="200"/>
        <v>1102114</v>
      </c>
      <c r="LP80" s="29">
        <f t="shared" si="201"/>
        <v>0</v>
      </c>
      <c r="LQ80" s="5">
        <f t="shared" si="202"/>
        <v>5267249</v>
      </c>
      <c r="LR80" s="29">
        <f t="shared" si="203"/>
        <v>0</v>
      </c>
      <c r="LS80" s="5">
        <f t="shared" si="204"/>
        <v>2583978</v>
      </c>
      <c r="LT80" s="29">
        <f t="shared" si="205"/>
        <v>0</v>
      </c>
      <c r="LU80" s="5">
        <f t="shared" si="206"/>
        <v>4943490</v>
      </c>
      <c r="LV80" s="29">
        <f t="shared" si="207"/>
        <v>0</v>
      </c>
      <c r="LW80" s="5">
        <f t="shared" si="208"/>
        <v>1968055</v>
      </c>
      <c r="LX80" s="29">
        <f t="shared" si="209"/>
        <v>0</v>
      </c>
      <c r="LY80" s="5">
        <f t="shared" si="210"/>
        <v>1964309</v>
      </c>
      <c r="LZ80" s="29">
        <f t="shared" si="211"/>
        <v>0</v>
      </c>
      <c r="MA80" s="5">
        <f t="shared" si="212"/>
        <v>6651704</v>
      </c>
      <c r="MB80" s="29">
        <f t="shared" si="213"/>
        <v>0</v>
      </c>
      <c r="MC80" s="5">
        <f t="shared" si="214"/>
        <v>0</v>
      </c>
      <c r="MD80" s="29">
        <f t="shared" si="215"/>
        <v>0</v>
      </c>
      <c r="ME80" s="5">
        <f t="shared" si="216"/>
        <v>0</v>
      </c>
      <c r="MF80" s="29">
        <f t="shared" si="217"/>
        <v>0</v>
      </c>
      <c r="MG80" s="5">
        <f t="shared" si="218"/>
        <v>445262</v>
      </c>
      <c r="MH80" s="29">
        <f t="shared" si="219"/>
        <v>0</v>
      </c>
      <c r="MI80" s="5">
        <f t="shared" si="220"/>
        <v>89938</v>
      </c>
      <c r="MJ80" s="29">
        <f t="shared" si="221"/>
        <v>0</v>
      </c>
      <c r="MK80" s="5">
        <f t="shared" si="222"/>
        <v>5831386</v>
      </c>
      <c r="ML80" s="29">
        <f t="shared" si="223"/>
        <v>0</v>
      </c>
      <c r="MM80" s="5">
        <f t="shared" si="224"/>
        <v>71731776</v>
      </c>
      <c r="MN80" s="29">
        <f t="shared" si="225"/>
        <v>0</v>
      </c>
      <c r="MO80" s="5">
        <f t="shared" si="226"/>
        <v>0</v>
      </c>
      <c r="MP80" s="29">
        <f t="shared" si="227"/>
        <v>0</v>
      </c>
      <c r="MQ80" s="5">
        <f t="shared" si="228"/>
        <v>71731776</v>
      </c>
      <c r="MR80" s="29">
        <f t="shared" si="229"/>
        <v>0</v>
      </c>
      <c r="MT80" s="5">
        <f t="shared" si="156"/>
        <v>0</v>
      </c>
      <c r="MV80" s="4">
        <f t="shared" si="155"/>
        <v>0</v>
      </c>
    </row>
    <row r="81" spans="1:360" x14ac:dyDescent="0.15">
      <c r="A81" s="156" t="s">
        <v>357</v>
      </c>
      <c r="B81" s="28" t="s">
        <v>471</v>
      </c>
      <c r="C81" s="47">
        <v>230728</v>
      </c>
      <c r="D81" s="48">
        <v>2012</v>
      </c>
      <c r="E81" s="49">
        <v>1</v>
      </c>
      <c r="F81" s="49">
        <v>10</v>
      </c>
      <c r="G81" s="50">
        <v>6844</v>
      </c>
      <c r="H81" s="50">
        <v>7481</v>
      </c>
      <c r="I81" s="51">
        <v>559922135</v>
      </c>
      <c r="J81" s="51"/>
      <c r="K81" s="51">
        <v>832950</v>
      </c>
      <c r="L81" s="51"/>
      <c r="M81" s="51">
        <v>9986447</v>
      </c>
      <c r="N81" s="51"/>
      <c r="O81" s="51">
        <v>8460000</v>
      </c>
      <c r="P81" s="51"/>
      <c r="Q81" s="51">
        <v>98915057</v>
      </c>
      <c r="R81" s="51"/>
      <c r="S81" s="51">
        <v>517160657</v>
      </c>
      <c r="T81" s="51"/>
      <c r="U81" s="51">
        <v>11642</v>
      </c>
      <c r="V81" s="51"/>
      <c r="W81" s="51">
        <v>22157</v>
      </c>
      <c r="X81" s="51"/>
      <c r="Y81" s="51">
        <v>16760</v>
      </c>
      <c r="Z81" s="51"/>
      <c r="AA81" s="51">
        <v>27060</v>
      </c>
      <c r="AB81" s="51"/>
      <c r="AC81" s="72">
        <v>7</v>
      </c>
      <c r="AD81" s="72">
        <v>9</v>
      </c>
      <c r="AE81" s="72">
        <v>0</v>
      </c>
      <c r="AF81" s="29">
        <v>2459615</v>
      </c>
      <c r="AG81" s="29">
        <v>1818276</v>
      </c>
      <c r="AH81" s="29">
        <v>392273</v>
      </c>
      <c r="AI81" s="29">
        <v>154816</v>
      </c>
      <c r="AJ81" s="29">
        <v>358859</v>
      </c>
      <c r="AK81" s="73">
        <v>3.75</v>
      </c>
      <c r="AL81" s="29">
        <v>269144</v>
      </c>
      <c r="AM81" s="73">
        <v>5</v>
      </c>
      <c r="AN81" s="29">
        <v>100993</v>
      </c>
      <c r="AO81" s="73">
        <v>6</v>
      </c>
      <c r="AP81" s="29">
        <v>86565</v>
      </c>
      <c r="AQ81" s="73">
        <v>7</v>
      </c>
      <c r="AR81" s="29">
        <v>96667</v>
      </c>
      <c r="AS81" s="73">
        <v>16</v>
      </c>
      <c r="AT81" s="29">
        <v>85926</v>
      </c>
      <c r="AU81" s="73">
        <v>18</v>
      </c>
      <c r="AV81" s="29">
        <v>51543</v>
      </c>
      <c r="AW81" s="73">
        <v>10.5</v>
      </c>
      <c r="AX81" s="29">
        <v>45101</v>
      </c>
      <c r="AY81" s="73">
        <v>12</v>
      </c>
      <c r="AZ81" s="97">
        <v>848722</v>
      </c>
      <c r="BA81" s="113">
        <v>1033756</v>
      </c>
      <c r="BB81" s="113">
        <v>0</v>
      </c>
      <c r="BC81" s="113">
        <f>1882478+21288-AZ81-BA81-BB81</f>
        <v>21288</v>
      </c>
      <c r="BD81" s="113">
        <v>286150</v>
      </c>
      <c r="BE81" s="113">
        <v>2189916</v>
      </c>
      <c r="BF81" s="113">
        <v>336770</v>
      </c>
      <c r="BG81" s="97">
        <v>531923</v>
      </c>
      <c r="BH81" s="97">
        <v>0</v>
      </c>
      <c r="BI81" s="97">
        <f>868693+0-BF81-BG81-BH81</f>
        <v>0</v>
      </c>
      <c r="BJ81" s="97">
        <v>3092184</v>
      </c>
      <c r="BK81" s="97">
        <v>3960877</v>
      </c>
      <c r="BL81" s="97">
        <v>951900</v>
      </c>
      <c r="BM81" s="113">
        <v>60000</v>
      </c>
      <c r="BN81" s="113">
        <v>0</v>
      </c>
      <c r="BO81" s="113">
        <f>1011900+2000-BL81-BM81-BN81</f>
        <v>2000</v>
      </c>
      <c r="BP81" s="113">
        <v>0</v>
      </c>
      <c r="BQ81" s="113">
        <v>1013900</v>
      </c>
      <c r="BR81" s="113">
        <v>471368</v>
      </c>
      <c r="BS81" s="113">
        <v>80933</v>
      </c>
      <c r="BT81" s="113">
        <v>21350</v>
      </c>
      <c r="BU81" s="113">
        <f>567543+59915-BR81-BS81-BT81</f>
        <v>53807</v>
      </c>
      <c r="BV81" s="113">
        <v>1455335</v>
      </c>
      <c r="BW81" s="113">
        <v>2082793</v>
      </c>
      <c r="BX81" s="113">
        <v>80000</v>
      </c>
      <c r="BY81" s="97">
        <v>90000</v>
      </c>
      <c r="BZ81" s="97">
        <v>0</v>
      </c>
      <c r="CA81" s="97">
        <f>170000+0-BX81-BY81-BZ81</f>
        <v>0</v>
      </c>
      <c r="CB81" s="97">
        <v>0</v>
      </c>
      <c r="CC81" s="97">
        <v>170000</v>
      </c>
      <c r="CD81" s="97">
        <v>0</v>
      </c>
      <c r="CE81" s="97">
        <v>0</v>
      </c>
      <c r="CF81" s="97">
        <v>0</v>
      </c>
      <c r="CG81" s="97">
        <v>0</v>
      </c>
      <c r="CH81" s="97">
        <v>0</v>
      </c>
      <c r="CI81" s="97">
        <v>0</v>
      </c>
      <c r="CJ81" s="97">
        <v>0</v>
      </c>
      <c r="CK81" s="113">
        <v>0</v>
      </c>
      <c r="CL81" s="113">
        <v>0</v>
      </c>
      <c r="CM81" s="113">
        <v>0</v>
      </c>
      <c r="CN81" s="113">
        <v>7211342</v>
      </c>
      <c r="CO81" s="113">
        <v>7211342</v>
      </c>
      <c r="CP81" s="113">
        <v>245267</v>
      </c>
      <c r="CQ81" s="97">
        <v>99411</v>
      </c>
      <c r="CR81" s="97">
        <v>0</v>
      </c>
      <c r="CS81" s="97">
        <f>369479+132304-CP81-CQ81-CR81</f>
        <v>157105</v>
      </c>
      <c r="CT81" s="97">
        <v>1115829</v>
      </c>
      <c r="CU81" s="97">
        <v>1617612</v>
      </c>
      <c r="CV81" s="97">
        <v>677502</v>
      </c>
      <c r="CW81" s="113">
        <v>460537</v>
      </c>
      <c r="CX81" s="113">
        <v>0</v>
      </c>
      <c r="CY81" s="113">
        <f>1138039+0-CV81-CW81-CX81</f>
        <v>0</v>
      </c>
      <c r="CZ81" s="113">
        <v>943889</v>
      </c>
      <c r="DA81" s="113">
        <v>2081928</v>
      </c>
      <c r="DB81" s="113">
        <v>0</v>
      </c>
      <c r="DC81" s="97">
        <v>0</v>
      </c>
      <c r="DD81" s="97">
        <v>0</v>
      </c>
      <c r="DE81" s="97">
        <v>0</v>
      </c>
      <c r="DF81" s="97">
        <v>0</v>
      </c>
      <c r="DG81" s="97">
        <v>0</v>
      </c>
      <c r="DH81" s="97">
        <v>16598</v>
      </c>
      <c r="DI81" s="113">
        <v>38729</v>
      </c>
      <c r="DJ81" s="113">
        <v>0</v>
      </c>
      <c r="DK81" s="113">
        <f>55327+0-DH81-DI81-DJ81</f>
        <v>0</v>
      </c>
      <c r="DL81" s="113">
        <v>0</v>
      </c>
      <c r="DM81" s="113">
        <v>55327</v>
      </c>
      <c r="DN81" s="113">
        <v>175467</v>
      </c>
      <c r="DO81" s="113">
        <v>165467</v>
      </c>
      <c r="DP81" s="113">
        <v>0</v>
      </c>
      <c r="DQ81" s="113">
        <f>340934+0-DN81-DO81-DP81</f>
        <v>0</v>
      </c>
      <c r="DR81" s="113">
        <v>76771</v>
      </c>
      <c r="DS81" s="113">
        <v>417705</v>
      </c>
      <c r="DT81" s="113">
        <v>0</v>
      </c>
      <c r="DU81" s="113">
        <v>0</v>
      </c>
      <c r="DV81" s="113">
        <v>0</v>
      </c>
      <c r="DW81" s="113">
        <v>0</v>
      </c>
      <c r="DX81" s="113">
        <v>0</v>
      </c>
      <c r="DY81" s="113">
        <v>0</v>
      </c>
      <c r="DZ81" s="113">
        <v>15288</v>
      </c>
      <c r="EA81" s="113">
        <v>17264</v>
      </c>
      <c r="EB81" s="113">
        <v>12923</v>
      </c>
      <c r="EC81" s="113">
        <f>44357+46098-DZ81-EA81-EB81</f>
        <v>44980</v>
      </c>
      <c r="ED81" s="113">
        <v>17737</v>
      </c>
      <c r="EE81" s="113">
        <v>108192</v>
      </c>
      <c r="EF81" s="113">
        <v>3245</v>
      </c>
      <c r="EG81" s="113">
        <v>7</v>
      </c>
      <c r="EH81" s="113">
        <v>1525</v>
      </c>
      <c r="EI81" s="113">
        <f>15650+10106-EF81-EG81-EH81</f>
        <v>20979</v>
      </c>
      <c r="EJ81" s="113">
        <v>125894</v>
      </c>
      <c r="EK81" s="113">
        <v>151650</v>
      </c>
      <c r="EL81" s="113">
        <v>3822127</v>
      </c>
      <c r="EM81" s="113">
        <v>2578027</v>
      </c>
      <c r="EN81" s="113">
        <v>35798</v>
      </c>
      <c r="EO81" s="113">
        <f>6464400+271711-EL81-EM81-EN81</f>
        <v>300159</v>
      </c>
      <c r="EP81" s="113">
        <v>14325131</v>
      </c>
      <c r="EQ81" s="113">
        <v>21061242</v>
      </c>
      <c r="ER81" s="113">
        <v>1750836</v>
      </c>
      <c r="ES81" s="113">
        <v>324324</v>
      </c>
      <c r="ET81" s="113">
        <v>382703</v>
      </c>
      <c r="EU81" s="113">
        <f>2459615+1818276-ER81-ES81-ET81</f>
        <v>1820028</v>
      </c>
      <c r="EV81" s="113">
        <v>234575</v>
      </c>
      <c r="EW81" s="113">
        <v>4512466</v>
      </c>
      <c r="EX81" s="113">
        <v>250000</v>
      </c>
      <c r="EY81" s="113">
        <v>237000</v>
      </c>
      <c r="EZ81" s="113">
        <v>5500</v>
      </c>
      <c r="FA81" s="113">
        <f>487000+11500-EX81-EY81-EZ81</f>
        <v>6000</v>
      </c>
      <c r="FB81" s="113">
        <v>0</v>
      </c>
      <c r="FC81" s="113">
        <v>498500</v>
      </c>
      <c r="FD81" s="97">
        <f>516384+1071815</f>
        <v>1588199</v>
      </c>
      <c r="FE81" s="113">
        <f>693547+373642</f>
        <v>1067189</v>
      </c>
      <c r="FF81" s="113">
        <f>172617+182615</f>
        <v>355232</v>
      </c>
      <c r="FG81" s="113">
        <f>1345722+1546675+605958+541206-FD81-FE81-FF81</f>
        <v>1028941</v>
      </c>
      <c r="FH81" s="113">
        <v>0</v>
      </c>
      <c r="FI81" s="113">
        <v>4039561</v>
      </c>
      <c r="FJ81" s="113">
        <v>80000</v>
      </c>
      <c r="FK81" s="97">
        <v>90000</v>
      </c>
      <c r="FL81" s="97">
        <v>0</v>
      </c>
      <c r="FM81" s="97">
        <f>170000+0+0+0-FJ81-FK81-FL81</f>
        <v>0</v>
      </c>
      <c r="FN81" s="97">
        <v>0</v>
      </c>
      <c r="FO81" s="97">
        <v>170000</v>
      </c>
      <c r="FP81" s="97">
        <v>76231</v>
      </c>
      <c r="FQ81" s="113">
        <v>0</v>
      </c>
      <c r="FR81" s="113">
        <v>0</v>
      </c>
      <c r="FS81" s="113">
        <f>95047+18816-FP81-FQ81-FR81</f>
        <v>37632</v>
      </c>
      <c r="FT81" s="113">
        <v>2511068</v>
      </c>
      <c r="FU81" s="113">
        <v>2624931</v>
      </c>
      <c r="FV81" s="113">
        <v>0</v>
      </c>
      <c r="FW81" s="97">
        <v>0</v>
      </c>
      <c r="FX81" s="97">
        <v>0</v>
      </c>
      <c r="FY81" s="97">
        <v>0</v>
      </c>
      <c r="FZ81" s="97">
        <v>0</v>
      </c>
      <c r="GA81" s="97">
        <v>0</v>
      </c>
      <c r="GB81" s="97"/>
      <c r="GC81" s="97">
        <v>0</v>
      </c>
      <c r="GD81" s="97">
        <v>0</v>
      </c>
      <c r="GE81" s="97">
        <v>0</v>
      </c>
      <c r="GF81" s="97">
        <v>0</v>
      </c>
      <c r="GG81" s="97">
        <v>0</v>
      </c>
      <c r="GH81" s="97">
        <v>250777</v>
      </c>
      <c r="GI81" s="97">
        <v>127047</v>
      </c>
      <c r="GJ81" s="97">
        <v>47446</v>
      </c>
      <c r="GK81" s="97">
        <f>392273+154816-GH81-GI81-GJ81</f>
        <v>121819</v>
      </c>
      <c r="GL81" s="97">
        <v>0</v>
      </c>
      <c r="GM81" s="97">
        <v>547089</v>
      </c>
      <c r="GN81" s="97">
        <v>913501</v>
      </c>
      <c r="GO81" s="97">
        <v>348329</v>
      </c>
      <c r="GP81" s="97">
        <v>271859</v>
      </c>
      <c r="GQ81" s="97">
        <f>1642632+1108486-GN81-GO81-GP81</f>
        <v>1217429</v>
      </c>
      <c r="GR81" s="97">
        <v>0</v>
      </c>
      <c r="GS81" s="97">
        <v>2751118</v>
      </c>
      <c r="GT81" s="97">
        <v>388611</v>
      </c>
      <c r="GU81" s="97">
        <v>51087</v>
      </c>
      <c r="GV81" s="97">
        <v>42872</v>
      </c>
      <c r="GW81" s="97">
        <f>500462+266430-GT81-GU81-GV81</f>
        <v>284322</v>
      </c>
      <c r="GX81" s="97">
        <v>369527</v>
      </c>
      <c r="GY81" s="97">
        <v>1136419</v>
      </c>
      <c r="GZ81" s="97">
        <v>90640</v>
      </c>
      <c r="HA81" s="97">
        <v>173267</v>
      </c>
      <c r="HB81" s="97">
        <v>70633</v>
      </c>
      <c r="HC81" s="97">
        <f>266745+117389-GZ81-HA81-HB81</f>
        <v>49594</v>
      </c>
      <c r="HD81" s="97">
        <v>0</v>
      </c>
      <c r="HE81" s="97">
        <v>384134</v>
      </c>
      <c r="HF81" s="97">
        <v>0</v>
      </c>
      <c r="HG81" s="97">
        <v>0</v>
      </c>
      <c r="HH81" s="97">
        <v>0</v>
      </c>
      <c r="HI81" s="97">
        <f>0+1690-HF81-HG81-HH81</f>
        <v>1690</v>
      </c>
      <c r="HJ81" s="97">
        <v>202948</v>
      </c>
      <c r="HK81" s="97">
        <v>204638</v>
      </c>
      <c r="HL81" s="97">
        <v>0</v>
      </c>
      <c r="HM81" s="97">
        <v>0</v>
      </c>
      <c r="HN81" s="97">
        <v>0</v>
      </c>
      <c r="HO81" s="97">
        <v>0</v>
      </c>
      <c r="HP81" s="97">
        <v>0</v>
      </c>
      <c r="HQ81" s="97">
        <v>0</v>
      </c>
      <c r="HR81" s="97">
        <v>170304</v>
      </c>
      <c r="HS81" s="97">
        <v>1160</v>
      </c>
      <c r="HT81" s="97">
        <v>23948</v>
      </c>
      <c r="HU81" s="97">
        <f>178079+66469-HR81-HS81-HT81</f>
        <v>49136</v>
      </c>
      <c r="HV81" s="97">
        <v>409541</v>
      </c>
      <c r="HW81" s="97">
        <v>654089</v>
      </c>
      <c r="HX81" s="97">
        <v>0</v>
      </c>
      <c r="HY81" s="97">
        <v>0</v>
      </c>
      <c r="HZ81" s="97">
        <v>0</v>
      </c>
      <c r="IA81" s="97">
        <v>0</v>
      </c>
      <c r="IB81" s="97">
        <v>0</v>
      </c>
      <c r="IC81" s="97">
        <v>0</v>
      </c>
      <c r="ID81" s="97">
        <v>245267</v>
      </c>
      <c r="IE81" s="97">
        <v>99411</v>
      </c>
      <c r="IF81" s="97">
        <v>0</v>
      </c>
      <c r="IG81" s="97">
        <f>369479+132304-ID81-IE81-IF81</f>
        <v>157105</v>
      </c>
      <c r="IH81" s="97">
        <v>1115829</v>
      </c>
      <c r="II81" s="97">
        <v>1617612</v>
      </c>
      <c r="IJ81" s="97">
        <v>0</v>
      </c>
      <c r="IK81" s="97">
        <v>0</v>
      </c>
      <c r="IL81" s="97">
        <v>0</v>
      </c>
      <c r="IM81" s="97">
        <v>0</v>
      </c>
      <c r="IN81" s="97">
        <v>279093</v>
      </c>
      <c r="IO81" s="97">
        <v>279093</v>
      </c>
      <c r="IP81" s="97">
        <v>640</v>
      </c>
      <c r="IQ81" s="97">
        <v>158835</v>
      </c>
      <c r="IR81" s="97">
        <v>0</v>
      </c>
      <c r="IS81" s="97">
        <f>159475+0-IP81-IQ81-IR81</f>
        <v>0</v>
      </c>
      <c r="IT81" s="97">
        <v>918481</v>
      </c>
      <c r="IU81" s="97">
        <v>1077956</v>
      </c>
      <c r="IV81" s="97">
        <v>77884</v>
      </c>
      <c r="IW81" s="97">
        <v>16207</v>
      </c>
      <c r="IX81" s="97">
        <v>6585</v>
      </c>
      <c r="IY81" s="97">
        <f>102492+60586-IV81-IW81-IX81</f>
        <v>62402</v>
      </c>
      <c r="IZ81" s="97">
        <v>905093</v>
      </c>
      <c r="JA81" s="97">
        <v>1068171</v>
      </c>
      <c r="JB81" s="97">
        <v>5882890</v>
      </c>
      <c r="JC81" s="97">
        <v>2693856</v>
      </c>
      <c r="JD81" s="97">
        <v>1206778</v>
      </c>
      <c r="JE81" s="97">
        <f>9715696+4903926-JB81-JC81-JD81</f>
        <v>4836098</v>
      </c>
      <c r="JF81" s="97">
        <v>6946155</v>
      </c>
      <c r="JG81" s="97">
        <v>21565777</v>
      </c>
      <c r="JH81" s="97">
        <v>0</v>
      </c>
      <c r="JI81" s="97">
        <v>0</v>
      </c>
      <c r="JJ81" s="97">
        <v>0</v>
      </c>
      <c r="JK81" s="97">
        <v>0</v>
      </c>
      <c r="JL81" s="97">
        <v>0</v>
      </c>
      <c r="JM81" s="97">
        <v>0</v>
      </c>
      <c r="JN81" s="97">
        <v>5882890</v>
      </c>
      <c r="JO81" s="97">
        <v>2693856</v>
      </c>
      <c r="JP81" s="97">
        <v>1206778</v>
      </c>
      <c r="JQ81" s="97">
        <f>9715696+4903926-JN81-JO81-JP81</f>
        <v>4836098</v>
      </c>
      <c r="JR81" s="97">
        <v>6946155</v>
      </c>
      <c r="JS81" s="97">
        <v>21565777</v>
      </c>
      <c r="JU81" s="5">
        <f t="shared" si="157"/>
        <v>2189916</v>
      </c>
      <c r="JV81" s="29">
        <f t="shared" si="158"/>
        <v>0</v>
      </c>
      <c r="JW81" s="5">
        <f t="shared" si="159"/>
        <v>3960877</v>
      </c>
      <c r="JX81" s="29">
        <f t="shared" si="160"/>
        <v>0</v>
      </c>
      <c r="JY81" s="5">
        <f t="shared" si="161"/>
        <v>1013900</v>
      </c>
      <c r="JZ81" s="29">
        <f t="shared" si="162"/>
        <v>0</v>
      </c>
      <c r="KA81" s="5">
        <f t="shared" si="163"/>
        <v>2082793</v>
      </c>
      <c r="KB81" s="29">
        <f t="shared" si="164"/>
        <v>0</v>
      </c>
      <c r="KC81" s="5">
        <f t="shared" si="165"/>
        <v>170000</v>
      </c>
      <c r="KD81" s="29">
        <f t="shared" si="166"/>
        <v>0</v>
      </c>
      <c r="KE81" s="5">
        <f t="shared" si="167"/>
        <v>0</v>
      </c>
      <c r="KF81" s="29">
        <f t="shared" si="168"/>
        <v>0</v>
      </c>
      <c r="KG81" s="5">
        <f t="shared" si="169"/>
        <v>7211342</v>
      </c>
      <c r="KH81" s="29">
        <f t="shared" si="170"/>
        <v>0</v>
      </c>
      <c r="KI81" s="5">
        <f t="shared" si="171"/>
        <v>1617612</v>
      </c>
      <c r="KJ81" s="29">
        <f t="shared" si="172"/>
        <v>0</v>
      </c>
      <c r="KK81" s="5">
        <f t="shared" si="173"/>
        <v>2081928</v>
      </c>
      <c r="KL81" s="29">
        <f t="shared" si="174"/>
        <v>0</v>
      </c>
      <c r="KM81" s="5">
        <f t="shared" si="175"/>
        <v>0</v>
      </c>
      <c r="KN81" s="29">
        <f t="shared" si="176"/>
        <v>0</v>
      </c>
      <c r="KO81" s="5">
        <f t="shared" si="177"/>
        <v>55327</v>
      </c>
      <c r="KP81" s="29">
        <f t="shared" si="178"/>
        <v>0</v>
      </c>
      <c r="KQ81" s="5">
        <f t="shared" si="179"/>
        <v>417705</v>
      </c>
      <c r="KR81" s="29">
        <f t="shared" si="180"/>
        <v>0</v>
      </c>
      <c r="KS81" s="5">
        <f t="shared" si="181"/>
        <v>0</v>
      </c>
      <c r="KT81" s="29">
        <f t="shared" si="182"/>
        <v>0</v>
      </c>
      <c r="KU81" s="5">
        <f t="shared" si="183"/>
        <v>108192</v>
      </c>
      <c r="KV81" s="29">
        <f t="shared" si="184"/>
        <v>0</v>
      </c>
      <c r="KW81" s="5">
        <f t="shared" si="185"/>
        <v>151650</v>
      </c>
      <c r="KX81" s="29">
        <f t="shared" si="186"/>
        <v>0</v>
      </c>
      <c r="KY81" s="5">
        <f t="shared" si="187"/>
        <v>21061242</v>
      </c>
      <c r="KZ81" s="29">
        <f t="shared" si="188"/>
        <v>0</v>
      </c>
      <c r="LA81" s="5">
        <f t="shared" si="230"/>
        <v>4512466</v>
      </c>
      <c r="LB81" s="29">
        <f t="shared" si="231"/>
        <v>0</v>
      </c>
      <c r="LC81" s="5">
        <f t="shared" si="232"/>
        <v>498500</v>
      </c>
      <c r="LD81" s="29">
        <f t="shared" si="189"/>
        <v>0</v>
      </c>
      <c r="LE81" s="5">
        <f>SUM(FD81:FH81)</f>
        <v>4039561</v>
      </c>
      <c r="LF81" s="29">
        <f t="shared" si="191"/>
        <v>0</v>
      </c>
      <c r="LG81" s="5">
        <f t="shared" si="192"/>
        <v>170000</v>
      </c>
      <c r="LH81" s="29">
        <f t="shared" si="193"/>
        <v>0</v>
      </c>
      <c r="LI81" s="5">
        <f t="shared" si="194"/>
        <v>2624931</v>
      </c>
      <c r="LJ81" s="29">
        <f t="shared" si="195"/>
        <v>0</v>
      </c>
      <c r="LK81" s="5">
        <f t="shared" si="196"/>
        <v>0</v>
      </c>
      <c r="LL81" s="29">
        <f t="shared" si="197"/>
        <v>0</v>
      </c>
      <c r="LM81" s="5">
        <f t="shared" si="198"/>
        <v>0</v>
      </c>
      <c r="LN81" s="29">
        <f t="shared" si="199"/>
        <v>0</v>
      </c>
      <c r="LO81" s="5">
        <f t="shared" si="200"/>
        <v>547089</v>
      </c>
      <c r="LP81" s="29">
        <f t="shared" si="201"/>
        <v>0</v>
      </c>
      <c r="LQ81" s="5">
        <f t="shared" si="202"/>
        <v>2751118</v>
      </c>
      <c r="LR81" s="29">
        <f t="shared" si="203"/>
        <v>0</v>
      </c>
      <c r="LS81" s="5">
        <f t="shared" si="204"/>
        <v>1136419</v>
      </c>
      <c r="LT81" s="29">
        <f t="shared" si="205"/>
        <v>0</v>
      </c>
      <c r="LU81" s="5">
        <f t="shared" si="206"/>
        <v>384134</v>
      </c>
      <c r="LV81" s="29">
        <f t="shared" si="207"/>
        <v>0</v>
      </c>
      <c r="LW81" s="5">
        <f t="shared" si="208"/>
        <v>204638</v>
      </c>
      <c r="LX81" s="29">
        <f t="shared" si="209"/>
        <v>0</v>
      </c>
      <c r="LY81" s="5">
        <f t="shared" si="210"/>
        <v>0</v>
      </c>
      <c r="LZ81" s="29">
        <f t="shared" si="211"/>
        <v>0</v>
      </c>
      <c r="MA81" s="5">
        <f t="shared" si="212"/>
        <v>654089</v>
      </c>
      <c r="MB81" s="29">
        <f t="shared" si="213"/>
        <v>0</v>
      </c>
      <c r="MC81" s="5">
        <f t="shared" si="214"/>
        <v>0</v>
      </c>
      <c r="MD81" s="29">
        <f t="shared" si="215"/>
        <v>0</v>
      </c>
      <c r="ME81" s="5">
        <f t="shared" si="216"/>
        <v>1617612</v>
      </c>
      <c r="MF81" s="29">
        <f t="shared" si="217"/>
        <v>0</v>
      </c>
      <c r="MG81" s="5">
        <f t="shared" si="218"/>
        <v>279093</v>
      </c>
      <c r="MH81" s="29">
        <f t="shared" si="219"/>
        <v>0</v>
      </c>
      <c r="MI81" s="5">
        <f t="shared" si="220"/>
        <v>1077956</v>
      </c>
      <c r="MJ81" s="29">
        <f t="shared" si="221"/>
        <v>0</v>
      </c>
      <c r="MK81" s="5">
        <f t="shared" si="222"/>
        <v>1068171</v>
      </c>
      <c r="ML81" s="29">
        <f t="shared" si="223"/>
        <v>0</v>
      </c>
      <c r="MM81" s="5">
        <f t="shared" si="224"/>
        <v>21565777</v>
      </c>
      <c r="MN81" s="29">
        <f t="shared" si="225"/>
        <v>0</v>
      </c>
      <c r="MO81" s="5">
        <f t="shared" si="226"/>
        <v>0</v>
      </c>
      <c r="MP81" s="29">
        <f t="shared" si="227"/>
        <v>0</v>
      </c>
      <c r="MQ81" s="5">
        <f t="shared" si="228"/>
        <v>21565777</v>
      </c>
      <c r="MR81" s="29">
        <f t="shared" si="229"/>
        <v>0</v>
      </c>
      <c r="MT81" s="5">
        <f t="shared" si="156"/>
        <v>0</v>
      </c>
      <c r="MV81" s="4">
        <f t="shared" si="155"/>
        <v>0</v>
      </c>
    </row>
    <row r="82" spans="1:360" x14ac:dyDescent="0.15">
      <c r="A82" s="158" t="s">
        <v>295</v>
      </c>
      <c r="B82" s="28" t="s">
        <v>458</v>
      </c>
      <c r="C82" s="47">
        <v>230728</v>
      </c>
      <c r="D82" s="48">
        <v>2012</v>
      </c>
      <c r="E82" s="49">
        <v>1</v>
      </c>
      <c r="F82" s="49">
        <v>4</v>
      </c>
      <c r="G82" s="50">
        <v>13480</v>
      </c>
      <c r="H82" s="50">
        <v>10817</v>
      </c>
      <c r="I82" s="51">
        <v>2959630000</v>
      </c>
      <c r="J82" s="51"/>
      <c r="K82" s="51">
        <v>1006328</v>
      </c>
      <c r="L82" s="51"/>
      <c r="M82" s="51">
        <v>40328036</v>
      </c>
      <c r="N82" s="51"/>
      <c r="O82" s="51">
        <v>3000000</v>
      </c>
      <c r="P82" s="51"/>
      <c r="Q82" s="51">
        <v>40328036</v>
      </c>
      <c r="R82" s="51"/>
      <c r="S82" s="51">
        <v>1433999000</v>
      </c>
      <c r="T82" s="51"/>
      <c r="U82" s="51">
        <v>14599</v>
      </c>
      <c r="V82" s="51"/>
      <c r="W82" s="51"/>
      <c r="X82" s="51"/>
      <c r="Y82" s="51"/>
      <c r="Z82" s="51"/>
      <c r="AA82" s="51"/>
      <c r="AB82" s="51"/>
      <c r="AC82" s="72"/>
      <c r="AD82" s="72"/>
      <c r="AE82" s="72"/>
      <c r="AF82" s="29">
        <v>3875519</v>
      </c>
      <c r="AG82" s="29">
        <v>3113581</v>
      </c>
      <c r="AH82" s="29">
        <v>760912</v>
      </c>
      <c r="AI82" s="29">
        <v>334898</v>
      </c>
      <c r="AJ82" s="29">
        <v>567652.67000000004</v>
      </c>
      <c r="AK82" s="73">
        <v>6</v>
      </c>
      <c r="AL82" s="29">
        <v>486559.43</v>
      </c>
      <c r="AM82" s="73">
        <v>7</v>
      </c>
      <c r="AN82" s="29">
        <v>143011</v>
      </c>
      <c r="AO82" s="73">
        <v>8</v>
      </c>
      <c r="AP82" s="29">
        <v>127120.89</v>
      </c>
      <c r="AQ82" s="73">
        <v>9</v>
      </c>
      <c r="AR82" s="29">
        <v>187196.6</v>
      </c>
      <c r="AS82" s="73">
        <v>18.25</v>
      </c>
      <c r="AT82" s="29">
        <v>162682.76</v>
      </c>
      <c r="AU82" s="73">
        <v>21</v>
      </c>
      <c r="AV82" s="29">
        <v>84751.69</v>
      </c>
      <c r="AW82" s="73">
        <v>16.25</v>
      </c>
      <c r="AX82" s="29">
        <v>72485</v>
      </c>
      <c r="AY82" s="73">
        <v>19</v>
      </c>
      <c r="AZ82" s="97">
        <v>9052422</v>
      </c>
      <c r="BA82" s="113">
        <v>1743293</v>
      </c>
      <c r="BB82" s="113">
        <v>8570</v>
      </c>
      <c r="BC82" s="113">
        <v>483640</v>
      </c>
      <c r="BD82" s="113">
        <v>0</v>
      </c>
      <c r="BE82" s="113">
        <v>11287925</v>
      </c>
      <c r="BF82" s="113">
        <v>0</v>
      </c>
      <c r="BG82" s="97">
        <v>0</v>
      </c>
      <c r="BH82" s="97">
        <v>0</v>
      </c>
      <c r="BI82" s="97">
        <v>0</v>
      </c>
      <c r="BJ82" s="97">
        <v>6012882</v>
      </c>
      <c r="BK82" s="97">
        <v>6012882</v>
      </c>
      <c r="BL82" s="97">
        <v>250000</v>
      </c>
      <c r="BM82" s="113">
        <v>125000</v>
      </c>
      <c r="BN82" s="113">
        <v>2000</v>
      </c>
      <c r="BO82" s="113">
        <v>2458</v>
      </c>
      <c r="BP82" s="113">
        <v>0</v>
      </c>
      <c r="BQ82" s="113">
        <v>379458</v>
      </c>
      <c r="BR82" s="113">
        <v>5682138</v>
      </c>
      <c r="BS82" s="113">
        <v>2291015</v>
      </c>
      <c r="BT82" s="113">
        <v>18759</v>
      </c>
      <c r="BU82" s="113">
        <v>278766</v>
      </c>
      <c r="BV82" s="113">
        <v>90849</v>
      </c>
      <c r="BW82" s="113">
        <v>8361527</v>
      </c>
      <c r="BX82" s="113">
        <v>275000</v>
      </c>
      <c r="BY82" s="97">
        <v>0</v>
      </c>
      <c r="BZ82" s="97">
        <v>0</v>
      </c>
      <c r="CA82" s="97">
        <v>0</v>
      </c>
      <c r="CB82" s="97">
        <v>0</v>
      </c>
      <c r="CC82" s="97">
        <v>275000</v>
      </c>
      <c r="CD82" s="97">
        <v>0</v>
      </c>
      <c r="CE82" s="97">
        <v>0</v>
      </c>
      <c r="CF82" s="97">
        <v>0</v>
      </c>
      <c r="CG82" s="97">
        <v>0</v>
      </c>
      <c r="CH82" s="97">
        <v>0</v>
      </c>
      <c r="CI82" s="97">
        <v>0</v>
      </c>
      <c r="CJ82" s="97">
        <v>1540503</v>
      </c>
      <c r="CK82" s="113">
        <v>104504</v>
      </c>
      <c r="CL82" s="113">
        <v>141681</v>
      </c>
      <c r="CM82" s="113">
        <v>912964</v>
      </c>
      <c r="CN82" s="113">
        <v>1269969</v>
      </c>
      <c r="CO82" s="113">
        <v>3969621</v>
      </c>
      <c r="CP82" s="113">
        <v>0</v>
      </c>
      <c r="CQ82" s="97">
        <v>0</v>
      </c>
      <c r="CR82" s="97">
        <v>0</v>
      </c>
      <c r="CS82" s="97">
        <v>0</v>
      </c>
      <c r="CT82" s="97">
        <v>0</v>
      </c>
      <c r="CU82" s="97">
        <v>0</v>
      </c>
      <c r="CV82" s="97">
        <v>2880899</v>
      </c>
      <c r="CW82" s="113">
        <v>719917</v>
      </c>
      <c r="CX82" s="113">
        <v>0</v>
      </c>
      <c r="CY82" s="113">
        <v>15735</v>
      </c>
      <c r="CZ82" s="113">
        <v>1667791</v>
      </c>
      <c r="DA82" s="113">
        <v>5284342</v>
      </c>
      <c r="DB82" s="113">
        <v>0</v>
      </c>
      <c r="DC82" s="97">
        <v>0</v>
      </c>
      <c r="DD82" s="97">
        <v>0</v>
      </c>
      <c r="DE82" s="97">
        <v>0</v>
      </c>
      <c r="DF82" s="97">
        <v>17983</v>
      </c>
      <c r="DG82" s="97">
        <v>17983</v>
      </c>
      <c r="DH82" s="97">
        <v>1061432</v>
      </c>
      <c r="DI82" s="113">
        <v>167886</v>
      </c>
      <c r="DJ82" s="113">
        <v>17602</v>
      </c>
      <c r="DK82" s="113">
        <v>119880</v>
      </c>
      <c r="DL82" s="113">
        <v>118364</v>
      </c>
      <c r="DM82" s="113">
        <v>1485164</v>
      </c>
      <c r="DN82" s="113">
        <v>2258623</v>
      </c>
      <c r="DO82" s="113">
        <v>847982</v>
      </c>
      <c r="DP82" s="113">
        <v>0</v>
      </c>
      <c r="DQ82" s="113">
        <v>0</v>
      </c>
      <c r="DR82" s="113">
        <v>0</v>
      </c>
      <c r="DS82" s="113">
        <v>3106605</v>
      </c>
      <c r="DT82" s="113">
        <v>0</v>
      </c>
      <c r="DU82" s="113">
        <v>0</v>
      </c>
      <c r="DV82" s="113">
        <v>0</v>
      </c>
      <c r="DW82" s="113">
        <v>0</v>
      </c>
      <c r="DX82" s="113">
        <v>0</v>
      </c>
      <c r="DY82" s="113">
        <v>0</v>
      </c>
      <c r="DZ82" s="113">
        <v>0</v>
      </c>
      <c r="EA82" s="113">
        <v>0</v>
      </c>
      <c r="EB82" s="113">
        <v>0</v>
      </c>
      <c r="EC82" s="113">
        <v>0</v>
      </c>
      <c r="ED82" s="113">
        <v>191245</v>
      </c>
      <c r="EE82" s="113">
        <v>191245</v>
      </c>
      <c r="EF82" s="113">
        <v>32664</v>
      </c>
      <c r="EG82" s="113">
        <v>0</v>
      </c>
      <c r="EH82" s="113">
        <v>0</v>
      </c>
      <c r="EI82" s="113">
        <v>60507</v>
      </c>
      <c r="EJ82" s="113">
        <v>373295</v>
      </c>
      <c r="EK82" s="113">
        <v>466466</v>
      </c>
      <c r="EL82" s="113">
        <v>23033681</v>
      </c>
      <c r="EM82" s="113">
        <v>5999597</v>
      </c>
      <c r="EN82" s="113">
        <v>188612</v>
      </c>
      <c r="EO82" s="113">
        <v>1873950</v>
      </c>
      <c r="EP82" s="113">
        <v>9742378</v>
      </c>
      <c r="EQ82" s="113">
        <v>40838218</v>
      </c>
      <c r="ER82" s="113">
        <v>2337343</v>
      </c>
      <c r="ES82" s="113">
        <v>416572</v>
      </c>
      <c r="ET82" s="113">
        <v>414666</v>
      </c>
      <c r="EU82" s="113">
        <v>3820519</v>
      </c>
      <c r="EV82" s="113">
        <v>545881</v>
      </c>
      <c r="EW82" s="113">
        <v>7534981</v>
      </c>
      <c r="EX82" s="113">
        <v>725000</v>
      </c>
      <c r="EY82" s="113">
        <v>264828</v>
      </c>
      <c r="EZ82" s="113">
        <v>76894</v>
      </c>
      <c r="FA82" s="113">
        <v>18937</v>
      </c>
      <c r="FB82" s="113">
        <v>0</v>
      </c>
      <c r="FC82" s="113">
        <v>1085659</v>
      </c>
      <c r="FD82" s="113">
        <v>4421792</v>
      </c>
      <c r="FE82" s="113">
        <v>1682433</v>
      </c>
      <c r="FF82" s="113">
        <v>548256</v>
      </c>
      <c r="FG82" s="113">
        <v>2691076</v>
      </c>
      <c r="FH82" s="113">
        <v>0</v>
      </c>
      <c r="FI82" s="113">
        <v>9343557</v>
      </c>
      <c r="FJ82" s="113">
        <v>275000</v>
      </c>
      <c r="FK82" s="97">
        <v>0</v>
      </c>
      <c r="FL82" s="97">
        <v>0</v>
      </c>
      <c r="FM82" s="97">
        <v>0</v>
      </c>
      <c r="FN82" s="97">
        <v>0</v>
      </c>
      <c r="FO82" s="97">
        <v>275000</v>
      </c>
      <c r="FP82" s="97">
        <v>505406</v>
      </c>
      <c r="FQ82" s="113">
        <v>196845</v>
      </c>
      <c r="FR82" s="113">
        <v>110724</v>
      </c>
      <c r="FS82" s="113">
        <v>71074</v>
      </c>
      <c r="FT82" s="113">
        <v>6058098</v>
      </c>
      <c r="FU82" s="113">
        <v>6942147</v>
      </c>
      <c r="FV82" s="113">
        <v>0</v>
      </c>
      <c r="FW82" s="97">
        <v>0</v>
      </c>
      <c r="FX82" s="97">
        <v>0</v>
      </c>
      <c r="FY82" s="97">
        <v>0</v>
      </c>
      <c r="FZ82" s="97">
        <v>0</v>
      </c>
      <c r="GA82" s="97">
        <v>0</v>
      </c>
      <c r="GB82" s="97">
        <v>0</v>
      </c>
      <c r="GC82" s="97">
        <v>516667</v>
      </c>
      <c r="GD82" s="97">
        <v>0</v>
      </c>
      <c r="GE82" s="97">
        <v>0</v>
      </c>
      <c r="GF82" s="97">
        <v>0</v>
      </c>
      <c r="GG82" s="97">
        <v>516667</v>
      </c>
      <c r="GH82" s="97">
        <v>465775</v>
      </c>
      <c r="GI82" s="97">
        <v>218759</v>
      </c>
      <c r="GJ82" s="97">
        <v>116457</v>
      </c>
      <c r="GK82" s="97">
        <v>294819</v>
      </c>
      <c r="GL82" s="97">
        <v>221</v>
      </c>
      <c r="GM82" s="97">
        <v>1096031</v>
      </c>
      <c r="GN82" s="97">
        <v>2223255</v>
      </c>
      <c r="GO82" s="97">
        <v>192134</v>
      </c>
      <c r="GP82" s="97">
        <v>272938</v>
      </c>
      <c r="GQ82" s="97">
        <v>1644168</v>
      </c>
      <c r="GR82" s="97">
        <v>9778</v>
      </c>
      <c r="GS82" s="97">
        <v>4342273</v>
      </c>
      <c r="GT82" s="97">
        <v>976033</v>
      </c>
      <c r="GU82" s="97">
        <v>306577</v>
      </c>
      <c r="GV82" s="97">
        <v>15727</v>
      </c>
      <c r="GW82" s="97">
        <v>433370</v>
      </c>
      <c r="GX82" s="97">
        <v>755418</v>
      </c>
      <c r="GY82" s="97">
        <v>2487125</v>
      </c>
      <c r="GZ82" s="97">
        <v>741208</v>
      </c>
      <c r="HA82" s="97">
        <v>257102</v>
      </c>
      <c r="HB82" s="97">
        <v>125230</v>
      </c>
      <c r="HC82" s="97">
        <v>279095</v>
      </c>
      <c r="HD82" s="97">
        <v>178867</v>
      </c>
      <c r="HE82" s="97">
        <v>1581502</v>
      </c>
      <c r="HF82" s="97">
        <v>481335</v>
      </c>
      <c r="HG82" s="97">
        <v>180744</v>
      </c>
      <c r="HH82" s="97">
        <v>9738</v>
      </c>
      <c r="HI82" s="97">
        <v>122537</v>
      </c>
      <c r="HJ82" s="97">
        <v>632935</v>
      </c>
      <c r="HK82" s="97">
        <v>1427289</v>
      </c>
      <c r="HL82" s="97">
        <v>0</v>
      </c>
      <c r="HM82" s="97">
        <v>0</v>
      </c>
      <c r="HN82" s="97">
        <v>0</v>
      </c>
      <c r="HO82" s="97">
        <v>0</v>
      </c>
      <c r="HP82" s="97">
        <v>0</v>
      </c>
      <c r="HQ82" s="97">
        <v>0</v>
      </c>
      <c r="HR82" s="97">
        <v>1315971</v>
      </c>
      <c r="HS82" s="97">
        <v>39846</v>
      </c>
      <c r="HT82" s="97">
        <v>14306</v>
      </c>
      <c r="HU82" s="97">
        <v>173911</v>
      </c>
      <c r="HV82" s="97">
        <v>349880</v>
      </c>
      <c r="HW82" s="97">
        <v>1893914</v>
      </c>
      <c r="HX82" s="97">
        <v>0</v>
      </c>
      <c r="HY82" s="97">
        <v>0</v>
      </c>
      <c r="HZ82" s="97">
        <v>0</v>
      </c>
      <c r="IA82" s="97">
        <v>0</v>
      </c>
      <c r="IB82" s="97">
        <v>136100</v>
      </c>
      <c r="IC82" s="97">
        <v>136100</v>
      </c>
      <c r="ID82" s="97">
        <v>0</v>
      </c>
      <c r="IE82" s="97">
        <v>0</v>
      </c>
      <c r="IF82" s="97">
        <v>0</v>
      </c>
      <c r="IG82" s="97">
        <v>0</v>
      </c>
      <c r="IH82" s="97">
        <v>0</v>
      </c>
      <c r="II82" s="97">
        <v>0</v>
      </c>
      <c r="IJ82" s="97">
        <v>268822</v>
      </c>
      <c r="IK82" s="97">
        <v>50094</v>
      </c>
      <c r="IL82" s="97">
        <v>36489</v>
      </c>
      <c r="IM82" s="97">
        <v>252364</v>
      </c>
      <c r="IN82" s="97">
        <v>58000</v>
      </c>
      <c r="IO82" s="97">
        <v>665769</v>
      </c>
      <c r="IP82" s="97">
        <v>2280</v>
      </c>
      <c r="IQ82" s="97">
        <v>2625</v>
      </c>
      <c r="IR82" s="97">
        <v>3270</v>
      </c>
      <c r="IS82" s="97">
        <v>10318</v>
      </c>
      <c r="IT82" s="97">
        <v>68451</v>
      </c>
      <c r="IU82" s="97">
        <v>86944</v>
      </c>
      <c r="IV82" s="97">
        <v>974006</v>
      </c>
      <c r="IW82" s="97">
        <v>216463</v>
      </c>
      <c r="IX82" s="97">
        <v>103212</v>
      </c>
      <c r="IY82" s="97">
        <v>326631</v>
      </c>
      <c r="IZ82" s="97">
        <v>2684233</v>
      </c>
      <c r="JA82" s="97">
        <v>4304545</v>
      </c>
      <c r="JB82" s="97">
        <v>15713226</v>
      </c>
      <c r="JC82" s="97">
        <v>4541689</v>
      </c>
      <c r="JD82" s="97">
        <v>1847907</v>
      </c>
      <c r="JE82" s="97">
        <v>10138819</v>
      </c>
      <c r="JF82" s="97">
        <v>11477862</v>
      </c>
      <c r="JG82" s="97">
        <v>43719503</v>
      </c>
      <c r="JH82" s="97">
        <v>90313</v>
      </c>
      <c r="JI82" s="97">
        <v>0</v>
      </c>
      <c r="JJ82" s="97">
        <v>0</v>
      </c>
      <c r="JK82" s="97">
        <v>48024</v>
      </c>
      <c r="JL82" s="97">
        <v>1676417</v>
      </c>
      <c r="JM82" s="97">
        <v>1814754</v>
      </c>
      <c r="JN82" s="97">
        <v>15803539</v>
      </c>
      <c r="JO82" s="97">
        <v>4541689</v>
      </c>
      <c r="JP82" s="97">
        <v>1847907</v>
      </c>
      <c r="JQ82" s="97">
        <v>10186843</v>
      </c>
      <c r="JR82" s="97">
        <v>13154279</v>
      </c>
      <c r="JS82" s="97">
        <v>45534257</v>
      </c>
      <c r="JU82" s="5">
        <f t="shared" ref="JU82" si="233">SUM(AZ82:BD82)</f>
        <v>11287925</v>
      </c>
      <c r="JV82" s="29">
        <f t="shared" ref="JV82" si="234">BE82-JU82</f>
        <v>0</v>
      </c>
      <c r="JW82" s="5">
        <f t="shared" ref="JW82" si="235">SUM(BF82:BJ82)</f>
        <v>6012882</v>
      </c>
      <c r="JX82" s="29">
        <f t="shared" ref="JX82" si="236">BK82-JW82</f>
        <v>0</v>
      </c>
      <c r="JY82" s="5">
        <f t="shared" ref="JY82" si="237">SUM(BL82:BP82)</f>
        <v>379458</v>
      </c>
      <c r="JZ82" s="29">
        <f t="shared" ref="JZ82" si="238">BQ82-JY82</f>
        <v>0</v>
      </c>
      <c r="KA82" s="5">
        <f t="shared" ref="KA82" si="239">SUM(BR82:BV82)</f>
        <v>8361527</v>
      </c>
      <c r="KB82" s="29">
        <f t="shared" ref="KB82" si="240">BW82-KA82</f>
        <v>0</v>
      </c>
      <c r="KC82" s="5">
        <f t="shared" ref="KC82" si="241">SUM(BX82:CB82)</f>
        <v>275000</v>
      </c>
      <c r="KD82" s="29">
        <f t="shared" ref="KD82" si="242">CC82-KC82</f>
        <v>0</v>
      </c>
      <c r="KE82" s="5">
        <f t="shared" ref="KE82" si="243">SUM(CD82:CH82)</f>
        <v>0</v>
      </c>
      <c r="KF82" s="29">
        <f t="shared" ref="KF82" si="244">CI82-KE82</f>
        <v>0</v>
      </c>
      <c r="KG82" s="5">
        <f t="shared" ref="KG82" si="245">SUM(CJ82:CN82)</f>
        <v>3969621</v>
      </c>
      <c r="KH82" s="29">
        <f t="shared" ref="KH82" si="246">CO82-KG82</f>
        <v>0</v>
      </c>
      <c r="KI82" s="5">
        <f t="shared" ref="KI82" si="247">SUM(CP82:CT82)</f>
        <v>0</v>
      </c>
      <c r="KJ82" s="29">
        <f t="shared" ref="KJ82" si="248">CU82-KI82</f>
        <v>0</v>
      </c>
      <c r="KK82" s="5">
        <f t="shared" ref="KK82" si="249">SUM(CV82:CZ82)</f>
        <v>5284342</v>
      </c>
      <c r="KL82" s="29">
        <f t="shared" ref="KL82" si="250">DA82-KK82</f>
        <v>0</v>
      </c>
      <c r="KM82" s="5">
        <f t="shared" ref="KM82" si="251">SUM(DB82:DF82)</f>
        <v>17983</v>
      </c>
      <c r="KN82" s="29">
        <f t="shared" ref="KN82" si="252">DG82-KM82</f>
        <v>0</v>
      </c>
      <c r="KO82" s="5">
        <f t="shared" ref="KO82" si="253">SUM(DH82:DL82)</f>
        <v>1485164</v>
      </c>
      <c r="KP82" s="29">
        <f t="shared" ref="KP82" si="254">DM82-KO82</f>
        <v>0</v>
      </c>
      <c r="KQ82" s="5">
        <f t="shared" ref="KQ82" si="255">SUM(DN82:DR82)</f>
        <v>3106605</v>
      </c>
      <c r="KR82" s="29">
        <f t="shared" ref="KR82" si="256">DS82-KQ82</f>
        <v>0</v>
      </c>
      <c r="KS82" s="5">
        <f t="shared" ref="KS82" si="257">SUM(DT82:DX82)</f>
        <v>0</v>
      </c>
      <c r="KT82" s="29">
        <f t="shared" ref="KT82" si="258">DY82-KS82</f>
        <v>0</v>
      </c>
      <c r="KU82" s="5">
        <f t="shared" ref="KU82" si="259">SUM(DZ82:ED82)</f>
        <v>191245</v>
      </c>
      <c r="KV82" s="29">
        <f t="shared" ref="KV82" si="260">EE82-KU82</f>
        <v>0</v>
      </c>
      <c r="KW82" s="5">
        <f t="shared" ref="KW82" si="261">SUM(EF82:EJ82)</f>
        <v>466466</v>
      </c>
      <c r="KX82" s="29">
        <f t="shared" ref="KX82" si="262">EK82-KW82</f>
        <v>0</v>
      </c>
      <c r="KY82" s="5">
        <f t="shared" ref="KY82" si="263">SUM(EL82:EP82)</f>
        <v>40838218</v>
      </c>
      <c r="KZ82" s="29">
        <f t="shared" ref="KZ82" si="264">EQ82-KY82</f>
        <v>0</v>
      </c>
      <c r="LA82" s="5">
        <f t="shared" ref="LA82" si="265">SUM(ER82:EV82)</f>
        <v>7534981</v>
      </c>
      <c r="LB82" s="29">
        <f t="shared" ref="LB82" si="266">EW82-LA82</f>
        <v>0</v>
      </c>
      <c r="LC82" s="5">
        <f t="shared" ref="LC82" si="267">SUM(EX82:FB82)</f>
        <v>1085659</v>
      </c>
      <c r="LD82" s="29">
        <f t="shared" ref="LD82" si="268">FC82-LC82</f>
        <v>0</v>
      </c>
      <c r="LE82" s="5">
        <f>SUM(FD82:FH82)</f>
        <v>9343557</v>
      </c>
      <c r="LF82" s="29">
        <f t="shared" ref="LF82" si="269">FI82-LE82</f>
        <v>0</v>
      </c>
      <c r="LG82" s="5">
        <f t="shared" ref="LG82" si="270">SUM(FJ82:FN82)</f>
        <v>275000</v>
      </c>
      <c r="LH82" s="29">
        <f t="shared" ref="LH82" si="271">FO82-LG82</f>
        <v>0</v>
      </c>
      <c r="LI82" s="5">
        <f t="shared" ref="LI82" si="272">SUM(FP82:FT82)</f>
        <v>6942147</v>
      </c>
      <c r="LJ82" s="29">
        <f t="shared" ref="LJ82" si="273">FU82-LI82</f>
        <v>0</v>
      </c>
      <c r="LK82" s="5">
        <f t="shared" ref="LK82" si="274">SUM(FV82:FZ82)</f>
        <v>0</v>
      </c>
      <c r="LL82" s="29">
        <f t="shared" ref="LL82" si="275">GA82-LK82</f>
        <v>0</v>
      </c>
      <c r="LM82" s="5">
        <f t="shared" ref="LM82" si="276">SUM(GB82:GF82)</f>
        <v>516667</v>
      </c>
      <c r="LN82" s="29">
        <f t="shared" ref="LN82" si="277">GG82-LM82</f>
        <v>0</v>
      </c>
      <c r="LO82" s="5">
        <f>SUM(GH82:GL82)</f>
        <v>1096031</v>
      </c>
      <c r="LP82" s="29">
        <f t="shared" ref="LP82" si="278">GM82-LO82</f>
        <v>0</v>
      </c>
      <c r="LQ82" s="5">
        <f t="shared" ref="LQ82" si="279">SUM(GN82:GR82)</f>
        <v>4342273</v>
      </c>
      <c r="LR82" s="29">
        <f t="shared" ref="LR82" si="280">GS82-LQ82</f>
        <v>0</v>
      </c>
      <c r="LS82" s="5">
        <f t="shared" ref="LS82" si="281">SUM(GT82:GX82)</f>
        <v>2487125</v>
      </c>
      <c r="LT82" s="29">
        <f t="shared" ref="LT82" si="282">GY82-LS82</f>
        <v>0</v>
      </c>
      <c r="LU82" s="5">
        <f t="shared" ref="LU82" si="283">SUM(GZ82:HD82)</f>
        <v>1581502</v>
      </c>
      <c r="LV82" s="29">
        <f t="shared" ref="LV82" si="284">HE82-LU82</f>
        <v>0</v>
      </c>
      <c r="LW82" s="5">
        <f t="shared" ref="LW82" si="285">SUM(HF82:HJ82)</f>
        <v>1427289</v>
      </c>
      <c r="LX82" s="29">
        <f t="shared" ref="LX82" si="286">HK82-LW82</f>
        <v>0</v>
      </c>
      <c r="LY82" s="5">
        <f t="shared" ref="LY82" si="287">SUM(HL82:HP82)</f>
        <v>0</v>
      </c>
      <c r="LZ82" s="29">
        <f t="shared" ref="LZ82" si="288">HQ82-LY82</f>
        <v>0</v>
      </c>
      <c r="MA82" s="5">
        <f t="shared" ref="MA82" si="289">SUM(HR82:HV82)</f>
        <v>1893914</v>
      </c>
      <c r="MB82" s="29">
        <f t="shared" ref="MB82" si="290">HW82-MA82</f>
        <v>0</v>
      </c>
      <c r="MC82" s="5">
        <f t="shared" ref="MC82" si="291">SUM(HX82:IB82)</f>
        <v>136100</v>
      </c>
      <c r="MD82" s="29">
        <f t="shared" ref="MD82" si="292">IC82-MC82</f>
        <v>0</v>
      </c>
      <c r="ME82" s="5">
        <f t="shared" ref="ME82" si="293">SUM(ID82:IH82)</f>
        <v>0</v>
      </c>
      <c r="MF82" s="29">
        <f t="shared" ref="MF82" si="294">II82-ME82</f>
        <v>0</v>
      </c>
      <c r="MG82" s="5">
        <f t="shared" ref="MG82" si="295">SUM(IJ82:IN82)</f>
        <v>665769</v>
      </c>
      <c r="MH82" s="29">
        <f t="shared" ref="MH82" si="296">IO82-MG82</f>
        <v>0</v>
      </c>
      <c r="MI82" s="5">
        <f t="shared" ref="MI82" si="297">SUM(IP82:IT82)</f>
        <v>86944</v>
      </c>
      <c r="MJ82" s="29">
        <f t="shared" ref="MJ82" si="298">IU82-MI82</f>
        <v>0</v>
      </c>
      <c r="MK82" s="5">
        <f t="shared" ref="MK82" si="299">SUM(IV82:IZ82)</f>
        <v>4304545</v>
      </c>
      <c r="ML82" s="29">
        <f t="shared" ref="ML82" si="300">JA82-MK82</f>
        <v>0</v>
      </c>
      <c r="MM82" s="5">
        <f t="shared" ref="MM82" si="301">SUM(JB82:JF82)</f>
        <v>43719503</v>
      </c>
      <c r="MN82" s="29">
        <f t="shared" ref="MN82" si="302">JG82-MM82</f>
        <v>0</v>
      </c>
      <c r="MO82" s="5">
        <f t="shared" ref="MO82" si="303">SUM(JH82:JL82)</f>
        <v>1814754</v>
      </c>
      <c r="MP82" s="29">
        <f t="shared" ref="MP82" si="304">JM82-MO82</f>
        <v>0</v>
      </c>
      <c r="MQ82" s="5">
        <f t="shared" ref="MQ82" si="305">SUM(JN82:JR82)</f>
        <v>45534257</v>
      </c>
      <c r="MR82" s="29">
        <f t="shared" ref="MR82" si="306">JS82-MQ82</f>
        <v>0</v>
      </c>
    </row>
    <row r="83" spans="1:360" x14ac:dyDescent="0.15">
      <c r="A83" s="157" t="s">
        <v>296</v>
      </c>
      <c r="B83" s="28" t="s">
        <v>407</v>
      </c>
      <c r="C83" s="48">
        <v>182281</v>
      </c>
      <c r="D83" s="48">
        <v>2012</v>
      </c>
      <c r="E83" s="49">
        <v>1</v>
      </c>
      <c r="F83" s="49">
        <v>12</v>
      </c>
      <c r="G83" s="50">
        <v>7226</v>
      </c>
      <c r="H83" s="50">
        <v>8762</v>
      </c>
      <c r="I83" s="51">
        <v>466761000</v>
      </c>
      <c r="J83" s="51"/>
      <c r="K83" s="51">
        <v>2139393</v>
      </c>
      <c r="L83" s="51"/>
      <c r="M83" s="51">
        <v>10758000</v>
      </c>
      <c r="N83" s="51"/>
      <c r="O83" s="51">
        <v>22873303</v>
      </c>
      <c r="P83" s="51"/>
      <c r="Q83" s="51">
        <v>219877000</v>
      </c>
      <c r="R83" s="51"/>
      <c r="S83" s="51">
        <v>329252000</v>
      </c>
      <c r="T83" s="51"/>
      <c r="U83" s="51">
        <v>17277</v>
      </c>
      <c r="V83" s="51"/>
      <c r="W83" s="51">
        <v>30872</v>
      </c>
      <c r="X83" s="51"/>
      <c r="Y83" s="51">
        <v>23276</v>
      </c>
      <c r="Z83" s="51"/>
      <c r="AA83" s="51">
        <v>37646</v>
      </c>
      <c r="AB83" s="51"/>
      <c r="AC83" s="72">
        <v>7</v>
      </c>
      <c r="AD83" s="72">
        <v>10</v>
      </c>
      <c r="AE83" s="72">
        <v>0</v>
      </c>
      <c r="AF83" s="29">
        <v>4085711</v>
      </c>
      <c r="AG83" s="29">
        <v>2900584</v>
      </c>
      <c r="AH83" s="29">
        <v>527870</v>
      </c>
      <c r="AI83" s="29">
        <v>194931</v>
      </c>
      <c r="AJ83" s="29">
        <v>215332</v>
      </c>
      <c r="AK83" s="73">
        <v>7</v>
      </c>
      <c r="AL83" s="29">
        <v>199951</v>
      </c>
      <c r="AM83" s="73">
        <v>7</v>
      </c>
      <c r="AN83" s="29">
        <v>140032</v>
      </c>
      <c r="AO83" s="73">
        <v>8</v>
      </c>
      <c r="AP83" s="29">
        <v>131280</v>
      </c>
      <c r="AQ83" s="73">
        <v>8</v>
      </c>
      <c r="AR83" s="29">
        <v>114245</v>
      </c>
      <c r="AS83" s="73">
        <v>21</v>
      </c>
      <c r="AT83" s="29">
        <v>104311</v>
      </c>
      <c r="AU83" s="73">
        <v>23</v>
      </c>
      <c r="AV83" s="29">
        <v>59392</v>
      </c>
      <c r="AW83" s="73">
        <v>13</v>
      </c>
      <c r="AX83" s="29">
        <v>51473</v>
      </c>
      <c r="AY83" s="73">
        <v>15</v>
      </c>
      <c r="AZ83" s="97">
        <v>1692880</v>
      </c>
      <c r="BA83" s="97">
        <v>3743196</v>
      </c>
      <c r="BB83" s="97">
        <v>20464</v>
      </c>
      <c r="BC83" s="97">
        <v>104554</v>
      </c>
      <c r="BD83" s="97">
        <v>197395</v>
      </c>
      <c r="BE83" s="97">
        <v>5758489</v>
      </c>
      <c r="BF83" s="97">
        <v>0</v>
      </c>
      <c r="BG83" s="97">
        <v>0</v>
      </c>
      <c r="BH83" s="97">
        <v>0</v>
      </c>
      <c r="BI83" s="97">
        <v>0</v>
      </c>
      <c r="BJ83" s="97">
        <v>2527911</v>
      </c>
      <c r="BK83" s="97">
        <v>2527911</v>
      </c>
      <c r="BL83" s="97">
        <v>525000</v>
      </c>
      <c r="BM83" s="97">
        <v>0</v>
      </c>
      <c r="BN83" s="97">
        <v>20000</v>
      </c>
      <c r="BO83" s="97">
        <v>0</v>
      </c>
      <c r="BP83" s="97">
        <v>0</v>
      </c>
      <c r="BQ83" s="97">
        <v>545000</v>
      </c>
      <c r="BR83" s="97">
        <v>167306</v>
      </c>
      <c r="BS83" s="97">
        <v>10793</v>
      </c>
      <c r="BT83" s="97">
        <v>3492</v>
      </c>
      <c r="BU83" s="97">
        <v>595759</v>
      </c>
      <c r="BV83" s="97">
        <v>5565830</v>
      </c>
      <c r="BW83" s="97">
        <v>6343180</v>
      </c>
      <c r="BX83" s="97">
        <v>0</v>
      </c>
      <c r="BY83" s="97">
        <v>0</v>
      </c>
      <c r="BZ83" s="97">
        <v>0</v>
      </c>
      <c r="CA83" s="97">
        <v>0</v>
      </c>
      <c r="CB83" s="97">
        <v>0</v>
      </c>
      <c r="CC83" s="97">
        <v>0</v>
      </c>
      <c r="CD83" s="97">
        <v>0</v>
      </c>
      <c r="CE83" s="97">
        <v>0</v>
      </c>
      <c r="CF83" s="97">
        <v>0</v>
      </c>
      <c r="CG83" s="97">
        <v>0</v>
      </c>
      <c r="CH83" s="97">
        <v>7785659</v>
      </c>
      <c r="CI83" s="97">
        <v>7785659</v>
      </c>
      <c r="CJ83" s="97">
        <v>0</v>
      </c>
      <c r="CK83" s="97">
        <v>0</v>
      </c>
      <c r="CL83" s="97">
        <v>0</v>
      </c>
      <c r="CM83" s="97">
        <v>0</v>
      </c>
      <c r="CN83" s="97">
        <v>17572068</v>
      </c>
      <c r="CO83" s="97">
        <v>17572068</v>
      </c>
      <c r="CP83" s="97">
        <v>0</v>
      </c>
      <c r="CQ83" s="97">
        <v>0</v>
      </c>
      <c r="CR83" s="97">
        <v>0</v>
      </c>
      <c r="CS83" s="97">
        <v>0</v>
      </c>
      <c r="CT83" s="97">
        <v>4711222</v>
      </c>
      <c r="CU83" s="97">
        <v>4711222</v>
      </c>
      <c r="CV83" s="97">
        <v>1121824</v>
      </c>
      <c r="CW83" s="97">
        <v>1456736</v>
      </c>
      <c r="CX83" s="97">
        <v>7951</v>
      </c>
      <c r="CY83" s="97">
        <v>8817</v>
      </c>
      <c r="CZ83" s="97">
        <v>1268738</v>
      </c>
      <c r="DA83" s="97">
        <v>3864066</v>
      </c>
      <c r="DB83" s="97">
        <v>0</v>
      </c>
      <c r="DC83" s="97">
        <v>0</v>
      </c>
      <c r="DD83" s="97">
        <v>0</v>
      </c>
      <c r="DE83" s="97">
        <v>0</v>
      </c>
      <c r="DF83" s="97">
        <v>0</v>
      </c>
      <c r="DG83" s="97">
        <v>0</v>
      </c>
      <c r="DH83" s="97">
        <v>365533</v>
      </c>
      <c r="DI83" s="97">
        <v>1330863</v>
      </c>
      <c r="DJ83" s="97">
        <v>29088</v>
      </c>
      <c r="DK83" s="97">
        <v>86584</v>
      </c>
      <c r="DL83" s="97">
        <v>850</v>
      </c>
      <c r="DM83" s="97">
        <v>1812918</v>
      </c>
      <c r="DN83" s="97">
        <v>1105173</v>
      </c>
      <c r="DO83" s="97">
        <v>2680900</v>
      </c>
      <c r="DP83" s="97">
        <v>0</v>
      </c>
      <c r="DQ83" s="97">
        <v>0</v>
      </c>
      <c r="DR83" s="97">
        <v>3109825</v>
      </c>
      <c r="DS83" s="97">
        <v>6895898</v>
      </c>
      <c r="DT83" s="97">
        <v>0</v>
      </c>
      <c r="DU83" s="97">
        <v>0</v>
      </c>
      <c r="DV83" s="97">
        <v>0</v>
      </c>
      <c r="DW83" s="97">
        <v>0</v>
      </c>
      <c r="DX83" s="97">
        <v>0</v>
      </c>
      <c r="DY83" s="97">
        <v>0</v>
      </c>
      <c r="DZ83" s="97">
        <v>94997</v>
      </c>
      <c r="EA83" s="97">
        <v>40707</v>
      </c>
      <c r="EB83" s="97">
        <v>17430</v>
      </c>
      <c r="EC83" s="97">
        <v>126919</v>
      </c>
      <c r="ED83" s="97">
        <v>74966</v>
      </c>
      <c r="EE83" s="97">
        <v>355019</v>
      </c>
      <c r="EF83" s="97">
        <v>0</v>
      </c>
      <c r="EG83" s="97">
        <v>0</v>
      </c>
      <c r="EH83" s="97">
        <v>1943</v>
      </c>
      <c r="EI83" s="97">
        <v>73649</v>
      </c>
      <c r="EJ83" s="97">
        <v>559511</v>
      </c>
      <c r="EK83" s="97">
        <v>635103</v>
      </c>
      <c r="EL83" s="97">
        <v>5072713</v>
      </c>
      <c r="EM83" s="97">
        <v>9263195</v>
      </c>
      <c r="EN83" s="97">
        <v>100368</v>
      </c>
      <c r="EO83" s="97">
        <v>996282</v>
      </c>
      <c r="EP83" s="97">
        <v>43373975</v>
      </c>
      <c r="EQ83" s="97">
        <v>58806533</v>
      </c>
      <c r="ER83" s="97">
        <v>2452793</v>
      </c>
      <c r="ES83" s="97">
        <v>415957</v>
      </c>
      <c r="ET83" s="97">
        <v>352334</v>
      </c>
      <c r="EU83" s="97">
        <v>3765211</v>
      </c>
      <c r="EV83" s="97">
        <v>67688</v>
      </c>
      <c r="EW83" s="97">
        <v>7053983</v>
      </c>
      <c r="EX83" s="97">
        <v>475000</v>
      </c>
      <c r="EY83" s="97">
        <v>371829</v>
      </c>
      <c r="EZ83" s="97">
        <v>20560</v>
      </c>
      <c r="FA83" s="97">
        <v>20605</v>
      </c>
      <c r="FB83" s="97">
        <v>0</v>
      </c>
      <c r="FC83" s="97">
        <v>887994</v>
      </c>
      <c r="FD83" s="97">
        <v>1659303</v>
      </c>
      <c r="FE83" s="97">
        <v>1185134</v>
      </c>
      <c r="FF83" s="97">
        <v>739799</v>
      </c>
      <c r="FG83" s="97">
        <v>2036928</v>
      </c>
      <c r="FH83" s="97">
        <v>0</v>
      </c>
      <c r="FI83" s="97">
        <v>5621164</v>
      </c>
      <c r="FJ83" s="97">
        <v>0</v>
      </c>
      <c r="FK83" s="97">
        <v>0</v>
      </c>
      <c r="FL83" s="97">
        <v>0</v>
      </c>
      <c r="FM83" s="97">
        <v>0</v>
      </c>
      <c r="FN83" s="97">
        <v>0</v>
      </c>
      <c r="FO83" s="97">
        <v>0</v>
      </c>
      <c r="FP83" s="97">
        <v>131756</v>
      </c>
      <c r="FQ83" s="97">
        <v>117035</v>
      </c>
      <c r="FR83" s="97">
        <v>53458</v>
      </c>
      <c r="FS83" s="97">
        <v>38753</v>
      </c>
      <c r="FT83" s="97">
        <v>15170827</v>
      </c>
      <c r="FU83" s="97">
        <v>15511829</v>
      </c>
      <c r="FV83" s="97">
        <v>0</v>
      </c>
      <c r="FW83" s="97">
        <v>0</v>
      </c>
      <c r="FX83" s="97">
        <v>0</v>
      </c>
      <c r="FY83" s="97">
        <v>0</v>
      </c>
      <c r="FZ83" s="97">
        <v>0</v>
      </c>
      <c r="GA83" s="97">
        <v>0</v>
      </c>
      <c r="GB83" s="97">
        <v>0</v>
      </c>
      <c r="GC83" s="97">
        <v>0</v>
      </c>
      <c r="GD83" s="97">
        <v>0</v>
      </c>
      <c r="GE83" s="97">
        <v>0</v>
      </c>
      <c r="GF83" s="97">
        <v>0</v>
      </c>
      <c r="GG83" s="97">
        <v>0</v>
      </c>
      <c r="GH83" s="97">
        <v>273670</v>
      </c>
      <c r="GI83" s="97">
        <v>146052</v>
      </c>
      <c r="GJ83" s="97">
        <v>86613</v>
      </c>
      <c r="GK83" s="97">
        <v>216466</v>
      </c>
      <c r="GL83" s="97">
        <v>20</v>
      </c>
      <c r="GM83" s="97">
        <v>722821</v>
      </c>
      <c r="GN83" s="97">
        <v>580253</v>
      </c>
      <c r="GO83" s="97">
        <v>269574</v>
      </c>
      <c r="GP83" s="97">
        <v>150602</v>
      </c>
      <c r="GQ83" s="97">
        <v>935990</v>
      </c>
      <c r="GR83" s="97">
        <v>0</v>
      </c>
      <c r="GS83" s="97">
        <v>1936419</v>
      </c>
      <c r="GT83" s="97">
        <v>284125</v>
      </c>
      <c r="GU83" s="97">
        <v>51407</v>
      </c>
      <c r="GV83" s="97">
        <v>28745</v>
      </c>
      <c r="GW83" s="97">
        <v>386084</v>
      </c>
      <c r="GX83" s="97">
        <v>176427</v>
      </c>
      <c r="GY83" s="97">
        <v>926788</v>
      </c>
      <c r="GZ83" s="97">
        <v>228780</v>
      </c>
      <c r="HA83" s="97">
        <v>258577</v>
      </c>
      <c r="HB83" s="97">
        <v>129566</v>
      </c>
      <c r="HC83" s="97">
        <v>237976</v>
      </c>
      <c r="HD83" s="97">
        <v>263887</v>
      </c>
      <c r="HE83" s="97">
        <v>1118786</v>
      </c>
      <c r="HF83" s="97">
        <v>185</v>
      </c>
      <c r="HG83" s="97">
        <v>1834</v>
      </c>
      <c r="HH83" s="97">
        <v>0</v>
      </c>
      <c r="HI83" s="97">
        <v>4640</v>
      </c>
      <c r="HJ83" s="97">
        <v>977775</v>
      </c>
      <c r="HK83" s="97">
        <v>984434</v>
      </c>
      <c r="HL83" s="97">
        <v>0</v>
      </c>
      <c r="HM83" s="97">
        <v>0</v>
      </c>
      <c r="HN83" s="97">
        <v>0</v>
      </c>
      <c r="HO83" s="97">
        <v>0</v>
      </c>
      <c r="HP83" s="97">
        <v>0</v>
      </c>
      <c r="HQ83" s="97">
        <v>0</v>
      </c>
      <c r="HR83" s="97">
        <v>17495</v>
      </c>
      <c r="HS83" s="97">
        <v>4312</v>
      </c>
      <c r="HT83" s="97">
        <v>197</v>
      </c>
      <c r="HU83" s="97">
        <v>36492</v>
      </c>
      <c r="HV83" s="97">
        <v>14097688</v>
      </c>
      <c r="HW83" s="97">
        <v>14156184</v>
      </c>
      <c r="HX83" s="97">
        <v>0</v>
      </c>
      <c r="HY83" s="97">
        <v>0</v>
      </c>
      <c r="HZ83" s="97">
        <v>0</v>
      </c>
      <c r="IA83" s="97">
        <v>0</v>
      </c>
      <c r="IB83" s="97">
        <v>134503</v>
      </c>
      <c r="IC83" s="97">
        <v>134503</v>
      </c>
      <c r="ID83" s="97">
        <v>0</v>
      </c>
      <c r="IE83" s="97">
        <v>0</v>
      </c>
      <c r="IF83" s="97">
        <v>0</v>
      </c>
      <c r="IG83" s="97">
        <v>0</v>
      </c>
      <c r="IH83" s="97">
        <v>4711222</v>
      </c>
      <c r="II83" s="97">
        <v>4711222</v>
      </c>
      <c r="IJ83" s="97">
        <v>23941</v>
      </c>
      <c r="IK83" s="97">
        <v>0</v>
      </c>
      <c r="IL83" s="97">
        <v>0</v>
      </c>
      <c r="IM83" s="97">
        <v>0</v>
      </c>
      <c r="IN83" s="97">
        <v>517510</v>
      </c>
      <c r="IO83" s="97">
        <v>541451</v>
      </c>
      <c r="IP83" s="97">
        <v>0</v>
      </c>
      <c r="IQ83" s="97">
        <v>1260</v>
      </c>
      <c r="IR83" s="97">
        <v>640</v>
      </c>
      <c r="IS83" s="97">
        <v>14913</v>
      </c>
      <c r="IT83" s="97">
        <v>399064</v>
      </c>
      <c r="IU83" s="97">
        <v>415877</v>
      </c>
      <c r="IV83" s="97">
        <v>797876</v>
      </c>
      <c r="IW83" s="97">
        <v>934217</v>
      </c>
      <c r="IX83" s="97">
        <v>63446</v>
      </c>
      <c r="IY83" s="97">
        <v>175967</v>
      </c>
      <c r="IZ83" s="97">
        <v>1996710</v>
      </c>
      <c r="JA83" s="97">
        <v>3968216</v>
      </c>
      <c r="JB83" s="97">
        <v>6925177</v>
      </c>
      <c r="JC83" s="97">
        <v>3757188</v>
      </c>
      <c r="JD83" s="97">
        <v>1625960</v>
      </c>
      <c r="JE83" s="97">
        <v>7870025</v>
      </c>
      <c r="JF83" s="97">
        <v>38513321</v>
      </c>
      <c r="JG83" s="97">
        <v>58691671</v>
      </c>
      <c r="JH83" s="97">
        <v>0</v>
      </c>
      <c r="JI83" s="97">
        <v>0</v>
      </c>
      <c r="JJ83" s="97">
        <v>0</v>
      </c>
      <c r="JK83" s="97">
        <v>0</v>
      </c>
      <c r="JL83" s="97">
        <v>0</v>
      </c>
      <c r="JM83" s="97">
        <v>0</v>
      </c>
      <c r="JN83" s="97">
        <v>6925177</v>
      </c>
      <c r="JO83" s="97">
        <v>3757188</v>
      </c>
      <c r="JP83" s="97">
        <v>1625960</v>
      </c>
      <c r="JQ83" s="97">
        <v>7870025</v>
      </c>
      <c r="JR83" s="97">
        <v>38513321</v>
      </c>
      <c r="JS83" s="97">
        <v>58691671</v>
      </c>
      <c r="JU83" s="5">
        <f t="shared" si="157"/>
        <v>5758489</v>
      </c>
      <c r="JV83" s="29">
        <f t="shared" si="158"/>
        <v>0</v>
      </c>
      <c r="JW83" s="5">
        <f t="shared" si="159"/>
        <v>2527911</v>
      </c>
      <c r="JX83" s="29">
        <f t="shared" si="160"/>
        <v>0</v>
      </c>
      <c r="JY83" s="5">
        <f t="shared" si="161"/>
        <v>545000</v>
      </c>
      <c r="JZ83" s="29">
        <f t="shared" si="162"/>
        <v>0</v>
      </c>
      <c r="KA83" s="5">
        <f t="shared" si="163"/>
        <v>6343180</v>
      </c>
      <c r="KB83" s="29">
        <f t="shared" si="164"/>
        <v>0</v>
      </c>
      <c r="KC83" s="5">
        <f t="shared" si="165"/>
        <v>0</v>
      </c>
      <c r="KD83" s="29">
        <f t="shared" si="166"/>
        <v>0</v>
      </c>
      <c r="KE83" s="5">
        <f t="shared" si="167"/>
        <v>7785659</v>
      </c>
      <c r="KF83" s="29">
        <f t="shared" si="168"/>
        <v>0</v>
      </c>
      <c r="KG83" s="5">
        <f t="shared" si="169"/>
        <v>17572068</v>
      </c>
      <c r="KH83" s="29">
        <f t="shared" si="170"/>
        <v>0</v>
      </c>
      <c r="KI83" s="5">
        <f t="shared" si="171"/>
        <v>4711222</v>
      </c>
      <c r="KJ83" s="29">
        <f t="shared" si="172"/>
        <v>0</v>
      </c>
      <c r="KK83" s="5">
        <f t="shared" si="173"/>
        <v>3864066</v>
      </c>
      <c r="KL83" s="29">
        <f t="shared" si="174"/>
        <v>0</v>
      </c>
      <c r="KM83" s="5">
        <f t="shared" si="175"/>
        <v>0</v>
      </c>
      <c r="KN83" s="29">
        <f t="shared" si="176"/>
        <v>0</v>
      </c>
      <c r="KO83" s="5">
        <f t="shared" si="177"/>
        <v>1812918</v>
      </c>
      <c r="KP83" s="29">
        <f t="shared" si="178"/>
        <v>0</v>
      </c>
      <c r="KQ83" s="5">
        <f t="shared" si="179"/>
        <v>6895898</v>
      </c>
      <c r="KR83" s="29">
        <f t="shared" si="180"/>
        <v>0</v>
      </c>
      <c r="KS83" s="5">
        <f t="shared" si="181"/>
        <v>0</v>
      </c>
      <c r="KT83" s="29">
        <f t="shared" si="182"/>
        <v>0</v>
      </c>
      <c r="KU83" s="5">
        <f t="shared" si="183"/>
        <v>355019</v>
      </c>
      <c r="KV83" s="29">
        <f t="shared" si="184"/>
        <v>0</v>
      </c>
      <c r="KW83" s="5">
        <f t="shared" si="185"/>
        <v>635103</v>
      </c>
      <c r="KX83" s="29">
        <f t="shared" si="186"/>
        <v>0</v>
      </c>
      <c r="KY83" s="5">
        <f t="shared" si="187"/>
        <v>58806533</v>
      </c>
      <c r="KZ83" s="29">
        <f t="shared" si="188"/>
        <v>0</v>
      </c>
      <c r="LA83" s="5">
        <f t="shared" si="230"/>
        <v>7053983</v>
      </c>
      <c r="LB83" s="29">
        <f t="shared" si="231"/>
        <v>0</v>
      </c>
      <c r="LC83" s="5">
        <f t="shared" si="232"/>
        <v>887994</v>
      </c>
      <c r="LD83" s="29">
        <f t="shared" si="189"/>
        <v>0</v>
      </c>
      <c r="LE83" s="5">
        <f t="shared" si="190"/>
        <v>5621164</v>
      </c>
      <c r="LF83" s="29">
        <f t="shared" si="191"/>
        <v>0</v>
      </c>
      <c r="LG83" s="5">
        <f t="shared" si="192"/>
        <v>0</v>
      </c>
      <c r="LH83" s="29">
        <f t="shared" si="193"/>
        <v>0</v>
      </c>
      <c r="LI83" s="5">
        <f t="shared" si="194"/>
        <v>15511829</v>
      </c>
      <c r="LJ83" s="29">
        <f t="shared" si="195"/>
        <v>0</v>
      </c>
      <c r="LK83" s="5">
        <f t="shared" si="196"/>
        <v>0</v>
      </c>
      <c r="LL83" s="29">
        <f t="shared" si="197"/>
        <v>0</v>
      </c>
      <c r="LM83" s="5">
        <f t="shared" si="198"/>
        <v>0</v>
      </c>
      <c r="LN83" s="29">
        <f t="shared" si="199"/>
        <v>0</v>
      </c>
      <c r="LO83" s="5">
        <f t="shared" si="200"/>
        <v>722821</v>
      </c>
      <c r="LP83" s="29">
        <f t="shared" si="201"/>
        <v>0</v>
      </c>
      <c r="LQ83" s="5">
        <f t="shared" si="202"/>
        <v>1936419</v>
      </c>
      <c r="LR83" s="29">
        <f t="shared" si="203"/>
        <v>0</v>
      </c>
      <c r="LS83" s="5">
        <f t="shared" si="204"/>
        <v>926788</v>
      </c>
      <c r="LT83" s="29">
        <f t="shared" si="205"/>
        <v>0</v>
      </c>
      <c r="LU83" s="5">
        <f t="shared" si="206"/>
        <v>1118786</v>
      </c>
      <c r="LV83" s="29">
        <f t="shared" si="207"/>
        <v>0</v>
      </c>
      <c r="LW83" s="5">
        <f t="shared" si="208"/>
        <v>984434</v>
      </c>
      <c r="LX83" s="29">
        <f t="shared" si="209"/>
        <v>0</v>
      </c>
      <c r="LY83" s="5">
        <f t="shared" si="210"/>
        <v>0</v>
      </c>
      <c r="LZ83" s="29">
        <f t="shared" si="211"/>
        <v>0</v>
      </c>
      <c r="MA83" s="5">
        <f t="shared" si="212"/>
        <v>14156184</v>
      </c>
      <c r="MB83" s="29">
        <f t="shared" si="213"/>
        <v>0</v>
      </c>
      <c r="MC83" s="5">
        <f t="shared" si="214"/>
        <v>134503</v>
      </c>
      <c r="MD83" s="29">
        <f t="shared" si="215"/>
        <v>0</v>
      </c>
      <c r="ME83" s="5">
        <f t="shared" si="216"/>
        <v>4711222</v>
      </c>
      <c r="MF83" s="29">
        <f t="shared" si="217"/>
        <v>0</v>
      </c>
      <c r="MG83" s="5">
        <f t="shared" si="218"/>
        <v>541451</v>
      </c>
      <c r="MH83" s="29">
        <f t="shared" si="219"/>
        <v>0</v>
      </c>
      <c r="MI83" s="5">
        <f t="shared" si="220"/>
        <v>415877</v>
      </c>
      <c r="MJ83" s="29">
        <f t="shared" si="221"/>
        <v>0</v>
      </c>
      <c r="MK83" s="5">
        <f t="shared" si="222"/>
        <v>3968216</v>
      </c>
      <c r="ML83" s="29">
        <f t="shared" si="223"/>
        <v>0</v>
      </c>
      <c r="MM83" s="5">
        <f t="shared" si="224"/>
        <v>58691671</v>
      </c>
      <c r="MN83" s="29">
        <f t="shared" si="225"/>
        <v>0</v>
      </c>
      <c r="MO83" s="5">
        <f t="shared" si="226"/>
        <v>0</v>
      </c>
      <c r="MP83" s="29">
        <f t="shared" si="227"/>
        <v>0</v>
      </c>
      <c r="MQ83" s="5">
        <f t="shared" si="228"/>
        <v>58691671</v>
      </c>
      <c r="MR83" s="29">
        <f t="shared" si="229"/>
        <v>0</v>
      </c>
      <c r="MT83" s="5">
        <f t="shared" si="156"/>
        <v>0</v>
      </c>
      <c r="MV83" s="4">
        <f t="shared" si="155"/>
        <v>0</v>
      </c>
    </row>
    <row r="84" spans="1:360" x14ac:dyDescent="0.15">
      <c r="A84" s="157" t="s">
        <v>297</v>
      </c>
      <c r="B84" s="28" t="s">
        <v>407</v>
      </c>
      <c r="C84" s="47">
        <v>228796</v>
      </c>
      <c r="D84" s="48">
        <v>2012</v>
      </c>
      <c r="E84" s="49">
        <v>1</v>
      </c>
      <c r="F84" s="49">
        <v>8</v>
      </c>
      <c r="G84" s="50">
        <v>5991</v>
      </c>
      <c r="H84" s="50">
        <v>6723</v>
      </c>
      <c r="I84" s="51">
        <v>361449470</v>
      </c>
      <c r="J84" s="51"/>
      <c r="K84" s="51">
        <v>1659674</v>
      </c>
      <c r="L84" s="51"/>
      <c r="M84" s="51">
        <v>18520389</v>
      </c>
      <c r="N84" s="51"/>
      <c r="O84" s="51">
        <v>15698000</v>
      </c>
      <c r="P84" s="51"/>
      <c r="Q84" s="51">
        <v>205618000</v>
      </c>
      <c r="R84" s="51"/>
      <c r="S84" s="51">
        <v>273885755</v>
      </c>
      <c r="T84" s="51"/>
      <c r="U84" s="51">
        <v>16945</v>
      </c>
      <c r="V84" s="51"/>
      <c r="W84" s="51">
        <v>26334</v>
      </c>
      <c r="X84" s="51"/>
      <c r="Y84" s="51">
        <v>20639</v>
      </c>
      <c r="Z84" s="51"/>
      <c r="AA84" s="51">
        <v>30028</v>
      </c>
      <c r="AB84" s="51"/>
      <c r="AC84" s="72">
        <v>6</v>
      </c>
      <c r="AD84" s="72">
        <v>10</v>
      </c>
      <c r="AE84" s="72">
        <v>0</v>
      </c>
      <c r="AF84" s="29">
        <v>2779100</v>
      </c>
      <c r="AG84" s="29">
        <v>2624912</v>
      </c>
      <c r="AH84" s="29">
        <v>366540</v>
      </c>
      <c r="AI84" s="29">
        <v>154678</v>
      </c>
      <c r="AJ84" s="29">
        <v>352506</v>
      </c>
      <c r="AK84" s="73">
        <v>4</v>
      </c>
      <c r="AL84" s="29">
        <v>264379</v>
      </c>
      <c r="AM84" s="73">
        <v>5</v>
      </c>
      <c r="AN84" s="29">
        <v>107047</v>
      </c>
      <c r="AO84" s="73">
        <v>9</v>
      </c>
      <c r="AP84" s="29">
        <v>93666</v>
      </c>
      <c r="AQ84" s="73">
        <v>10</v>
      </c>
      <c r="AR84" s="29">
        <v>120593</v>
      </c>
      <c r="AS84" s="73">
        <v>14</v>
      </c>
      <c r="AT84" s="29">
        <v>103635</v>
      </c>
      <c r="AU84" s="73">
        <v>16</v>
      </c>
      <c r="AV84" s="29">
        <v>61253</v>
      </c>
      <c r="AW84" s="73">
        <v>9</v>
      </c>
      <c r="AX84" s="29">
        <v>48724</v>
      </c>
      <c r="AY84" s="73">
        <v>11</v>
      </c>
      <c r="AZ84" s="97">
        <v>1070699</v>
      </c>
      <c r="BA84" s="97">
        <v>1173485</v>
      </c>
      <c r="BB84" s="97">
        <v>32092</v>
      </c>
      <c r="BC84" s="97">
        <v>16275</v>
      </c>
      <c r="BD84" s="97">
        <v>0</v>
      </c>
      <c r="BE84" s="97">
        <v>2292551</v>
      </c>
      <c r="BF84" s="97">
        <v>1518030</v>
      </c>
      <c r="BG84" s="97">
        <v>231725</v>
      </c>
      <c r="BH84" s="97">
        <v>267738</v>
      </c>
      <c r="BI84" s="97">
        <v>1620249</v>
      </c>
      <c r="BJ84" s="97">
        <v>111661</v>
      </c>
      <c r="BK84" s="97">
        <v>3749403</v>
      </c>
      <c r="BL84" s="97">
        <v>700000</v>
      </c>
      <c r="BM84" s="97">
        <v>55000</v>
      </c>
      <c r="BN84" s="97">
        <v>0</v>
      </c>
      <c r="BO84" s="97">
        <v>0</v>
      </c>
      <c r="BP84" s="97">
        <v>0</v>
      </c>
      <c r="BQ84" s="97">
        <v>755000</v>
      </c>
      <c r="BR84" s="97">
        <v>1121881</v>
      </c>
      <c r="BS84" s="97">
        <v>375916</v>
      </c>
      <c r="BT84" s="97">
        <v>169750</v>
      </c>
      <c r="BU84" s="97">
        <v>1347067</v>
      </c>
      <c r="BV84" s="97">
        <v>118464</v>
      </c>
      <c r="BW84" s="97">
        <v>3133078</v>
      </c>
      <c r="BX84" s="97">
        <v>72830</v>
      </c>
      <c r="BY84" s="97">
        <v>41646</v>
      </c>
      <c r="BZ84" s="97">
        <v>5895</v>
      </c>
      <c r="CA84" s="97">
        <v>56728</v>
      </c>
      <c r="CB84" s="97">
        <v>27236</v>
      </c>
      <c r="CC84" s="97">
        <v>204335</v>
      </c>
      <c r="CD84" s="97">
        <v>0</v>
      </c>
      <c r="CE84" s="97">
        <v>0</v>
      </c>
      <c r="CF84" s="97">
        <v>0</v>
      </c>
      <c r="CG84" s="97">
        <v>0</v>
      </c>
      <c r="CH84" s="97">
        <v>0</v>
      </c>
      <c r="CI84" s="97">
        <v>0</v>
      </c>
      <c r="CJ84" s="97">
        <v>2943963</v>
      </c>
      <c r="CK84" s="97">
        <v>511572</v>
      </c>
      <c r="CL84" s="97">
        <v>568615</v>
      </c>
      <c r="CM84" s="97">
        <v>3575674</v>
      </c>
      <c r="CN84" s="97">
        <v>526866</v>
      </c>
      <c r="CO84" s="97">
        <v>8126690</v>
      </c>
      <c r="CP84" s="97">
        <v>1255880</v>
      </c>
      <c r="CQ84" s="97">
        <v>192075</v>
      </c>
      <c r="CR84" s="97">
        <v>221626</v>
      </c>
      <c r="CS84" s="97">
        <v>1340094</v>
      </c>
      <c r="CT84" s="97">
        <v>0</v>
      </c>
      <c r="CU84" s="97">
        <v>3009675</v>
      </c>
      <c r="CV84" s="97">
        <v>1056782</v>
      </c>
      <c r="CW84" s="97">
        <v>633708</v>
      </c>
      <c r="CX84" s="97">
        <v>233690</v>
      </c>
      <c r="CY84" s="97">
        <v>1082273</v>
      </c>
      <c r="CZ84" s="97">
        <v>0</v>
      </c>
      <c r="DA84" s="97">
        <v>3006453</v>
      </c>
      <c r="DB84" s="97">
        <v>214923</v>
      </c>
      <c r="DC84" s="97">
        <v>140476</v>
      </c>
      <c r="DD84" s="97">
        <v>0</v>
      </c>
      <c r="DE84" s="97">
        <v>0</v>
      </c>
      <c r="DF84" s="97">
        <v>0</v>
      </c>
      <c r="DG84" s="97">
        <v>355399</v>
      </c>
      <c r="DH84" s="97">
        <v>149038</v>
      </c>
      <c r="DI84" s="97">
        <v>22749</v>
      </c>
      <c r="DJ84" s="97">
        <v>26286</v>
      </c>
      <c r="DK84" s="97">
        <v>159075</v>
      </c>
      <c r="DL84" s="97">
        <v>0</v>
      </c>
      <c r="DM84" s="97">
        <v>357148</v>
      </c>
      <c r="DN84" s="97">
        <v>872637</v>
      </c>
      <c r="DO84" s="97">
        <v>545288</v>
      </c>
      <c r="DP84" s="97">
        <v>25000</v>
      </c>
      <c r="DQ84" s="97">
        <v>23671</v>
      </c>
      <c r="DR84" s="97">
        <v>71507</v>
      </c>
      <c r="DS84" s="97">
        <v>1538103</v>
      </c>
      <c r="DT84" s="97">
        <v>11787</v>
      </c>
      <c r="DU84" s="97">
        <v>33620</v>
      </c>
      <c r="DV84" s="97">
        <v>8921</v>
      </c>
      <c r="DW84" s="97">
        <v>67686</v>
      </c>
      <c r="DX84" s="97">
        <v>28740</v>
      </c>
      <c r="DY84" s="97">
        <v>150754</v>
      </c>
      <c r="DZ84" s="97">
        <v>28292</v>
      </c>
      <c r="EA84" s="97">
        <v>20086</v>
      </c>
      <c r="EB84" s="97">
        <v>3056</v>
      </c>
      <c r="EC84" s="97">
        <v>25449</v>
      </c>
      <c r="ED84" s="97">
        <v>0</v>
      </c>
      <c r="EE84" s="97">
        <v>76883</v>
      </c>
      <c r="EF84" s="97">
        <v>150676</v>
      </c>
      <c r="EG84" s="97">
        <v>36254</v>
      </c>
      <c r="EH84" s="97">
        <v>35305</v>
      </c>
      <c r="EI84" s="97">
        <v>199796</v>
      </c>
      <c r="EJ84" s="97">
        <v>53434</v>
      </c>
      <c r="EK84" s="97">
        <v>475465</v>
      </c>
      <c r="EL84" s="97">
        <v>11167418</v>
      </c>
      <c r="EM84" s="97">
        <v>4013600</v>
      </c>
      <c r="EN84" s="97">
        <v>1597974</v>
      </c>
      <c r="EO84" s="97">
        <v>9514037</v>
      </c>
      <c r="EP84" s="97">
        <v>937908</v>
      </c>
      <c r="EQ84" s="97">
        <v>27230937</v>
      </c>
      <c r="ER84" s="97">
        <v>1875764</v>
      </c>
      <c r="ES84" s="97">
        <v>370549</v>
      </c>
      <c r="ET84" s="97">
        <v>444923</v>
      </c>
      <c r="EU84" s="97">
        <v>2712776</v>
      </c>
      <c r="EV84" s="97">
        <v>1095990</v>
      </c>
      <c r="EW84" s="97">
        <v>6500002</v>
      </c>
      <c r="EX84" s="97">
        <v>257017</v>
      </c>
      <c r="EY84" s="97">
        <v>433650</v>
      </c>
      <c r="EZ84" s="97">
        <v>99500</v>
      </c>
      <c r="FA84" s="97">
        <v>35243</v>
      </c>
      <c r="FB84" s="97">
        <v>0</v>
      </c>
      <c r="FC84" s="97">
        <v>825410</v>
      </c>
      <c r="FD84" s="97">
        <v>1588828</v>
      </c>
      <c r="FE84" s="97">
        <v>1133378</v>
      </c>
      <c r="FF84" s="97">
        <v>462304</v>
      </c>
      <c r="FG84" s="97">
        <v>1268192</v>
      </c>
      <c r="FH84" s="97">
        <v>0</v>
      </c>
      <c r="FI84" s="97">
        <v>4452702</v>
      </c>
      <c r="FJ84" s="97">
        <v>69830</v>
      </c>
      <c r="FK84" s="97">
        <v>41646</v>
      </c>
      <c r="FL84" s="97">
        <v>5895</v>
      </c>
      <c r="FM84" s="97">
        <v>56728</v>
      </c>
      <c r="FN84" s="97">
        <v>0</v>
      </c>
      <c r="FO84" s="97">
        <v>174099</v>
      </c>
      <c r="FP84" s="97">
        <v>362841</v>
      </c>
      <c r="FQ84" s="97">
        <v>166534</v>
      </c>
      <c r="FR84" s="97">
        <v>31667</v>
      </c>
      <c r="FS84" s="97">
        <v>88121</v>
      </c>
      <c r="FT84" s="97">
        <v>2259177</v>
      </c>
      <c r="FU84" s="97">
        <v>2908340</v>
      </c>
      <c r="FV84" s="97">
        <v>8895</v>
      </c>
      <c r="FW84" s="97">
        <v>0</v>
      </c>
      <c r="FX84" s="97">
        <v>0</v>
      </c>
      <c r="FY84" s="97">
        <v>0</v>
      </c>
      <c r="FZ84" s="97">
        <v>21341</v>
      </c>
      <c r="GA84" s="97">
        <v>30236</v>
      </c>
      <c r="GB84" s="97">
        <v>0</v>
      </c>
      <c r="GC84" s="97">
        <v>0</v>
      </c>
      <c r="GD84" s="97">
        <v>0</v>
      </c>
      <c r="GE84" s="97">
        <v>0</v>
      </c>
      <c r="GF84" s="97">
        <v>0</v>
      </c>
      <c r="GG84" s="97">
        <v>0</v>
      </c>
      <c r="GH84" s="97">
        <v>176991</v>
      </c>
      <c r="GI84" s="97">
        <v>166981</v>
      </c>
      <c r="GJ84" s="97">
        <v>64310</v>
      </c>
      <c r="GK84" s="97">
        <v>112936</v>
      </c>
      <c r="GL84" s="97">
        <v>0</v>
      </c>
      <c r="GM84" s="97">
        <v>521218</v>
      </c>
      <c r="GN84" s="97">
        <v>977233</v>
      </c>
      <c r="GO84" s="97">
        <v>415291</v>
      </c>
      <c r="GP84" s="97">
        <v>282939</v>
      </c>
      <c r="GQ84" s="97">
        <v>1105966</v>
      </c>
      <c r="GR84" s="97">
        <v>0</v>
      </c>
      <c r="GS84" s="97">
        <v>2781429</v>
      </c>
      <c r="GT84" s="97">
        <v>234062</v>
      </c>
      <c r="GU84" s="97">
        <v>23621</v>
      </c>
      <c r="GV84" s="97">
        <v>18811</v>
      </c>
      <c r="GW84" s="97">
        <v>198094</v>
      </c>
      <c r="GX84" s="97">
        <v>0</v>
      </c>
      <c r="GY84" s="97">
        <v>474588</v>
      </c>
      <c r="GZ84" s="97">
        <v>509566</v>
      </c>
      <c r="HA84" s="97">
        <v>394657</v>
      </c>
      <c r="HB84" s="97">
        <v>132424</v>
      </c>
      <c r="HC84" s="97">
        <v>316093</v>
      </c>
      <c r="HD84" s="97">
        <v>256</v>
      </c>
      <c r="HE84" s="97">
        <v>1352996</v>
      </c>
      <c r="HF84" s="97">
        <v>192840</v>
      </c>
      <c r="HG84" s="97">
        <v>45823</v>
      </c>
      <c r="HH84" s="97">
        <v>29930</v>
      </c>
      <c r="HI84" s="97">
        <v>181623</v>
      </c>
      <c r="HJ84" s="97">
        <v>163686</v>
      </c>
      <c r="HK84" s="97">
        <v>613902</v>
      </c>
      <c r="HL84" s="97">
        <v>61710</v>
      </c>
      <c r="HM84" s="97">
        <v>14403</v>
      </c>
      <c r="HN84" s="97">
        <v>4345</v>
      </c>
      <c r="HO84" s="97">
        <v>44541</v>
      </c>
      <c r="HP84" s="97">
        <v>9466</v>
      </c>
      <c r="HQ84" s="97">
        <v>134465</v>
      </c>
      <c r="HR84" s="97">
        <v>227982</v>
      </c>
      <c r="HS84" s="97">
        <v>44024</v>
      </c>
      <c r="HT84" s="97">
        <v>47877</v>
      </c>
      <c r="HU84" s="97">
        <v>342205</v>
      </c>
      <c r="HV84" s="97">
        <v>0</v>
      </c>
      <c r="HW84" s="97">
        <v>662088</v>
      </c>
      <c r="HX84" s="97">
        <v>27241</v>
      </c>
      <c r="HY84" s="97">
        <v>4166</v>
      </c>
      <c r="HZ84" s="97">
        <v>4807</v>
      </c>
      <c r="IA84" s="97">
        <v>29067</v>
      </c>
      <c r="IB84" s="97">
        <v>54876</v>
      </c>
      <c r="IC84" s="97">
        <v>120157</v>
      </c>
      <c r="ID84" s="97">
        <v>1255880</v>
      </c>
      <c r="IE84" s="97">
        <v>192075</v>
      </c>
      <c r="IF84" s="97">
        <v>221626</v>
      </c>
      <c r="IG84" s="97">
        <v>1340094</v>
      </c>
      <c r="IH84" s="97">
        <v>0</v>
      </c>
      <c r="II84" s="97">
        <v>3009675</v>
      </c>
      <c r="IJ84" s="97">
        <v>337728</v>
      </c>
      <c r="IK84" s="97">
        <v>51611</v>
      </c>
      <c r="IL84" s="97">
        <v>59585</v>
      </c>
      <c r="IM84" s="97">
        <v>360419</v>
      </c>
      <c r="IN84" s="97">
        <v>5000</v>
      </c>
      <c r="IO84" s="97">
        <v>814343</v>
      </c>
      <c r="IP84" s="97">
        <v>134812</v>
      </c>
      <c r="IQ84" s="97">
        <v>21826</v>
      </c>
      <c r="IR84" s="97">
        <v>23575</v>
      </c>
      <c r="IS84" s="97">
        <v>146023</v>
      </c>
      <c r="IT84" s="97">
        <v>2645</v>
      </c>
      <c r="IU84" s="97">
        <v>328881</v>
      </c>
      <c r="IV84" s="97">
        <v>502071</v>
      </c>
      <c r="IW84" s="97">
        <v>191089</v>
      </c>
      <c r="IX84" s="97">
        <v>72250</v>
      </c>
      <c r="IY84" s="97">
        <v>271423</v>
      </c>
      <c r="IZ84" s="97">
        <v>350874</v>
      </c>
      <c r="JA84" s="97">
        <v>1387707</v>
      </c>
      <c r="JB84" s="97">
        <v>8801291</v>
      </c>
      <c r="JC84" s="97">
        <v>3711324</v>
      </c>
      <c r="JD84" s="97">
        <v>2006768</v>
      </c>
      <c r="JE84" s="97">
        <v>8609544</v>
      </c>
      <c r="JF84" s="97">
        <v>3963311</v>
      </c>
      <c r="JG84" s="97">
        <v>27092238</v>
      </c>
      <c r="JH84" s="97">
        <v>0</v>
      </c>
      <c r="JI84" s="97">
        <v>0</v>
      </c>
      <c r="JJ84" s="97">
        <v>0</v>
      </c>
      <c r="JK84" s="97">
        <v>0</v>
      </c>
      <c r="JL84" s="97">
        <v>0</v>
      </c>
      <c r="JM84" s="97">
        <v>0</v>
      </c>
      <c r="JN84" s="97">
        <v>8801291</v>
      </c>
      <c r="JO84" s="97">
        <v>3711324</v>
      </c>
      <c r="JP84" s="97">
        <v>2006768</v>
      </c>
      <c r="JQ84" s="97">
        <v>8609544</v>
      </c>
      <c r="JR84" s="97">
        <v>3963311</v>
      </c>
      <c r="JS84" s="97">
        <v>27092238</v>
      </c>
      <c r="JU84" s="5">
        <f t="shared" si="157"/>
        <v>2292551</v>
      </c>
      <c r="JV84" s="29">
        <f t="shared" si="158"/>
        <v>0</v>
      </c>
      <c r="JW84" s="5">
        <f t="shared" si="159"/>
        <v>3749403</v>
      </c>
      <c r="JX84" s="29">
        <f t="shared" si="160"/>
        <v>0</v>
      </c>
      <c r="JY84" s="5">
        <f t="shared" si="161"/>
        <v>755000</v>
      </c>
      <c r="JZ84" s="29">
        <f t="shared" si="162"/>
        <v>0</v>
      </c>
      <c r="KA84" s="5">
        <f t="shared" si="163"/>
        <v>3133078</v>
      </c>
      <c r="KB84" s="29">
        <f t="shared" si="164"/>
        <v>0</v>
      </c>
      <c r="KC84" s="5">
        <f t="shared" si="165"/>
        <v>204335</v>
      </c>
      <c r="KD84" s="29">
        <f t="shared" si="166"/>
        <v>0</v>
      </c>
      <c r="KE84" s="5">
        <f t="shared" si="167"/>
        <v>0</v>
      </c>
      <c r="KF84" s="29">
        <f t="shared" si="168"/>
        <v>0</v>
      </c>
      <c r="KG84" s="5">
        <f t="shared" si="169"/>
        <v>8126690</v>
      </c>
      <c r="KH84" s="29">
        <f t="shared" si="170"/>
        <v>0</v>
      </c>
      <c r="KI84" s="5">
        <f t="shared" si="171"/>
        <v>3009675</v>
      </c>
      <c r="KJ84" s="29">
        <f t="shared" si="172"/>
        <v>0</v>
      </c>
      <c r="KK84" s="5">
        <f t="shared" si="173"/>
        <v>3006453</v>
      </c>
      <c r="KL84" s="29">
        <f t="shared" si="174"/>
        <v>0</v>
      </c>
      <c r="KM84" s="5">
        <f t="shared" si="175"/>
        <v>355399</v>
      </c>
      <c r="KN84" s="29">
        <f t="shared" si="176"/>
        <v>0</v>
      </c>
      <c r="KO84" s="5">
        <f t="shared" si="177"/>
        <v>357148</v>
      </c>
      <c r="KP84" s="29">
        <f t="shared" si="178"/>
        <v>0</v>
      </c>
      <c r="KQ84" s="5">
        <f t="shared" si="179"/>
        <v>1538103</v>
      </c>
      <c r="KR84" s="29">
        <f t="shared" si="180"/>
        <v>0</v>
      </c>
      <c r="KS84" s="5">
        <f t="shared" si="181"/>
        <v>150754</v>
      </c>
      <c r="KT84" s="29">
        <f t="shared" si="182"/>
        <v>0</v>
      </c>
      <c r="KU84" s="5">
        <f t="shared" si="183"/>
        <v>76883</v>
      </c>
      <c r="KV84" s="29">
        <f t="shared" si="184"/>
        <v>0</v>
      </c>
      <c r="KW84" s="5">
        <f t="shared" si="185"/>
        <v>475465</v>
      </c>
      <c r="KX84" s="29">
        <f t="shared" si="186"/>
        <v>0</v>
      </c>
      <c r="KY84" s="5">
        <f t="shared" si="187"/>
        <v>27230937</v>
      </c>
      <c r="KZ84" s="29">
        <f t="shared" si="188"/>
        <v>0</v>
      </c>
      <c r="LA84" s="5">
        <f t="shared" si="230"/>
        <v>6500002</v>
      </c>
      <c r="LB84" s="29">
        <f t="shared" si="231"/>
        <v>0</v>
      </c>
      <c r="LC84" s="5">
        <f t="shared" si="232"/>
        <v>825410</v>
      </c>
      <c r="LD84" s="29">
        <f t="shared" si="189"/>
        <v>0</v>
      </c>
      <c r="LE84" s="5">
        <f t="shared" si="190"/>
        <v>4452702</v>
      </c>
      <c r="LF84" s="29">
        <f t="shared" si="191"/>
        <v>0</v>
      </c>
      <c r="LG84" s="5">
        <f t="shared" si="192"/>
        <v>174099</v>
      </c>
      <c r="LH84" s="29">
        <f t="shared" si="193"/>
        <v>0</v>
      </c>
      <c r="LI84" s="5">
        <f t="shared" si="194"/>
        <v>2908340</v>
      </c>
      <c r="LJ84" s="29">
        <f t="shared" si="195"/>
        <v>0</v>
      </c>
      <c r="LK84" s="5">
        <f t="shared" si="196"/>
        <v>30236</v>
      </c>
      <c r="LL84" s="29">
        <f t="shared" si="197"/>
        <v>0</v>
      </c>
      <c r="LM84" s="5">
        <f t="shared" si="198"/>
        <v>0</v>
      </c>
      <c r="LN84" s="29">
        <f t="shared" si="199"/>
        <v>0</v>
      </c>
      <c r="LO84" s="5">
        <f t="shared" si="200"/>
        <v>521218</v>
      </c>
      <c r="LP84" s="29">
        <f t="shared" si="201"/>
        <v>0</v>
      </c>
      <c r="LQ84" s="5">
        <f t="shared" si="202"/>
        <v>2781429</v>
      </c>
      <c r="LR84" s="29">
        <f t="shared" si="203"/>
        <v>0</v>
      </c>
      <c r="LS84" s="5">
        <f t="shared" si="204"/>
        <v>474588</v>
      </c>
      <c r="LT84" s="29">
        <f t="shared" si="205"/>
        <v>0</v>
      </c>
      <c r="LU84" s="5">
        <f t="shared" si="206"/>
        <v>1352996</v>
      </c>
      <c r="LV84" s="29">
        <f t="shared" si="207"/>
        <v>0</v>
      </c>
      <c r="LW84" s="5">
        <f t="shared" si="208"/>
        <v>613902</v>
      </c>
      <c r="LX84" s="29">
        <f t="shared" si="209"/>
        <v>0</v>
      </c>
      <c r="LY84" s="5">
        <f t="shared" si="210"/>
        <v>134465</v>
      </c>
      <c r="LZ84" s="29">
        <f t="shared" si="211"/>
        <v>0</v>
      </c>
      <c r="MA84" s="5">
        <f t="shared" si="212"/>
        <v>662088</v>
      </c>
      <c r="MB84" s="29">
        <f t="shared" si="213"/>
        <v>0</v>
      </c>
      <c r="MC84" s="5">
        <f t="shared" si="214"/>
        <v>120157</v>
      </c>
      <c r="MD84" s="29">
        <f t="shared" si="215"/>
        <v>0</v>
      </c>
      <c r="ME84" s="5">
        <f t="shared" si="216"/>
        <v>3009675</v>
      </c>
      <c r="MF84" s="29">
        <f t="shared" si="217"/>
        <v>0</v>
      </c>
      <c r="MG84" s="5">
        <f t="shared" si="218"/>
        <v>814343</v>
      </c>
      <c r="MH84" s="29">
        <f t="shared" si="219"/>
        <v>0</v>
      </c>
      <c r="MI84" s="5">
        <f t="shared" si="220"/>
        <v>328881</v>
      </c>
      <c r="MJ84" s="29">
        <f t="shared" si="221"/>
        <v>0</v>
      </c>
      <c r="MK84" s="5">
        <f t="shared" si="222"/>
        <v>1387707</v>
      </c>
      <c r="ML84" s="29">
        <f t="shared" si="223"/>
        <v>0</v>
      </c>
      <c r="MM84" s="5">
        <f t="shared" si="224"/>
        <v>27092238</v>
      </c>
      <c r="MN84" s="29">
        <f t="shared" si="225"/>
        <v>0</v>
      </c>
      <c r="MO84" s="5">
        <f t="shared" si="226"/>
        <v>0</v>
      </c>
      <c r="MP84" s="29">
        <f t="shared" si="227"/>
        <v>0</v>
      </c>
      <c r="MQ84" s="5">
        <f t="shared" si="228"/>
        <v>27092238</v>
      </c>
      <c r="MR84" s="29">
        <f t="shared" si="229"/>
        <v>0</v>
      </c>
      <c r="MT84" s="5">
        <f t="shared" si="156"/>
        <v>0</v>
      </c>
      <c r="MV84" s="4">
        <f t="shared" si="155"/>
        <v>0</v>
      </c>
    </row>
    <row r="85" spans="1:360" x14ac:dyDescent="0.15">
      <c r="A85" s="155" t="s">
        <v>298</v>
      </c>
      <c r="B85" s="25" t="s">
        <v>463</v>
      </c>
      <c r="C85" s="48">
        <v>234076</v>
      </c>
      <c r="D85" s="48">
        <v>2012</v>
      </c>
      <c r="E85" s="49">
        <v>1</v>
      </c>
      <c r="F85" s="49">
        <v>1</v>
      </c>
      <c r="G85" s="50">
        <v>8048</v>
      </c>
      <c r="H85" s="50">
        <v>6543</v>
      </c>
      <c r="I85" s="51">
        <v>2377736370</v>
      </c>
      <c r="J85" s="51"/>
      <c r="K85" s="51">
        <v>4755387</v>
      </c>
      <c r="L85" s="51"/>
      <c r="M85" s="51">
        <v>44682234</v>
      </c>
      <c r="N85" s="51"/>
      <c r="O85" s="51">
        <v>52776152</v>
      </c>
      <c r="P85" s="51"/>
      <c r="Q85" s="51">
        <v>817281283</v>
      </c>
      <c r="R85" s="51"/>
      <c r="S85" s="51">
        <v>958510464</v>
      </c>
      <c r="T85" s="51"/>
      <c r="U85" s="51">
        <v>21130</v>
      </c>
      <c r="V85" s="51"/>
      <c r="W85" s="51">
        <v>46124</v>
      </c>
      <c r="X85" s="51"/>
      <c r="Y85" s="51">
        <v>24454</v>
      </c>
      <c r="Z85" s="51"/>
      <c r="AA85" s="51">
        <v>49718</v>
      </c>
      <c r="AB85" s="51"/>
      <c r="AC85" s="74">
        <v>12</v>
      </c>
      <c r="AD85" s="74">
        <v>13</v>
      </c>
      <c r="AE85" s="74">
        <v>0</v>
      </c>
      <c r="AF85" s="29">
        <v>6677454</v>
      </c>
      <c r="AG85" s="29">
        <v>5982474</v>
      </c>
      <c r="AH85" s="29">
        <v>792878</v>
      </c>
      <c r="AI85" s="29">
        <v>458620</v>
      </c>
      <c r="AJ85" s="29">
        <v>738795.22</v>
      </c>
      <c r="AK85" s="73">
        <v>9</v>
      </c>
      <c r="AL85" s="29">
        <v>664915.69999999995</v>
      </c>
      <c r="AM85" s="73">
        <v>10</v>
      </c>
      <c r="AN85" s="29">
        <v>217151.5</v>
      </c>
      <c r="AO85" s="73">
        <v>10</v>
      </c>
      <c r="AP85" s="29">
        <v>197410.45</v>
      </c>
      <c r="AQ85" s="73">
        <v>11</v>
      </c>
      <c r="AR85" s="29">
        <v>177087.21</v>
      </c>
      <c r="AS85" s="73">
        <v>29</v>
      </c>
      <c r="AT85" s="29">
        <v>151044.97</v>
      </c>
      <c r="AU85" s="73">
        <v>34</v>
      </c>
      <c r="AV85" s="29">
        <v>78229.259999999995</v>
      </c>
      <c r="AW85" s="73">
        <v>21.5</v>
      </c>
      <c r="AX85" s="29">
        <v>64689.58</v>
      </c>
      <c r="AY85" s="73">
        <v>26</v>
      </c>
      <c r="AZ85" s="97">
        <v>8700227</v>
      </c>
      <c r="BA85" s="97">
        <v>2597020</v>
      </c>
      <c r="BB85" s="97">
        <v>110671</v>
      </c>
      <c r="BC85" s="97">
        <v>714403</v>
      </c>
      <c r="BD85" s="97">
        <v>601164</v>
      </c>
      <c r="BE85" s="97">
        <v>12723485</v>
      </c>
      <c r="BF85" s="97">
        <v>0</v>
      </c>
      <c r="BG85" s="97">
        <v>0</v>
      </c>
      <c r="BH85" s="97">
        <v>0</v>
      </c>
      <c r="BI85" s="97">
        <v>0</v>
      </c>
      <c r="BJ85" s="97">
        <v>13131129</v>
      </c>
      <c r="BK85" s="97">
        <v>13131129</v>
      </c>
      <c r="BL85" s="97">
        <v>200000</v>
      </c>
      <c r="BM85" s="97">
        <v>0</v>
      </c>
      <c r="BN85" s="97">
        <v>0</v>
      </c>
      <c r="BO85" s="97">
        <v>0</v>
      </c>
      <c r="BP85" s="97">
        <v>0</v>
      </c>
      <c r="BQ85" s="97">
        <v>200000</v>
      </c>
      <c r="BR85" s="97">
        <v>1448250</v>
      </c>
      <c r="BS85" s="97">
        <v>908554</v>
      </c>
      <c r="BT85" s="97">
        <v>100</v>
      </c>
      <c r="BU85" s="97">
        <v>1934515</v>
      </c>
      <c r="BV85" s="97">
        <v>26415097</v>
      </c>
      <c r="BW85" s="97">
        <v>30706516</v>
      </c>
      <c r="BX85" s="97">
        <v>0</v>
      </c>
      <c r="BY85" s="97">
        <v>0</v>
      </c>
      <c r="BZ85" s="97">
        <v>0</v>
      </c>
      <c r="CA85" s="97">
        <v>0</v>
      </c>
      <c r="CB85" s="97">
        <v>0</v>
      </c>
      <c r="CC85" s="97">
        <v>0</v>
      </c>
      <c r="CD85" s="97">
        <v>0</v>
      </c>
      <c r="CE85" s="97">
        <v>0</v>
      </c>
      <c r="CF85" s="97">
        <v>0</v>
      </c>
      <c r="CG85" s="97">
        <v>0</v>
      </c>
      <c r="CH85" s="97">
        <v>0</v>
      </c>
      <c r="CI85" s="97">
        <v>0</v>
      </c>
      <c r="CJ85" s="97">
        <v>0</v>
      </c>
      <c r="CK85" s="97">
        <v>0</v>
      </c>
      <c r="CL85" s="97">
        <v>0</v>
      </c>
      <c r="CM85" s="97">
        <v>0</v>
      </c>
      <c r="CN85" s="97">
        <v>0</v>
      </c>
      <c r="CO85" s="97">
        <v>0</v>
      </c>
      <c r="CP85" s="97">
        <v>0</v>
      </c>
      <c r="CQ85" s="97">
        <v>0</v>
      </c>
      <c r="CR85" s="97">
        <v>0</v>
      </c>
      <c r="CS85" s="97">
        <v>0</v>
      </c>
      <c r="CT85" s="97">
        <v>0</v>
      </c>
      <c r="CU85" s="97">
        <v>0</v>
      </c>
      <c r="CV85" s="97">
        <v>11451083</v>
      </c>
      <c r="CW85" s="97">
        <v>2820792</v>
      </c>
      <c r="CX85" s="97">
        <v>39960</v>
      </c>
      <c r="CY85" s="97">
        <v>409968</v>
      </c>
      <c r="CZ85" s="97">
        <v>2783291</v>
      </c>
      <c r="DA85" s="97">
        <v>17505094</v>
      </c>
      <c r="DB85" s="97">
        <v>0</v>
      </c>
      <c r="DC85" s="97">
        <v>0</v>
      </c>
      <c r="DD85" s="97">
        <v>0</v>
      </c>
      <c r="DE85" s="97">
        <v>0</v>
      </c>
      <c r="DF85" s="97">
        <v>0</v>
      </c>
      <c r="DG85" s="97">
        <v>0</v>
      </c>
      <c r="DH85" s="97">
        <v>523959</v>
      </c>
      <c r="DI85" s="97">
        <v>160202</v>
      </c>
      <c r="DJ85" s="97">
        <v>45659</v>
      </c>
      <c r="DK85" s="97">
        <v>16841</v>
      </c>
      <c r="DL85" s="97">
        <v>273948</v>
      </c>
      <c r="DM85" s="97">
        <v>1020609</v>
      </c>
      <c r="DN85" s="97">
        <v>0</v>
      </c>
      <c r="DO85" s="97">
        <v>0</v>
      </c>
      <c r="DP85" s="97">
        <v>0</v>
      </c>
      <c r="DQ85" s="97">
        <v>468250</v>
      </c>
      <c r="DR85" s="97">
        <v>3390111</v>
      </c>
      <c r="DS85" s="97">
        <v>3858361</v>
      </c>
      <c r="DT85" s="97">
        <v>17059</v>
      </c>
      <c r="DU85" s="97">
        <v>4924</v>
      </c>
      <c r="DV85" s="97">
        <v>0</v>
      </c>
      <c r="DW85" s="97">
        <v>97734</v>
      </c>
      <c r="DX85" s="97">
        <v>0</v>
      </c>
      <c r="DY85" s="97">
        <v>119717</v>
      </c>
      <c r="DZ85" s="97">
        <v>0</v>
      </c>
      <c r="EA85" s="97">
        <v>0</v>
      </c>
      <c r="EB85" s="97">
        <v>8</v>
      </c>
      <c r="EC85" s="97">
        <v>23</v>
      </c>
      <c r="ED85" s="97">
        <v>574442</v>
      </c>
      <c r="EE85" s="97">
        <v>574473</v>
      </c>
      <c r="EF85" s="97">
        <v>32991</v>
      </c>
      <c r="EG85" s="97">
        <v>0</v>
      </c>
      <c r="EH85" s="97">
        <v>0</v>
      </c>
      <c r="EI85" s="97">
        <v>38155</v>
      </c>
      <c r="EJ85" s="97">
        <v>925036</v>
      </c>
      <c r="EK85" s="97">
        <v>996182</v>
      </c>
      <c r="EL85" s="97">
        <v>22373569</v>
      </c>
      <c r="EM85" s="97">
        <v>6491492</v>
      </c>
      <c r="EN85" s="97">
        <v>196398</v>
      </c>
      <c r="EO85" s="97">
        <v>3679889</v>
      </c>
      <c r="EP85" s="97">
        <v>48094218</v>
      </c>
      <c r="EQ85" s="97">
        <v>80835566</v>
      </c>
      <c r="ER85" s="97">
        <v>3176382</v>
      </c>
      <c r="ES85" s="97">
        <v>494937</v>
      </c>
      <c r="ET85" s="97">
        <v>620155</v>
      </c>
      <c r="EU85" s="97">
        <v>8368454</v>
      </c>
      <c r="EV85" s="97">
        <v>182743</v>
      </c>
      <c r="EW85" s="97">
        <v>12842671</v>
      </c>
      <c r="EX85" s="97">
        <v>1100000</v>
      </c>
      <c r="EY85" s="97">
        <v>494000</v>
      </c>
      <c r="EZ85" s="97">
        <v>102000</v>
      </c>
      <c r="FA85" s="97">
        <v>59895</v>
      </c>
      <c r="FB85" s="97">
        <v>0</v>
      </c>
      <c r="FC85" s="97">
        <v>1755895</v>
      </c>
      <c r="FD85" s="97">
        <v>5012335</v>
      </c>
      <c r="FE85" s="97">
        <v>2638887</v>
      </c>
      <c r="FF85" s="97">
        <v>1217093</v>
      </c>
      <c r="FG85" s="97">
        <v>6769815</v>
      </c>
      <c r="FH85" s="97">
        <v>0</v>
      </c>
      <c r="FI85" s="97">
        <v>15638130</v>
      </c>
      <c r="FJ85" s="97">
        <v>0</v>
      </c>
      <c r="FK85" s="97">
        <v>0</v>
      </c>
      <c r="FL85" s="97">
        <v>0</v>
      </c>
      <c r="FM85" s="97">
        <v>0</v>
      </c>
      <c r="FN85" s="97">
        <v>0</v>
      </c>
      <c r="FO85" s="97">
        <v>0</v>
      </c>
      <c r="FP85" s="97">
        <v>1339147</v>
      </c>
      <c r="FQ85" s="97">
        <v>511612</v>
      </c>
      <c r="FR85" s="97">
        <v>259103</v>
      </c>
      <c r="FS85" s="97">
        <v>304384</v>
      </c>
      <c r="FT85" s="97">
        <v>10863819</v>
      </c>
      <c r="FU85" s="97">
        <v>13278065</v>
      </c>
      <c r="FV85" s="97">
        <v>0</v>
      </c>
      <c r="FW85" s="97">
        <v>0</v>
      </c>
      <c r="FX85" s="97">
        <v>0</v>
      </c>
      <c r="FY85" s="97">
        <v>0</v>
      </c>
      <c r="FZ85" s="97">
        <v>0</v>
      </c>
      <c r="GA85" s="97">
        <v>0</v>
      </c>
      <c r="GB85" s="97">
        <v>939105</v>
      </c>
      <c r="GC85" s="97">
        <v>0</v>
      </c>
      <c r="GD85" s="97">
        <v>881366</v>
      </c>
      <c r="GE85" s="97">
        <v>144221</v>
      </c>
      <c r="GF85" s="97">
        <v>0</v>
      </c>
      <c r="GG85" s="97">
        <v>1964692</v>
      </c>
      <c r="GH85" s="97">
        <v>327421</v>
      </c>
      <c r="GI85" s="97">
        <v>228600</v>
      </c>
      <c r="GJ85" s="97">
        <v>188273</v>
      </c>
      <c r="GK85" s="97">
        <v>507204</v>
      </c>
      <c r="GL85" s="97">
        <v>0</v>
      </c>
      <c r="GM85" s="97">
        <v>1251498</v>
      </c>
      <c r="GN85" s="97">
        <v>1312902</v>
      </c>
      <c r="GO85" s="97">
        <v>715740</v>
      </c>
      <c r="GP85" s="97">
        <v>403738</v>
      </c>
      <c r="GQ85" s="97">
        <v>2536863</v>
      </c>
      <c r="GR85" s="97">
        <v>114871</v>
      </c>
      <c r="GS85" s="97">
        <v>5084114</v>
      </c>
      <c r="GT85" s="97">
        <v>501966</v>
      </c>
      <c r="GU85" s="97">
        <v>13661</v>
      </c>
      <c r="GV85" s="97">
        <v>6447</v>
      </c>
      <c r="GW85" s="97">
        <v>504601</v>
      </c>
      <c r="GX85" s="97">
        <v>60397</v>
      </c>
      <c r="GY85" s="97">
        <v>1087072</v>
      </c>
      <c r="GZ85" s="97">
        <v>2273463</v>
      </c>
      <c r="HA85" s="97">
        <v>666983</v>
      </c>
      <c r="HB85" s="97">
        <v>487525</v>
      </c>
      <c r="HC85" s="97">
        <v>1179912</v>
      </c>
      <c r="HD85" s="97">
        <v>82761</v>
      </c>
      <c r="HE85" s="97">
        <v>4690644</v>
      </c>
      <c r="HF85" s="97">
        <v>249599</v>
      </c>
      <c r="HG85" s="97">
        <v>186</v>
      </c>
      <c r="HH85" s="97">
        <v>0</v>
      </c>
      <c r="HI85" s="97">
        <v>37375</v>
      </c>
      <c r="HJ85" s="97">
        <v>616559</v>
      </c>
      <c r="HK85" s="97">
        <v>903719</v>
      </c>
      <c r="HL85" s="97">
        <v>0</v>
      </c>
      <c r="HM85" s="97">
        <v>0</v>
      </c>
      <c r="HN85" s="97">
        <v>0</v>
      </c>
      <c r="HO85" s="97">
        <v>0</v>
      </c>
      <c r="HP85" s="97">
        <v>0</v>
      </c>
      <c r="HQ85" s="97">
        <v>0</v>
      </c>
      <c r="HR85" s="97">
        <v>36394</v>
      </c>
      <c r="HS85" s="97">
        <v>7559</v>
      </c>
      <c r="HT85" s="97">
        <v>1289</v>
      </c>
      <c r="HU85" s="97">
        <v>538350</v>
      </c>
      <c r="HV85" s="97">
        <v>9478545</v>
      </c>
      <c r="HW85" s="97">
        <v>10062137</v>
      </c>
      <c r="HX85" s="97">
        <v>24776</v>
      </c>
      <c r="HY85" s="97">
        <v>9596</v>
      </c>
      <c r="HZ85" s="97">
        <v>5023</v>
      </c>
      <c r="IA85" s="97">
        <v>0</v>
      </c>
      <c r="IB85" s="97">
        <v>50454</v>
      </c>
      <c r="IC85" s="97">
        <v>89849</v>
      </c>
      <c r="ID85" s="97">
        <v>0</v>
      </c>
      <c r="IE85" s="97">
        <v>0</v>
      </c>
      <c r="IF85" s="97">
        <v>0</v>
      </c>
      <c r="IG85" s="97">
        <v>0</v>
      </c>
      <c r="IH85" s="97">
        <v>0</v>
      </c>
      <c r="II85" s="97">
        <v>0</v>
      </c>
      <c r="IJ85" s="97">
        <v>151444</v>
      </c>
      <c r="IK85" s="97">
        <v>28227</v>
      </c>
      <c r="IL85" s="97">
        <v>12387</v>
      </c>
      <c r="IM85" s="97">
        <v>226839</v>
      </c>
      <c r="IN85" s="97">
        <v>1023212</v>
      </c>
      <c r="IO85" s="97">
        <v>1442109</v>
      </c>
      <c r="IP85" s="97">
        <v>3449</v>
      </c>
      <c r="IQ85" s="97">
        <v>3126</v>
      </c>
      <c r="IR85" s="97">
        <v>1683</v>
      </c>
      <c r="IS85" s="97">
        <v>22543</v>
      </c>
      <c r="IT85" s="97">
        <v>51993</v>
      </c>
      <c r="IU85" s="97">
        <v>82794</v>
      </c>
      <c r="IV85" s="97">
        <v>870658</v>
      </c>
      <c r="IW85" s="97">
        <v>57287</v>
      </c>
      <c r="IX85" s="97">
        <v>139805</v>
      </c>
      <c r="IY85" s="97">
        <v>589584</v>
      </c>
      <c r="IZ85" s="97">
        <v>3607126</v>
      </c>
      <c r="JA85" s="97">
        <v>5264460</v>
      </c>
      <c r="JB85" s="97">
        <v>17319041</v>
      </c>
      <c r="JC85" s="97">
        <v>5870401</v>
      </c>
      <c r="JD85" s="97">
        <v>4325887</v>
      </c>
      <c r="JE85" s="97">
        <v>21790040</v>
      </c>
      <c r="JF85" s="97">
        <v>26132480</v>
      </c>
      <c r="JG85" s="97">
        <v>75437849</v>
      </c>
      <c r="JH85" s="97">
        <v>0</v>
      </c>
      <c r="JI85" s="97">
        <v>0</v>
      </c>
      <c r="JJ85" s="97">
        <v>0</v>
      </c>
      <c r="JK85" s="97">
        <v>0</v>
      </c>
      <c r="JL85" s="97">
        <v>0</v>
      </c>
      <c r="JM85" s="97">
        <v>0</v>
      </c>
      <c r="JN85" s="97">
        <v>17319041</v>
      </c>
      <c r="JO85" s="97">
        <v>5870401</v>
      </c>
      <c r="JP85" s="97">
        <v>4325887</v>
      </c>
      <c r="JQ85" s="97">
        <v>21790040</v>
      </c>
      <c r="JR85" s="97">
        <v>26132480</v>
      </c>
      <c r="JS85" s="97">
        <v>75437849</v>
      </c>
      <c r="JU85" s="5">
        <f t="shared" si="157"/>
        <v>12723485</v>
      </c>
      <c r="JV85" s="29">
        <f t="shared" si="158"/>
        <v>0</v>
      </c>
      <c r="JW85" s="5">
        <f t="shared" si="159"/>
        <v>13131129</v>
      </c>
      <c r="JX85" s="29">
        <f t="shared" si="160"/>
        <v>0</v>
      </c>
      <c r="JY85" s="5">
        <f t="shared" si="161"/>
        <v>200000</v>
      </c>
      <c r="JZ85" s="29">
        <f t="shared" si="162"/>
        <v>0</v>
      </c>
      <c r="KA85" s="5">
        <f t="shared" si="163"/>
        <v>30706516</v>
      </c>
      <c r="KB85" s="29">
        <f t="shared" si="164"/>
        <v>0</v>
      </c>
      <c r="KC85" s="5">
        <f t="shared" si="165"/>
        <v>0</v>
      </c>
      <c r="KD85" s="29">
        <f t="shared" si="166"/>
        <v>0</v>
      </c>
      <c r="KE85" s="5">
        <f t="shared" si="167"/>
        <v>0</v>
      </c>
      <c r="KF85" s="29">
        <f t="shared" si="168"/>
        <v>0</v>
      </c>
      <c r="KG85" s="5">
        <f t="shared" si="169"/>
        <v>0</v>
      </c>
      <c r="KH85" s="29">
        <f t="shared" si="170"/>
        <v>0</v>
      </c>
      <c r="KI85" s="5">
        <f t="shared" si="171"/>
        <v>0</v>
      </c>
      <c r="KJ85" s="29">
        <f t="shared" si="172"/>
        <v>0</v>
      </c>
      <c r="KK85" s="5">
        <f t="shared" si="173"/>
        <v>17505094</v>
      </c>
      <c r="KL85" s="29">
        <f t="shared" si="174"/>
        <v>0</v>
      </c>
      <c r="KM85" s="5">
        <f t="shared" si="175"/>
        <v>0</v>
      </c>
      <c r="KN85" s="29">
        <f t="shared" si="176"/>
        <v>0</v>
      </c>
      <c r="KO85" s="5">
        <f t="shared" si="177"/>
        <v>1020609</v>
      </c>
      <c r="KP85" s="29">
        <f t="shared" si="178"/>
        <v>0</v>
      </c>
      <c r="KQ85" s="5">
        <f t="shared" si="179"/>
        <v>3858361</v>
      </c>
      <c r="KR85" s="29">
        <f t="shared" si="180"/>
        <v>0</v>
      </c>
      <c r="KS85" s="5">
        <f t="shared" si="181"/>
        <v>119717</v>
      </c>
      <c r="KT85" s="29">
        <f t="shared" si="182"/>
        <v>0</v>
      </c>
      <c r="KU85" s="5">
        <f t="shared" si="183"/>
        <v>574473</v>
      </c>
      <c r="KV85" s="29">
        <f t="shared" si="184"/>
        <v>0</v>
      </c>
      <c r="KW85" s="5">
        <f t="shared" si="185"/>
        <v>996182</v>
      </c>
      <c r="KX85" s="29">
        <f t="shared" si="186"/>
        <v>0</v>
      </c>
      <c r="KY85" s="5">
        <f t="shared" si="187"/>
        <v>80835566</v>
      </c>
      <c r="KZ85" s="29">
        <f t="shared" si="188"/>
        <v>0</v>
      </c>
      <c r="LA85" s="5">
        <f t="shared" si="230"/>
        <v>12842671</v>
      </c>
      <c r="LB85" s="29">
        <f t="shared" si="231"/>
        <v>0</v>
      </c>
      <c r="LC85" s="5">
        <f t="shared" si="232"/>
        <v>1755895</v>
      </c>
      <c r="LD85" s="29">
        <f t="shared" si="189"/>
        <v>0</v>
      </c>
      <c r="LE85" s="5">
        <f t="shared" si="190"/>
        <v>15638130</v>
      </c>
      <c r="LF85" s="29">
        <f t="shared" si="191"/>
        <v>0</v>
      </c>
      <c r="LG85" s="5">
        <f t="shared" si="192"/>
        <v>0</v>
      </c>
      <c r="LH85" s="29">
        <f t="shared" si="193"/>
        <v>0</v>
      </c>
      <c r="LI85" s="5">
        <f t="shared" si="194"/>
        <v>13278065</v>
      </c>
      <c r="LJ85" s="29">
        <f t="shared" si="195"/>
        <v>0</v>
      </c>
      <c r="LK85" s="5">
        <f t="shared" si="196"/>
        <v>0</v>
      </c>
      <c r="LL85" s="29">
        <f t="shared" si="197"/>
        <v>0</v>
      </c>
      <c r="LM85" s="5">
        <f t="shared" si="198"/>
        <v>1964692</v>
      </c>
      <c r="LN85" s="29">
        <f t="shared" si="199"/>
        <v>0</v>
      </c>
      <c r="LO85" s="5">
        <f t="shared" si="200"/>
        <v>1251498</v>
      </c>
      <c r="LP85" s="29">
        <f t="shared" si="201"/>
        <v>0</v>
      </c>
      <c r="LQ85" s="5">
        <f t="shared" si="202"/>
        <v>5084114</v>
      </c>
      <c r="LR85" s="29">
        <f t="shared" si="203"/>
        <v>0</v>
      </c>
      <c r="LS85" s="5">
        <f t="shared" si="204"/>
        <v>1087072</v>
      </c>
      <c r="LT85" s="29">
        <f t="shared" si="205"/>
        <v>0</v>
      </c>
      <c r="LU85" s="5">
        <f t="shared" si="206"/>
        <v>4690644</v>
      </c>
      <c r="LV85" s="29">
        <f t="shared" si="207"/>
        <v>0</v>
      </c>
      <c r="LW85" s="5">
        <f t="shared" si="208"/>
        <v>903719</v>
      </c>
      <c r="LX85" s="29">
        <f t="shared" si="209"/>
        <v>0</v>
      </c>
      <c r="LY85" s="5">
        <f t="shared" si="210"/>
        <v>0</v>
      </c>
      <c r="LZ85" s="29">
        <f t="shared" si="211"/>
        <v>0</v>
      </c>
      <c r="MA85" s="5">
        <f t="shared" si="212"/>
        <v>10062137</v>
      </c>
      <c r="MB85" s="29">
        <f t="shared" si="213"/>
        <v>0</v>
      </c>
      <c r="MC85" s="5">
        <f t="shared" si="214"/>
        <v>89849</v>
      </c>
      <c r="MD85" s="29">
        <f t="shared" si="215"/>
        <v>0</v>
      </c>
      <c r="ME85" s="5">
        <f t="shared" si="216"/>
        <v>0</v>
      </c>
      <c r="MF85" s="29">
        <f t="shared" si="217"/>
        <v>0</v>
      </c>
      <c r="MG85" s="5">
        <f t="shared" si="218"/>
        <v>1442109</v>
      </c>
      <c r="MH85" s="29">
        <f t="shared" si="219"/>
        <v>0</v>
      </c>
      <c r="MI85" s="5">
        <f t="shared" si="220"/>
        <v>82794</v>
      </c>
      <c r="MJ85" s="29">
        <f t="shared" si="221"/>
        <v>0</v>
      </c>
      <c r="MK85" s="5">
        <f t="shared" si="222"/>
        <v>5264460</v>
      </c>
      <c r="ML85" s="29">
        <f t="shared" si="223"/>
        <v>0</v>
      </c>
      <c r="MM85" s="5">
        <f t="shared" si="224"/>
        <v>75437849</v>
      </c>
      <c r="MN85" s="29">
        <f t="shared" si="225"/>
        <v>0</v>
      </c>
      <c r="MO85" s="5">
        <f t="shared" si="226"/>
        <v>0</v>
      </c>
      <c r="MP85" s="29">
        <f t="shared" si="227"/>
        <v>0</v>
      </c>
      <c r="MQ85" s="5">
        <f t="shared" si="228"/>
        <v>75437849</v>
      </c>
      <c r="MR85" s="29">
        <f t="shared" si="229"/>
        <v>0</v>
      </c>
      <c r="MT85" s="5">
        <f t="shared" si="156"/>
        <v>0</v>
      </c>
      <c r="MV85" s="4">
        <f t="shared" si="155"/>
        <v>0</v>
      </c>
    </row>
    <row r="86" spans="1:360" x14ac:dyDescent="0.15">
      <c r="A86" s="157" t="s">
        <v>300</v>
      </c>
      <c r="B86" s="28" t="s">
        <v>462</v>
      </c>
      <c r="C86" s="47">
        <v>233921</v>
      </c>
      <c r="D86" s="48">
        <v>2012</v>
      </c>
      <c r="E86" s="49">
        <v>1</v>
      </c>
      <c r="F86" s="49">
        <v>1</v>
      </c>
      <c r="G86" s="50">
        <v>13442</v>
      </c>
      <c r="H86" s="50">
        <v>9656</v>
      </c>
      <c r="I86" s="51">
        <v>1076305000</v>
      </c>
      <c r="J86" s="51"/>
      <c r="K86" s="51">
        <v>5716000</v>
      </c>
      <c r="L86" s="51"/>
      <c r="M86" s="51">
        <v>37688000</v>
      </c>
      <c r="N86" s="51"/>
      <c r="O86" s="51">
        <v>61020000</v>
      </c>
      <c r="P86" s="51"/>
      <c r="Q86" s="51">
        <v>500904000</v>
      </c>
      <c r="R86" s="51"/>
      <c r="S86" s="51">
        <v>770221000</v>
      </c>
      <c r="T86" s="51"/>
      <c r="U86" s="51">
        <v>19195</v>
      </c>
      <c r="V86" s="51"/>
      <c r="W86" s="51">
        <v>33166</v>
      </c>
      <c r="X86" s="51"/>
      <c r="Y86" s="51">
        <v>21400</v>
      </c>
      <c r="Z86" s="51"/>
      <c r="AA86" s="51">
        <v>35660</v>
      </c>
      <c r="AB86" s="51"/>
      <c r="AC86" s="74">
        <v>11</v>
      </c>
      <c r="AD86" s="74">
        <v>10</v>
      </c>
      <c r="AE86" s="74">
        <v>0</v>
      </c>
      <c r="AF86" s="29">
        <v>6000373.8700000001</v>
      </c>
      <c r="AG86" s="29">
        <v>3858900.62</v>
      </c>
      <c r="AH86" s="29">
        <v>745079.8</v>
      </c>
      <c r="AI86" s="29">
        <v>407822.31</v>
      </c>
      <c r="AJ86" s="29">
        <v>599606.53333333333</v>
      </c>
      <c r="AK86" s="73">
        <v>7.5</v>
      </c>
      <c r="AL86" s="29">
        <v>499672.11111111112</v>
      </c>
      <c r="AM86" s="73">
        <v>9</v>
      </c>
      <c r="AN86" s="29">
        <v>160379.28571428571</v>
      </c>
      <c r="AO86" s="73">
        <v>7</v>
      </c>
      <c r="AP86" s="29">
        <v>140331.875</v>
      </c>
      <c r="AQ86" s="73">
        <v>8</v>
      </c>
      <c r="AR86" s="29">
        <v>187020.83333333334</v>
      </c>
      <c r="AS86" s="73">
        <v>24</v>
      </c>
      <c r="AT86" s="29">
        <v>166240.74074074073</v>
      </c>
      <c r="AU86" s="73">
        <v>27</v>
      </c>
      <c r="AV86" s="29">
        <v>68036.5625</v>
      </c>
      <c r="AW86" s="73">
        <v>16</v>
      </c>
      <c r="AX86" s="29">
        <v>57293.947368421053</v>
      </c>
      <c r="AY86" s="73">
        <v>19</v>
      </c>
      <c r="AZ86" s="97">
        <v>13832551</v>
      </c>
      <c r="BA86" s="97">
        <v>2823350.5</v>
      </c>
      <c r="BB86" s="97">
        <v>139707.73000000001</v>
      </c>
      <c r="BC86" s="97">
        <v>-0.23000000044703484</v>
      </c>
      <c r="BD86" s="97">
        <v>0</v>
      </c>
      <c r="BE86" s="97">
        <v>16795609</v>
      </c>
      <c r="BF86" s="97">
        <v>0</v>
      </c>
      <c r="BG86" s="97">
        <v>0</v>
      </c>
      <c r="BH86" s="97">
        <v>0</v>
      </c>
      <c r="BI86" s="97">
        <v>0</v>
      </c>
      <c r="BJ86" s="97">
        <v>7347477</v>
      </c>
      <c r="BK86" s="97">
        <v>7347477</v>
      </c>
      <c r="BL86" s="97">
        <v>450000</v>
      </c>
      <c r="BM86" s="97">
        <v>0</v>
      </c>
      <c r="BN86" s="97">
        <v>0</v>
      </c>
      <c r="BO86" s="97">
        <v>1000</v>
      </c>
      <c r="BP86" s="97">
        <v>0</v>
      </c>
      <c r="BQ86" s="97">
        <v>451000</v>
      </c>
      <c r="BR86" s="97">
        <v>8704140.5</v>
      </c>
      <c r="BS86" s="97">
        <v>781002.18</v>
      </c>
      <c r="BT86" s="97">
        <v>581331.1</v>
      </c>
      <c r="BU86" s="97">
        <v>5881090.5700000003</v>
      </c>
      <c r="BV86" s="97">
        <v>2205625.65</v>
      </c>
      <c r="BW86" s="97">
        <v>18153190</v>
      </c>
      <c r="BX86" s="97">
        <v>185000</v>
      </c>
      <c r="BY86" s="97">
        <v>0</v>
      </c>
      <c r="BZ86" s="97">
        <v>0</v>
      </c>
      <c r="CA86" s="97">
        <v>0</v>
      </c>
      <c r="CB86" s="97">
        <v>0</v>
      </c>
      <c r="CC86" s="97">
        <v>185000</v>
      </c>
      <c r="CD86" s="97">
        <v>0</v>
      </c>
      <c r="CE86" s="97">
        <v>0</v>
      </c>
      <c r="CF86" s="97">
        <v>0</v>
      </c>
      <c r="CG86" s="97">
        <v>0</v>
      </c>
      <c r="CH86" s="97">
        <v>645.25</v>
      </c>
      <c r="CI86" s="97">
        <v>645.25</v>
      </c>
      <c r="CJ86" s="97">
        <v>0</v>
      </c>
      <c r="CK86" s="97">
        <v>0</v>
      </c>
      <c r="CL86" s="97">
        <v>0</v>
      </c>
      <c r="CM86" s="97">
        <v>0</v>
      </c>
      <c r="CN86" s="97">
        <v>317083</v>
      </c>
      <c r="CO86" s="97">
        <v>317083</v>
      </c>
      <c r="CP86" s="97">
        <v>0</v>
      </c>
      <c r="CQ86" s="97">
        <v>0</v>
      </c>
      <c r="CR86" s="97">
        <v>0</v>
      </c>
      <c r="CS86" s="97">
        <v>0</v>
      </c>
      <c r="CT86" s="97">
        <v>0</v>
      </c>
      <c r="CU86" s="97">
        <v>0</v>
      </c>
      <c r="CV86" s="97">
        <v>9675678</v>
      </c>
      <c r="CW86" s="97">
        <v>6349637.5</v>
      </c>
      <c r="CX86" s="97">
        <v>25988</v>
      </c>
      <c r="CY86" s="97">
        <v>312237.30000000075</v>
      </c>
      <c r="CZ86" s="97">
        <v>1555052.2</v>
      </c>
      <c r="DA86" s="97">
        <v>17918593</v>
      </c>
      <c r="DB86" s="97">
        <v>3084799</v>
      </c>
      <c r="DC86" s="97">
        <v>822613</v>
      </c>
      <c r="DD86" s="97">
        <v>205653</v>
      </c>
      <c r="DE86" s="97">
        <v>0</v>
      </c>
      <c r="DF86" s="97">
        <v>0</v>
      </c>
      <c r="DG86" s="97">
        <v>4113065</v>
      </c>
      <c r="DH86" s="97">
        <v>1232219.3999999999</v>
      </c>
      <c r="DI86" s="97">
        <v>80747.97</v>
      </c>
      <c r="DJ86" s="97">
        <v>9397.67</v>
      </c>
      <c r="DK86" s="97">
        <v>27390.800000000279</v>
      </c>
      <c r="DL86" s="97">
        <v>375989.16</v>
      </c>
      <c r="DM86" s="97">
        <v>1725745</v>
      </c>
      <c r="DN86" s="97">
        <v>636950.64</v>
      </c>
      <c r="DO86" s="97">
        <v>145835</v>
      </c>
      <c r="DP86" s="97">
        <v>66459</v>
      </c>
      <c r="DQ86" s="97">
        <v>230499.02000000002</v>
      </c>
      <c r="DR86" s="97">
        <v>465676.34</v>
      </c>
      <c r="DS86" s="97">
        <v>1545420</v>
      </c>
      <c r="DT86" s="97">
        <v>0</v>
      </c>
      <c r="DU86" s="97">
        <v>0</v>
      </c>
      <c r="DV86" s="97">
        <v>0</v>
      </c>
      <c r="DW86" s="97">
        <v>0</v>
      </c>
      <c r="DX86" s="97">
        <v>0</v>
      </c>
      <c r="DY86" s="97">
        <v>0</v>
      </c>
      <c r="DZ86" s="97">
        <v>572452.81999999995</v>
      </c>
      <c r="EA86" s="97">
        <v>118588.13</v>
      </c>
      <c r="EB86" s="97">
        <v>98298</v>
      </c>
      <c r="EC86" s="97">
        <v>1066618.46</v>
      </c>
      <c r="ED86" s="97">
        <v>95875.59</v>
      </c>
      <c r="EE86" s="97">
        <v>1951833</v>
      </c>
      <c r="EF86" s="97">
        <v>8250</v>
      </c>
      <c r="EG86" s="97">
        <v>0</v>
      </c>
      <c r="EH86" s="97">
        <v>0</v>
      </c>
      <c r="EI86" s="97">
        <v>100700.5</v>
      </c>
      <c r="EJ86" s="97">
        <v>110137.5</v>
      </c>
      <c r="EK86" s="97">
        <v>219088</v>
      </c>
      <c r="EL86" s="97">
        <v>38382042.060000002</v>
      </c>
      <c r="EM86" s="97">
        <v>11121774.279999999</v>
      </c>
      <c r="EN86" s="97">
        <v>1126834.5</v>
      </c>
      <c r="EO86" s="97">
        <v>7619541.4699999988</v>
      </c>
      <c r="EP86" s="97">
        <v>12473562.689999998</v>
      </c>
      <c r="EQ86" s="97">
        <v>70723755</v>
      </c>
      <c r="ER86" s="97">
        <v>2952702.8</v>
      </c>
      <c r="ES86" s="97">
        <v>499684.35</v>
      </c>
      <c r="ET86" s="97">
        <v>445783.7</v>
      </c>
      <c r="EU86" s="97">
        <v>5961103.6400000006</v>
      </c>
      <c r="EV86" s="97">
        <v>417725.51</v>
      </c>
      <c r="EW86" s="97">
        <v>10277000</v>
      </c>
      <c r="EX86" s="97">
        <v>1325000</v>
      </c>
      <c r="EY86" s="97">
        <v>595126.25</v>
      </c>
      <c r="EZ86" s="97">
        <v>71976</v>
      </c>
      <c r="FA86" s="97">
        <v>39986.75</v>
      </c>
      <c r="FB86" s="97">
        <v>0</v>
      </c>
      <c r="FC86" s="97">
        <v>2032089</v>
      </c>
      <c r="FD86" s="97">
        <v>5535897</v>
      </c>
      <c r="FE86" s="97">
        <v>1836253</v>
      </c>
      <c r="FF86" s="97">
        <v>822293</v>
      </c>
      <c r="FG86" s="97">
        <v>3002346</v>
      </c>
      <c r="FH86" s="97">
        <v>0</v>
      </c>
      <c r="FI86" s="97">
        <v>11196789</v>
      </c>
      <c r="FJ86" s="97">
        <v>185000</v>
      </c>
      <c r="FK86" s="97">
        <v>0</v>
      </c>
      <c r="FL86" s="97">
        <v>0</v>
      </c>
      <c r="FM86" s="97">
        <v>0</v>
      </c>
      <c r="FN86" s="97">
        <v>0</v>
      </c>
      <c r="FO86" s="97">
        <v>185000</v>
      </c>
      <c r="FP86" s="97">
        <v>1787474</v>
      </c>
      <c r="FQ86" s="97">
        <v>228979</v>
      </c>
      <c r="FR86" s="97">
        <v>170986</v>
      </c>
      <c r="FS86" s="97">
        <v>137595</v>
      </c>
      <c r="FT86" s="97">
        <v>7104425</v>
      </c>
      <c r="FU86" s="97">
        <v>9429459</v>
      </c>
      <c r="FV86" s="97">
        <v>0</v>
      </c>
      <c r="FW86" s="97">
        <v>0</v>
      </c>
      <c r="FX86" s="97">
        <v>0</v>
      </c>
      <c r="FY86" s="97">
        <v>0</v>
      </c>
      <c r="FZ86" s="97">
        <v>0</v>
      </c>
      <c r="GA86" s="97">
        <v>0</v>
      </c>
      <c r="GB86" s="97">
        <v>0</v>
      </c>
      <c r="GC86" s="97">
        <v>87164.54</v>
      </c>
      <c r="GD86" s="97">
        <v>71243.899999999994</v>
      </c>
      <c r="GE86" s="97">
        <v>19018.559999999998</v>
      </c>
      <c r="GF86" s="97">
        <v>19962</v>
      </c>
      <c r="GG86" s="97">
        <v>197389</v>
      </c>
      <c r="GH86" s="97">
        <v>342898.99</v>
      </c>
      <c r="GI86" s="97">
        <v>215225.11</v>
      </c>
      <c r="GJ86" s="97">
        <v>209746.87</v>
      </c>
      <c r="GK86" s="97">
        <v>385031.03</v>
      </c>
      <c r="GL86" s="97">
        <v>2050</v>
      </c>
      <c r="GM86" s="97">
        <v>1154952</v>
      </c>
      <c r="GN86" s="97">
        <v>1708234.1</v>
      </c>
      <c r="GO86" s="97">
        <v>689266.07</v>
      </c>
      <c r="GP86" s="97">
        <v>443505.43</v>
      </c>
      <c r="GQ86" s="97">
        <v>1760258.7800000003</v>
      </c>
      <c r="GR86" s="97">
        <v>6071.6200000000008</v>
      </c>
      <c r="GS86" s="97">
        <v>4607336</v>
      </c>
      <c r="GT86" s="97">
        <v>632927.35</v>
      </c>
      <c r="GU86" s="97">
        <v>46671.199999999997</v>
      </c>
      <c r="GV86" s="97">
        <v>28101.53</v>
      </c>
      <c r="GW86" s="97">
        <v>494305.37999999989</v>
      </c>
      <c r="GX86" s="97">
        <v>361540.54000000004</v>
      </c>
      <c r="GY86" s="97">
        <v>1563546</v>
      </c>
      <c r="GZ86" s="97">
        <v>1504628.9</v>
      </c>
      <c r="HA86" s="97">
        <v>367701.36</v>
      </c>
      <c r="HB86" s="97">
        <v>166798.37</v>
      </c>
      <c r="HC86" s="97">
        <v>393304.62000000011</v>
      </c>
      <c r="HD86" s="97">
        <v>479732.75</v>
      </c>
      <c r="HE86" s="97">
        <v>2912166</v>
      </c>
      <c r="HF86" s="97">
        <v>315837.3</v>
      </c>
      <c r="HG86" s="97">
        <v>336160.28</v>
      </c>
      <c r="HH86" s="97">
        <v>109836.26</v>
      </c>
      <c r="HI86" s="97">
        <v>107580.12000000011</v>
      </c>
      <c r="HJ86" s="97">
        <v>446655.04</v>
      </c>
      <c r="HK86" s="97">
        <v>1316069</v>
      </c>
      <c r="HL86" s="97">
        <v>0</v>
      </c>
      <c r="HM86" s="97">
        <v>0</v>
      </c>
      <c r="HN86" s="97">
        <v>0</v>
      </c>
      <c r="HO86" s="97">
        <v>0</v>
      </c>
      <c r="HP86" s="97">
        <v>0</v>
      </c>
      <c r="HQ86" s="97">
        <v>0</v>
      </c>
      <c r="HR86" s="97">
        <v>6379377.0999999996</v>
      </c>
      <c r="HS86" s="97">
        <v>547953.39</v>
      </c>
      <c r="HT86" s="97">
        <v>500861.53</v>
      </c>
      <c r="HU86" s="97">
        <v>1784885.5600000005</v>
      </c>
      <c r="HV86" s="97">
        <v>8104940.4199999999</v>
      </c>
      <c r="HW86" s="97">
        <v>17318018</v>
      </c>
      <c r="HX86" s="97">
        <v>628727</v>
      </c>
      <c r="HY86" s="97">
        <v>63613.71</v>
      </c>
      <c r="HZ86" s="97">
        <v>9449.35</v>
      </c>
      <c r="IA86" s="97">
        <v>-6.0000000055879354E-2</v>
      </c>
      <c r="IB86" s="97">
        <v>122749</v>
      </c>
      <c r="IC86" s="97">
        <v>824539</v>
      </c>
      <c r="ID86" s="97">
        <v>0</v>
      </c>
      <c r="IE86" s="97">
        <v>0</v>
      </c>
      <c r="IF86" s="97">
        <v>0</v>
      </c>
      <c r="IG86" s="97">
        <v>0</v>
      </c>
      <c r="IH86" s="97">
        <v>0</v>
      </c>
      <c r="II86" s="97">
        <v>0</v>
      </c>
      <c r="IJ86" s="97">
        <v>191129.25</v>
      </c>
      <c r="IK86" s="97">
        <v>43666.48</v>
      </c>
      <c r="IL86" s="97">
        <v>12857.88</v>
      </c>
      <c r="IM86" s="97">
        <v>331848.09000000008</v>
      </c>
      <c r="IN86" s="97">
        <v>410530.3</v>
      </c>
      <c r="IO86" s="97">
        <v>990032</v>
      </c>
      <c r="IP86" s="97">
        <v>2515.37</v>
      </c>
      <c r="IQ86" s="97">
        <v>990</v>
      </c>
      <c r="IR86" s="97">
        <v>979.6</v>
      </c>
      <c r="IS86" s="97">
        <v>9440.0200000000041</v>
      </c>
      <c r="IT86" s="97">
        <v>27131.01</v>
      </c>
      <c r="IU86" s="97">
        <v>41056</v>
      </c>
      <c r="IV86" s="97">
        <v>1225671.2</v>
      </c>
      <c r="IW86" s="97">
        <v>284798.06</v>
      </c>
      <c r="IX86" s="97">
        <v>129848.29</v>
      </c>
      <c r="IY86" s="97">
        <v>368116.00999999978</v>
      </c>
      <c r="IZ86" s="97">
        <v>916924.44000000006</v>
      </c>
      <c r="JA86" s="97">
        <v>2925358</v>
      </c>
      <c r="JB86" s="97">
        <v>24718020.699999999</v>
      </c>
      <c r="JC86" s="97">
        <v>5843252.7999999998</v>
      </c>
      <c r="JD86" s="97">
        <v>3194267.71</v>
      </c>
      <c r="JE86" s="97">
        <v>14111607.719999999</v>
      </c>
      <c r="JF86" s="97">
        <v>19103653.07</v>
      </c>
      <c r="JG86" s="97">
        <v>66970802</v>
      </c>
      <c r="JH86" s="97">
        <v>0</v>
      </c>
      <c r="JI86" s="97">
        <v>0</v>
      </c>
      <c r="JJ86" s="97">
        <v>0</v>
      </c>
      <c r="JK86" s="97">
        <v>0</v>
      </c>
      <c r="JL86" s="97">
        <v>0</v>
      </c>
      <c r="JM86" s="97">
        <v>0</v>
      </c>
      <c r="JN86" s="97">
        <v>24718020.699999999</v>
      </c>
      <c r="JO86" s="97">
        <v>5843252.7999999998</v>
      </c>
      <c r="JP86" s="97">
        <v>3194267.71</v>
      </c>
      <c r="JQ86" s="97">
        <v>14111607.719999999</v>
      </c>
      <c r="JR86" s="97">
        <v>19103653.07</v>
      </c>
      <c r="JS86" s="97">
        <v>66970802</v>
      </c>
      <c r="JU86" s="5">
        <f t="shared" si="157"/>
        <v>16795609</v>
      </c>
      <c r="JV86" s="29">
        <f t="shared" si="158"/>
        <v>0</v>
      </c>
      <c r="JW86" s="5">
        <f t="shared" si="159"/>
        <v>7347477</v>
      </c>
      <c r="JX86" s="29">
        <f t="shared" si="160"/>
        <v>0</v>
      </c>
      <c r="JY86" s="5">
        <f t="shared" si="161"/>
        <v>451000</v>
      </c>
      <c r="JZ86" s="29">
        <f t="shared" si="162"/>
        <v>0</v>
      </c>
      <c r="KA86" s="5">
        <f t="shared" si="163"/>
        <v>18153190</v>
      </c>
      <c r="KB86" s="29">
        <f t="shared" si="164"/>
        <v>0</v>
      </c>
      <c r="KC86" s="5">
        <f t="shared" si="165"/>
        <v>185000</v>
      </c>
      <c r="KD86" s="29">
        <f t="shared" si="166"/>
        <v>0</v>
      </c>
      <c r="KE86" s="5">
        <f t="shared" si="167"/>
        <v>645.25</v>
      </c>
      <c r="KF86" s="29">
        <f t="shared" si="168"/>
        <v>0</v>
      </c>
      <c r="KG86" s="5">
        <f t="shared" si="169"/>
        <v>317083</v>
      </c>
      <c r="KH86" s="29">
        <f t="shared" si="170"/>
        <v>0</v>
      </c>
      <c r="KI86" s="5">
        <f t="shared" si="171"/>
        <v>0</v>
      </c>
      <c r="KJ86" s="29">
        <f t="shared" si="172"/>
        <v>0</v>
      </c>
      <c r="KK86" s="5">
        <f t="shared" si="173"/>
        <v>17918593</v>
      </c>
      <c r="KL86" s="29">
        <f t="shared" si="174"/>
        <v>0</v>
      </c>
      <c r="KM86" s="5">
        <f t="shared" si="175"/>
        <v>4113065</v>
      </c>
      <c r="KN86" s="29">
        <f t="shared" si="176"/>
        <v>0</v>
      </c>
      <c r="KO86" s="5">
        <f t="shared" si="177"/>
        <v>1725745</v>
      </c>
      <c r="KP86" s="29">
        <f t="shared" si="178"/>
        <v>0</v>
      </c>
      <c r="KQ86" s="5">
        <f t="shared" si="179"/>
        <v>1545420.0000000002</v>
      </c>
      <c r="KR86" s="29">
        <f t="shared" si="180"/>
        <v>0</v>
      </c>
      <c r="KS86" s="5">
        <f t="shared" si="181"/>
        <v>0</v>
      </c>
      <c r="KT86" s="29">
        <f t="shared" si="182"/>
        <v>0</v>
      </c>
      <c r="KU86" s="5">
        <f t="shared" si="183"/>
        <v>1951833</v>
      </c>
      <c r="KV86" s="29">
        <f t="shared" si="184"/>
        <v>0</v>
      </c>
      <c r="KW86" s="5">
        <f t="shared" si="185"/>
        <v>219088</v>
      </c>
      <c r="KX86" s="29">
        <f t="shared" si="186"/>
        <v>0</v>
      </c>
      <c r="KY86" s="5">
        <f t="shared" si="187"/>
        <v>70723755</v>
      </c>
      <c r="KZ86" s="29">
        <f t="shared" si="188"/>
        <v>0</v>
      </c>
      <c r="LA86" s="5">
        <f t="shared" si="230"/>
        <v>10277000</v>
      </c>
      <c r="LB86" s="29">
        <f t="shared" si="231"/>
        <v>0</v>
      </c>
      <c r="LC86" s="5">
        <f t="shared" si="232"/>
        <v>2032089</v>
      </c>
      <c r="LD86" s="29">
        <f t="shared" si="189"/>
        <v>0</v>
      </c>
      <c r="LE86" s="5">
        <f t="shared" si="190"/>
        <v>11196789</v>
      </c>
      <c r="LF86" s="29">
        <f t="shared" si="191"/>
        <v>0</v>
      </c>
      <c r="LG86" s="5">
        <f t="shared" si="192"/>
        <v>185000</v>
      </c>
      <c r="LH86" s="29">
        <f t="shared" si="193"/>
        <v>0</v>
      </c>
      <c r="LI86" s="5">
        <f t="shared" si="194"/>
        <v>9429459</v>
      </c>
      <c r="LJ86" s="29">
        <f t="shared" si="195"/>
        <v>0</v>
      </c>
      <c r="LK86" s="5">
        <f t="shared" si="196"/>
        <v>0</v>
      </c>
      <c r="LL86" s="29">
        <f t="shared" si="197"/>
        <v>0</v>
      </c>
      <c r="LM86" s="5">
        <f t="shared" si="198"/>
        <v>197389</v>
      </c>
      <c r="LN86" s="29">
        <f t="shared" si="199"/>
        <v>0</v>
      </c>
      <c r="LO86" s="5">
        <f t="shared" si="200"/>
        <v>1154952</v>
      </c>
      <c r="LP86" s="29">
        <f t="shared" si="201"/>
        <v>0</v>
      </c>
      <c r="LQ86" s="5">
        <f t="shared" si="202"/>
        <v>4607336.0000000009</v>
      </c>
      <c r="LR86" s="29">
        <f t="shared" si="203"/>
        <v>0</v>
      </c>
      <c r="LS86" s="5">
        <f t="shared" si="204"/>
        <v>1563546</v>
      </c>
      <c r="LT86" s="29">
        <f t="shared" si="205"/>
        <v>0</v>
      </c>
      <c r="LU86" s="5">
        <f t="shared" si="206"/>
        <v>2912166</v>
      </c>
      <c r="LV86" s="29">
        <f t="shared" si="207"/>
        <v>0</v>
      </c>
      <c r="LW86" s="5">
        <f t="shared" si="208"/>
        <v>1316069.0000000002</v>
      </c>
      <c r="LX86" s="29">
        <f t="shared" si="209"/>
        <v>0</v>
      </c>
      <c r="LY86" s="5">
        <f t="shared" si="210"/>
        <v>0</v>
      </c>
      <c r="LZ86" s="29">
        <f t="shared" si="211"/>
        <v>0</v>
      </c>
      <c r="MA86" s="5">
        <f t="shared" si="212"/>
        <v>17318018</v>
      </c>
      <c r="MB86" s="29">
        <f t="shared" si="213"/>
        <v>0</v>
      </c>
      <c r="MC86" s="5">
        <f t="shared" si="214"/>
        <v>824538.99999999988</v>
      </c>
      <c r="MD86" s="29">
        <f t="shared" si="215"/>
        <v>0</v>
      </c>
      <c r="ME86" s="5">
        <f t="shared" si="216"/>
        <v>0</v>
      </c>
      <c r="MF86" s="29">
        <f t="shared" si="217"/>
        <v>0</v>
      </c>
      <c r="MG86" s="5">
        <f t="shared" si="218"/>
        <v>990032</v>
      </c>
      <c r="MH86" s="29">
        <f t="shared" si="219"/>
        <v>0</v>
      </c>
      <c r="MI86" s="5">
        <f t="shared" si="220"/>
        <v>41056</v>
      </c>
      <c r="MJ86" s="29">
        <f t="shared" si="221"/>
        <v>0</v>
      </c>
      <c r="MK86" s="5">
        <f t="shared" si="222"/>
        <v>2925358</v>
      </c>
      <c r="ML86" s="29">
        <f t="shared" si="223"/>
        <v>0</v>
      </c>
      <c r="MM86" s="5">
        <f t="shared" si="224"/>
        <v>66970802</v>
      </c>
      <c r="MN86" s="29">
        <f t="shared" si="225"/>
        <v>0</v>
      </c>
      <c r="MO86" s="5">
        <f t="shared" si="226"/>
        <v>0</v>
      </c>
      <c r="MP86" s="29">
        <f t="shared" si="227"/>
        <v>0</v>
      </c>
      <c r="MQ86" s="5">
        <f t="shared" si="228"/>
        <v>66970802</v>
      </c>
      <c r="MR86" s="29">
        <f t="shared" si="229"/>
        <v>0</v>
      </c>
      <c r="MT86" s="5">
        <f t="shared" si="156"/>
        <v>0</v>
      </c>
      <c r="MV86" s="4">
        <f t="shared" si="155"/>
        <v>0</v>
      </c>
    </row>
    <row r="87" spans="1:360" x14ac:dyDescent="0.15">
      <c r="A87" s="155" t="s">
        <v>301</v>
      </c>
      <c r="B87" s="28" t="s">
        <v>466</v>
      </c>
      <c r="C87" s="47">
        <v>236948</v>
      </c>
      <c r="D87" s="48">
        <v>2012</v>
      </c>
      <c r="E87" s="49">
        <v>1</v>
      </c>
      <c r="F87" s="49">
        <v>4</v>
      </c>
      <c r="G87" s="50">
        <v>12275</v>
      </c>
      <c r="H87" s="50">
        <v>13535</v>
      </c>
      <c r="I87" s="51">
        <v>393102700</v>
      </c>
      <c r="J87" s="51"/>
      <c r="K87" s="51">
        <v>1000000</v>
      </c>
      <c r="L87" s="51"/>
      <c r="M87" s="51">
        <v>109935000</v>
      </c>
      <c r="N87" s="51"/>
      <c r="O87" s="51">
        <v>72000000</v>
      </c>
      <c r="P87" s="51"/>
      <c r="Q87" s="51">
        <v>1694400000</v>
      </c>
      <c r="R87" s="51"/>
      <c r="S87" s="52">
        <v>2510908000</v>
      </c>
      <c r="T87" s="52"/>
      <c r="U87" s="52">
        <v>21906</v>
      </c>
      <c r="V87" s="52"/>
      <c r="W87" s="52">
        <v>39390</v>
      </c>
      <c r="X87" s="52"/>
      <c r="Y87" s="52">
        <v>24059</v>
      </c>
      <c r="Z87" s="52"/>
      <c r="AA87" s="52">
        <v>41543</v>
      </c>
      <c r="AB87" s="49"/>
      <c r="AC87" s="72">
        <v>11</v>
      </c>
      <c r="AD87" s="72">
        <v>12</v>
      </c>
      <c r="AE87" s="72">
        <v>0</v>
      </c>
      <c r="AF87" s="29">
        <v>5793049</v>
      </c>
      <c r="AG87" s="29">
        <v>4115512</v>
      </c>
      <c r="AH87" s="29">
        <v>976444</v>
      </c>
      <c r="AI87" s="29">
        <v>431581</v>
      </c>
      <c r="AJ87" s="29">
        <v>801427.6</v>
      </c>
      <c r="AK87" s="73">
        <v>7.5</v>
      </c>
      <c r="AL87" s="29">
        <v>751338.38</v>
      </c>
      <c r="AM87" s="73">
        <v>8</v>
      </c>
      <c r="AN87" s="29">
        <v>244087.41</v>
      </c>
      <c r="AO87" s="73">
        <v>8.5</v>
      </c>
      <c r="AP87" s="29">
        <v>230527</v>
      </c>
      <c r="AQ87" s="73">
        <v>9</v>
      </c>
      <c r="AR87" s="29">
        <v>217862.51</v>
      </c>
      <c r="AS87" s="73">
        <v>22.7</v>
      </c>
      <c r="AT87" s="29">
        <v>190210.73</v>
      </c>
      <c r="AU87" s="73">
        <v>26</v>
      </c>
      <c r="AV87" s="29">
        <v>87795.26</v>
      </c>
      <c r="AW87" s="73">
        <v>17.5</v>
      </c>
      <c r="AX87" s="29">
        <v>76820.850000000006</v>
      </c>
      <c r="AY87" s="73">
        <v>20</v>
      </c>
      <c r="AZ87" s="97">
        <v>18445428</v>
      </c>
      <c r="BA87" s="97">
        <v>3679419</v>
      </c>
      <c r="BB87" s="97">
        <v>214832</v>
      </c>
      <c r="BC87" s="97">
        <v>319659</v>
      </c>
      <c r="BD87" s="97">
        <v>23393</v>
      </c>
      <c r="BE87" s="97">
        <v>22682731</v>
      </c>
      <c r="BF87" s="97">
        <v>0</v>
      </c>
      <c r="BG87" s="97">
        <v>0</v>
      </c>
      <c r="BH87" s="97">
        <v>0</v>
      </c>
      <c r="BI87" s="97">
        <v>0</v>
      </c>
      <c r="BJ87" s="97">
        <v>0</v>
      </c>
      <c r="BK87" s="97">
        <v>0</v>
      </c>
      <c r="BL87" s="97">
        <v>900000</v>
      </c>
      <c r="BM87" s="97">
        <v>204762</v>
      </c>
      <c r="BN87" s="97">
        <v>0</v>
      </c>
      <c r="BO87" s="97">
        <v>1500</v>
      </c>
      <c r="BP87" s="97">
        <v>0</v>
      </c>
      <c r="BQ87" s="97">
        <v>1106262</v>
      </c>
      <c r="BR87" s="97">
        <v>18000740</v>
      </c>
      <c r="BS87" s="97">
        <v>3103688</v>
      </c>
      <c r="BT87" s="97">
        <v>61560</v>
      </c>
      <c r="BU87" s="97">
        <v>934969</v>
      </c>
      <c r="BV87" s="97">
        <v>1400148</v>
      </c>
      <c r="BW87" s="97">
        <v>23501105</v>
      </c>
      <c r="BX87" s="97">
        <v>0</v>
      </c>
      <c r="BY87" s="97">
        <v>0</v>
      </c>
      <c r="BZ87" s="97">
        <v>0</v>
      </c>
      <c r="CA87" s="97">
        <v>0</v>
      </c>
      <c r="CB87" s="97">
        <v>0</v>
      </c>
      <c r="CC87" s="97">
        <v>0</v>
      </c>
      <c r="CD87" s="97">
        <v>0</v>
      </c>
      <c r="CE87" s="97">
        <v>0</v>
      </c>
      <c r="CF87" s="97">
        <v>0</v>
      </c>
      <c r="CG87" s="97">
        <v>0</v>
      </c>
      <c r="CH87" s="97">
        <v>0</v>
      </c>
      <c r="CI87" s="97">
        <v>0</v>
      </c>
      <c r="CJ87" s="97">
        <v>0</v>
      </c>
      <c r="CK87" s="97">
        <v>0</v>
      </c>
      <c r="CL87" s="97">
        <v>369687</v>
      </c>
      <c r="CM87" s="97">
        <v>2695813</v>
      </c>
      <c r="CN87" s="97">
        <v>0</v>
      </c>
      <c r="CO87" s="97">
        <v>3065500</v>
      </c>
      <c r="CP87" s="97">
        <v>0</v>
      </c>
      <c r="CQ87" s="97">
        <v>0</v>
      </c>
      <c r="CR87" s="97">
        <v>0</v>
      </c>
      <c r="CS87" s="97">
        <v>0</v>
      </c>
      <c r="CT87" s="97">
        <v>0</v>
      </c>
      <c r="CU87" s="97">
        <v>0</v>
      </c>
      <c r="CV87" s="97">
        <v>11372742</v>
      </c>
      <c r="CW87" s="97">
        <v>3381697</v>
      </c>
      <c r="CX87" s="97">
        <v>0</v>
      </c>
      <c r="CY87" s="97">
        <v>0</v>
      </c>
      <c r="CZ87" s="97">
        <v>1460582</v>
      </c>
      <c r="DA87" s="97">
        <v>16215021</v>
      </c>
      <c r="DB87" s="97">
        <v>898599</v>
      </c>
      <c r="DC87" s="97">
        <v>146392</v>
      </c>
      <c r="DD87" s="97">
        <v>32532</v>
      </c>
      <c r="DE87" s="97">
        <v>0</v>
      </c>
      <c r="DF87" s="97">
        <v>5300</v>
      </c>
      <c r="DG87" s="97">
        <v>1082823</v>
      </c>
      <c r="DH87" s="97">
        <v>1336731</v>
      </c>
      <c r="DI87" s="97">
        <v>135304</v>
      </c>
      <c r="DJ87" s="97">
        <v>28787</v>
      </c>
      <c r="DK87" s="97">
        <v>30155</v>
      </c>
      <c r="DL87" s="97">
        <v>142648</v>
      </c>
      <c r="DM87" s="97">
        <v>1673625</v>
      </c>
      <c r="DN87" s="97">
        <v>907000</v>
      </c>
      <c r="DO87" s="97">
        <v>150000</v>
      </c>
      <c r="DP87" s="97">
        <v>130000</v>
      </c>
      <c r="DQ87" s="97">
        <v>1351051</v>
      </c>
      <c r="DR87" s="97">
        <v>7329077</v>
      </c>
      <c r="DS87" s="97">
        <v>9867128</v>
      </c>
      <c r="DT87" s="97">
        <v>55452</v>
      </c>
      <c r="DU87" s="97">
        <v>0</v>
      </c>
      <c r="DV87" s="97">
        <v>0</v>
      </c>
      <c r="DW87" s="97">
        <v>0</v>
      </c>
      <c r="DX87" s="97">
        <v>0</v>
      </c>
      <c r="DY87" s="97">
        <v>55452</v>
      </c>
      <c r="DZ87" s="97">
        <v>539357</v>
      </c>
      <c r="EA87" s="97">
        <v>145139</v>
      </c>
      <c r="EB87" s="97">
        <v>10092</v>
      </c>
      <c r="EC87" s="97">
        <v>474115</v>
      </c>
      <c r="ED87" s="97">
        <v>310453</v>
      </c>
      <c r="EE87" s="97">
        <v>1479156</v>
      </c>
      <c r="EF87" s="97">
        <v>636320</v>
      </c>
      <c r="EG87" s="97">
        <v>0</v>
      </c>
      <c r="EH87" s="97">
        <v>903</v>
      </c>
      <c r="EI87" s="97">
        <v>549951</v>
      </c>
      <c r="EJ87" s="97">
        <v>678806</v>
      </c>
      <c r="EK87" s="97">
        <v>1865980</v>
      </c>
      <c r="EL87" s="97">
        <v>53092369</v>
      </c>
      <c r="EM87" s="97">
        <v>10946401</v>
      </c>
      <c r="EN87" s="97">
        <v>848393</v>
      </c>
      <c r="EO87" s="97">
        <v>6357213</v>
      </c>
      <c r="EP87" s="97">
        <v>11350407</v>
      </c>
      <c r="EQ87" s="97">
        <v>82594783</v>
      </c>
      <c r="ER87" s="97">
        <v>3200522</v>
      </c>
      <c r="ES87" s="97">
        <v>527208</v>
      </c>
      <c r="ET87" s="97">
        <v>488096</v>
      </c>
      <c r="EU87" s="97">
        <v>5692735</v>
      </c>
      <c r="EV87" s="97">
        <v>29965</v>
      </c>
      <c r="EW87" s="97">
        <v>9938526</v>
      </c>
      <c r="EX87" s="97">
        <v>2362512</v>
      </c>
      <c r="EY87" s="97">
        <v>660081</v>
      </c>
      <c r="EZ87" s="97">
        <v>54500</v>
      </c>
      <c r="FA87" s="97">
        <v>34087</v>
      </c>
      <c r="FB87" s="97">
        <v>0</v>
      </c>
      <c r="FC87" s="97">
        <v>3111180</v>
      </c>
      <c r="FD87" s="97">
        <v>6528561</v>
      </c>
      <c r="FE87" s="97">
        <v>2683310</v>
      </c>
      <c r="FF87" s="97">
        <v>967267</v>
      </c>
      <c r="FG87" s="97">
        <v>4388208</v>
      </c>
      <c r="FH87" s="97">
        <v>0</v>
      </c>
      <c r="FI87" s="97">
        <v>14567346</v>
      </c>
      <c r="FJ87" s="97">
        <v>0</v>
      </c>
      <c r="FK87" s="97">
        <v>0</v>
      </c>
      <c r="FL87" s="97">
        <v>0</v>
      </c>
      <c r="FM87" s="97">
        <v>0</v>
      </c>
      <c r="FN87" s="97">
        <v>0</v>
      </c>
      <c r="FO87" s="97">
        <v>0</v>
      </c>
      <c r="FP87" s="97">
        <v>969103</v>
      </c>
      <c r="FQ87" s="97">
        <v>275531</v>
      </c>
      <c r="FR87" s="97">
        <v>192742</v>
      </c>
      <c r="FS87" s="97">
        <v>423187</v>
      </c>
      <c r="FT87" s="97">
        <v>12279219</v>
      </c>
      <c r="FU87" s="97">
        <v>14139782</v>
      </c>
      <c r="FV87" s="97">
        <v>0</v>
      </c>
      <c r="FW87" s="97">
        <v>0</v>
      </c>
      <c r="FX87" s="97">
        <v>0</v>
      </c>
      <c r="FY87" s="97">
        <v>0</v>
      </c>
      <c r="FZ87" s="97">
        <v>0</v>
      </c>
      <c r="GA87" s="97">
        <v>0</v>
      </c>
      <c r="GB87" s="97">
        <v>1177743</v>
      </c>
      <c r="GC87" s="97">
        <v>0</v>
      </c>
      <c r="GD87" s="97">
        <v>0</v>
      </c>
      <c r="GE87" s="97">
        <v>26670</v>
      </c>
      <c r="GF87" s="97">
        <v>9812</v>
      </c>
      <c r="GG87" s="97">
        <v>1214225</v>
      </c>
      <c r="GH87" s="97">
        <v>645901</v>
      </c>
      <c r="GI87" s="97">
        <v>161492</v>
      </c>
      <c r="GJ87" s="97">
        <v>144229</v>
      </c>
      <c r="GK87" s="97">
        <v>456403</v>
      </c>
      <c r="GL87" s="97">
        <v>0</v>
      </c>
      <c r="GM87" s="97">
        <v>1408025</v>
      </c>
      <c r="GN87" s="97">
        <v>1946312</v>
      </c>
      <c r="GO87" s="97">
        <v>500885</v>
      </c>
      <c r="GP87" s="97">
        <v>284527</v>
      </c>
      <c r="GQ87" s="97">
        <v>1944972</v>
      </c>
      <c r="GR87" s="97">
        <v>27107</v>
      </c>
      <c r="GS87" s="97">
        <v>4703803</v>
      </c>
      <c r="GT87" s="97">
        <v>1749067</v>
      </c>
      <c r="GU87" s="97">
        <v>231032</v>
      </c>
      <c r="GV87" s="97">
        <v>155505</v>
      </c>
      <c r="GW87" s="97">
        <v>1757982</v>
      </c>
      <c r="GX87" s="97">
        <v>649283</v>
      </c>
      <c r="GY87" s="97">
        <v>4542869</v>
      </c>
      <c r="GZ87" s="97">
        <v>3349866</v>
      </c>
      <c r="HA87" s="97">
        <v>634526</v>
      </c>
      <c r="HB87" s="97">
        <v>258394</v>
      </c>
      <c r="HC87" s="97">
        <v>445848</v>
      </c>
      <c r="HD87" s="97">
        <v>75041</v>
      </c>
      <c r="HE87" s="97">
        <v>4763675</v>
      </c>
      <c r="HF87" s="97">
        <v>1116847</v>
      </c>
      <c r="HG87" s="97">
        <v>266491</v>
      </c>
      <c r="HH87" s="97">
        <v>107927</v>
      </c>
      <c r="HI87" s="97">
        <v>148892</v>
      </c>
      <c r="HJ87" s="97">
        <v>1079360</v>
      </c>
      <c r="HK87" s="97">
        <v>2719517</v>
      </c>
      <c r="HL87" s="97">
        <v>52658</v>
      </c>
      <c r="HM87" s="97">
        <v>0</v>
      </c>
      <c r="HN87" s="97">
        <v>0</v>
      </c>
      <c r="HO87" s="97">
        <v>0</v>
      </c>
      <c r="HP87" s="97">
        <v>0</v>
      </c>
      <c r="HQ87" s="97">
        <v>52658</v>
      </c>
      <c r="HR87" s="97">
        <v>261129</v>
      </c>
      <c r="HS87" s="97">
        <v>0</v>
      </c>
      <c r="HT87" s="97">
        <v>0</v>
      </c>
      <c r="HU87" s="97">
        <v>177290</v>
      </c>
      <c r="HV87" s="97">
        <v>1360758</v>
      </c>
      <c r="HW87" s="97">
        <v>1799177</v>
      </c>
      <c r="HX87" s="97">
        <v>246527</v>
      </c>
      <c r="HY87" s="97">
        <v>61632</v>
      </c>
      <c r="HZ87" s="97">
        <v>61632</v>
      </c>
      <c r="IA87" s="97">
        <v>20544</v>
      </c>
      <c r="IB87" s="97">
        <v>20543</v>
      </c>
      <c r="IC87" s="97">
        <v>410878</v>
      </c>
      <c r="ID87" s="97">
        <v>0</v>
      </c>
      <c r="IE87" s="97">
        <v>0</v>
      </c>
      <c r="IF87" s="97">
        <v>0</v>
      </c>
      <c r="IG87" s="97">
        <v>0</v>
      </c>
      <c r="IH87" s="97">
        <v>0</v>
      </c>
      <c r="II87" s="97">
        <v>0</v>
      </c>
      <c r="IJ87" s="97">
        <v>340227</v>
      </c>
      <c r="IK87" s="97">
        <v>23036</v>
      </c>
      <c r="IL87" s="97">
        <v>47600</v>
      </c>
      <c r="IM87" s="97">
        <v>470425</v>
      </c>
      <c r="IN87" s="97">
        <v>6230</v>
      </c>
      <c r="IO87" s="97">
        <v>887518</v>
      </c>
      <c r="IP87" s="97">
        <v>17361</v>
      </c>
      <c r="IQ87" s="97">
        <v>1174</v>
      </c>
      <c r="IR87" s="97">
        <v>3990</v>
      </c>
      <c r="IS87" s="97">
        <v>95960</v>
      </c>
      <c r="IT87" s="97">
        <v>59171</v>
      </c>
      <c r="IU87" s="97">
        <v>177656</v>
      </c>
      <c r="IV87" s="97">
        <v>1404516</v>
      </c>
      <c r="IW87" s="97">
        <v>288681</v>
      </c>
      <c r="IX87" s="97">
        <v>77412</v>
      </c>
      <c r="IY87" s="97">
        <v>838948</v>
      </c>
      <c r="IZ87" s="97">
        <v>6787251</v>
      </c>
      <c r="JA87" s="97">
        <v>9396808</v>
      </c>
      <c r="JB87" s="97">
        <v>25368852</v>
      </c>
      <c r="JC87" s="97">
        <v>6315079</v>
      </c>
      <c r="JD87" s="97">
        <v>2843821</v>
      </c>
      <c r="JE87" s="97">
        <v>16922151</v>
      </c>
      <c r="JF87" s="97">
        <v>22383740</v>
      </c>
      <c r="JG87" s="97">
        <v>73833643</v>
      </c>
      <c r="JH87" s="97">
        <v>0</v>
      </c>
      <c r="JI87" s="97">
        <v>0</v>
      </c>
      <c r="JJ87" s="97">
        <v>0</v>
      </c>
      <c r="JK87" s="97">
        <v>0</v>
      </c>
      <c r="JL87" s="97">
        <v>0</v>
      </c>
      <c r="JM87" s="97">
        <v>0</v>
      </c>
      <c r="JN87" s="97">
        <v>25368852</v>
      </c>
      <c r="JO87" s="97">
        <v>6315079</v>
      </c>
      <c r="JP87" s="97">
        <v>2843821</v>
      </c>
      <c r="JQ87" s="97">
        <v>16922151</v>
      </c>
      <c r="JR87" s="97">
        <v>22383740</v>
      </c>
      <c r="JS87" s="97">
        <v>73833643</v>
      </c>
      <c r="JU87" s="5">
        <f t="shared" si="157"/>
        <v>22682731</v>
      </c>
      <c r="JV87" s="29">
        <f t="shared" si="158"/>
        <v>0</v>
      </c>
      <c r="JW87" s="5">
        <f t="shared" si="159"/>
        <v>0</v>
      </c>
      <c r="JX87" s="29">
        <f t="shared" si="160"/>
        <v>0</v>
      </c>
      <c r="JY87" s="5">
        <f t="shared" si="161"/>
        <v>1106262</v>
      </c>
      <c r="JZ87" s="29">
        <f t="shared" si="162"/>
        <v>0</v>
      </c>
      <c r="KA87" s="5">
        <f t="shared" si="163"/>
        <v>23501105</v>
      </c>
      <c r="KB87" s="29">
        <f t="shared" si="164"/>
        <v>0</v>
      </c>
      <c r="KC87" s="5">
        <f t="shared" si="165"/>
        <v>0</v>
      </c>
      <c r="KD87" s="29">
        <f t="shared" si="166"/>
        <v>0</v>
      </c>
      <c r="KE87" s="5">
        <f t="shared" si="167"/>
        <v>0</v>
      </c>
      <c r="KF87" s="29">
        <f t="shared" si="168"/>
        <v>0</v>
      </c>
      <c r="KG87" s="5">
        <f t="shared" si="169"/>
        <v>3065500</v>
      </c>
      <c r="KH87" s="29">
        <f t="shared" si="170"/>
        <v>0</v>
      </c>
      <c r="KI87" s="5">
        <f t="shared" si="171"/>
        <v>0</v>
      </c>
      <c r="KJ87" s="29">
        <f t="shared" si="172"/>
        <v>0</v>
      </c>
      <c r="KK87" s="5">
        <f t="shared" si="173"/>
        <v>16215021</v>
      </c>
      <c r="KL87" s="29">
        <f t="shared" si="174"/>
        <v>0</v>
      </c>
      <c r="KM87" s="5">
        <f t="shared" si="175"/>
        <v>1082823</v>
      </c>
      <c r="KN87" s="29">
        <f t="shared" si="176"/>
        <v>0</v>
      </c>
      <c r="KO87" s="5">
        <f t="shared" si="177"/>
        <v>1673625</v>
      </c>
      <c r="KP87" s="29">
        <f t="shared" si="178"/>
        <v>0</v>
      </c>
      <c r="KQ87" s="5">
        <f t="shared" si="179"/>
        <v>9867128</v>
      </c>
      <c r="KR87" s="29">
        <f t="shared" si="180"/>
        <v>0</v>
      </c>
      <c r="KS87" s="5">
        <f t="shared" si="181"/>
        <v>55452</v>
      </c>
      <c r="KT87" s="29">
        <f t="shared" si="182"/>
        <v>0</v>
      </c>
      <c r="KU87" s="5">
        <f t="shared" si="183"/>
        <v>1479156</v>
      </c>
      <c r="KV87" s="29">
        <f t="shared" si="184"/>
        <v>0</v>
      </c>
      <c r="KW87" s="5">
        <f t="shared" si="185"/>
        <v>1865980</v>
      </c>
      <c r="KX87" s="29">
        <f t="shared" si="186"/>
        <v>0</v>
      </c>
      <c r="KY87" s="5">
        <f t="shared" si="187"/>
        <v>82594783</v>
      </c>
      <c r="KZ87" s="29">
        <f t="shared" si="188"/>
        <v>0</v>
      </c>
      <c r="LA87" s="5">
        <f t="shared" si="230"/>
        <v>9938526</v>
      </c>
      <c r="LB87" s="29">
        <f t="shared" si="231"/>
        <v>0</v>
      </c>
      <c r="LC87" s="5">
        <f t="shared" si="232"/>
        <v>3111180</v>
      </c>
      <c r="LD87" s="29">
        <f t="shared" si="189"/>
        <v>0</v>
      </c>
      <c r="LE87" s="5">
        <f t="shared" si="190"/>
        <v>14567346</v>
      </c>
      <c r="LF87" s="29">
        <f t="shared" si="191"/>
        <v>0</v>
      </c>
      <c r="LG87" s="5">
        <f t="shared" si="192"/>
        <v>0</v>
      </c>
      <c r="LH87" s="29">
        <f t="shared" si="193"/>
        <v>0</v>
      </c>
      <c r="LI87" s="5">
        <f t="shared" si="194"/>
        <v>14139782</v>
      </c>
      <c r="LJ87" s="29">
        <f t="shared" si="195"/>
        <v>0</v>
      </c>
      <c r="LK87" s="5">
        <f t="shared" si="196"/>
        <v>0</v>
      </c>
      <c r="LL87" s="29">
        <f t="shared" si="197"/>
        <v>0</v>
      </c>
      <c r="LM87" s="5">
        <f t="shared" si="198"/>
        <v>1214225</v>
      </c>
      <c r="LN87" s="29">
        <f t="shared" si="199"/>
        <v>0</v>
      </c>
      <c r="LO87" s="5">
        <f t="shared" si="200"/>
        <v>1408025</v>
      </c>
      <c r="LP87" s="29">
        <f t="shared" si="201"/>
        <v>0</v>
      </c>
      <c r="LQ87" s="5">
        <f t="shared" si="202"/>
        <v>4703803</v>
      </c>
      <c r="LR87" s="29">
        <f t="shared" si="203"/>
        <v>0</v>
      </c>
      <c r="LS87" s="5">
        <f t="shared" si="204"/>
        <v>4542869</v>
      </c>
      <c r="LT87" s="29">
        <f t="shared" si="205"/>
        <v>0</v>
      </c>
      <c r="LU87" s="5">
        <f t="shared" si="206"/>
        <v>4763675</v>
      </c>
      <c r="LV87" s="29">
        <f t="shared" si="207"/>
        <v>0</v>
      </c>
      <c r="LW87" s="5">
        <f t="shared" si="208"/>
        <v>2719517</v>
      </c>
      <c r="LX87" s="29">
        <f t="shared" si="209"/>
        <v>0</v>
      </c>
      <c r="LY87" s="5">
        <f t="shared" si="210"/>
        <v>52658</v>
      </c>
      <c r="LZ87" s="29">
        <f t="shared" si="211"/>
        <v>0</v>
      </c>
      <c r="MA87" s="5">
        <f t="shared" si="212"/>
        <v>1799177</v>
      </c>
      <c r="MB87" s="29">
        <f t="shared" si="213"/>
        <v>0</v>
      </c>
      <c r="MC87" s="5">
        <f t="shared" si="214"/>
        <v>410878</v>
      </c>
      <c r="MD87" s="29">
        <f t="shared" si="215"/>
        <v>0</v>
      </c>
      <c r="ME87" s="5">
        <f t="shared" si="216"/>
        <v>0</v>
      </c>
      <c r="MF87" s="29">
        <f t="shared" si="217"/>
        <v>0</v>
      </c>
      <c r="MG87" s="5">
        <f t="shared" si="218"/>
        <v>887518</v>
      </c>
      <c r="MH87" s="29">
        <f t="shared" si="219"/>
        <v>0</v>
      </c>
      <c r="MI87" s="5">
        <f t="shared" si="220"/>
        <v>177656</v>
      </c>
      <c r="MJ87" s="29">
        <f t="shared" si="221"/>
        <v>0</v>
      </c>
      <c r="MK87" s="5">
        <f t="shared" si="222"/>
        <v>9396808</v>
      </c>
      <c r="ML87" s="29">
        <f t="shared" si="223"/>
        <v>0</v>
      </c>
      <c r="MM87" s="5">
        <f t="shared" si="224"/>
        <v>73833643</v>
      </c>
      <c r="MN87" s="29">
        <f t="shared" si="225"/>
        <v>0</v>
      </c>
      <c r="MO87" s="5">
        <f t="shared" si="226"/>
        <v>0</v>
      </c>
      <c r="MP87" s="29">
        <f t="shared" si="227"/>
        <v>0</v>
      </c>
      <c r="MQ87" s="5">
        <f t="shared" si="228"/>
        <v>73833643</v>
      </c>
      <c r="MR87" s="29">
        <f t="shared" si="229"/>
        <v>0</v>
      </c>
      <c r="MT87" s="5">
        <f t="shared" si="156"/>
        <v>0</v>
      </c>
      <c r="MV87" s="4">
        <f t="shared" si="155"/>
        <v>0</v>
      </c>
    </row>
    <row r="88" spans="1:360" x14ac:dyDescent="0.15">
      <c r="A88" s="156" t="s">
        <v>403</v>
      </c>
      <c r="B88" s="28" t="s">
        <v>405</v>
      </c>
      <c r="C88" s="48">
        <v>236939</v>
      </c>
      <c r="D88" s="48">
        <v>2012</v>
      </c>
      <c r="E88" s="49">
        <v>1</v>
      </c>
      <c r="F88" s="49">
        <v>4</v>
      </c>
      <c r="G88" s="50">
        <v>8425</v>
      </c>
      <c r="H88" s="50">
        <v>7362</v>
      </c>
      <c r="I88" s="51">
        <v>866230006</v>
      </c>
      <c r="J88" s="51"/>
      <c r="K88" s="51">
        <v>1588044</v>
      </c>
      <c r="L88" s="51"/>
      <c r="M88" s="51">
        <v>32571933</v>
      </c>
      <c r="N88" s="51"/>
      <c r="O88" s="51">
        <v>21305000</v>
      </c>
      <c r="P88" s="51"/>
      <c r="Q88" s="51">
        <v>447040000</v>
      </c>
      <c r="R88" s="51"/>
      <c r="S88" s="51">
        <v>614861003</v>
      </c>
      <c r="T88" s="51"/>
      <c r="U88" s="51">
        <v>21396</v>
      </c>
      <c r="V88" s="51"/>
      <c r="W88" s="51">
        <v>32674</v>
      </c>
      <c r="X88" s="51"/>
      <c r="Y88" s="51">
        <v>24938</v>
      </c>
      <c r="Z88" s="51"/>
      <c r="AA88" s="51">
        <v>36216</v>
      </c>
      <c r="AB88" s="51"/>
      <c r="AC88" s="74">
        <v>7</v>
      </c>
      <c r="AD88" s="74">
        <v>10</v>
      </c>
      <c r="AE88" s="74">
        <v>0</v>
      </c>
      <c r="AF88" s="29">
        <v>4479613</v>
      </c>
      <c r="AG88" s="29">
        <v>3497637</v>
      </c>
      <c r="AH88" s="29">
        <v>448034</v>
      </c>
      <c r="AI88" s="29">
        <v>281950</v>
      </c>
      <c r="AJ88" s="29">
        <v>654390.43999999994</v>
      </c>
      <c r="AK88" s="73">
        <v>4.5</v>
      </c>
      <c r="AL88" s="29">
        <v>588951.4</v>
      </c>
      <c r="AM88" s="73">
        <v>5</v>
      </c>
      <c r="AN88" s="29">
        <v>144059.32999999999</v>
      </c>
      <c r="AO88" s="73">
        <v>7.5</v>
      </c>
      <c r="AP88" s="29">
        <v>135055.63</v>
      </c>
      <c r="AQ88" s="73">
        <v>8</v>
      </c>
      <c r="AR88" s="29">
        <v>164649.76</v>
      </c>
      <c r="AS88" s="73">
        <v>16.5</v>
      </c>
      <c r="AT88" s="29">
        <v>142985.32</v>
      </c>
      <c r="AU88" s="73">
        <v>19</v>
      </c>
      <c r="AV88" s="29">
        <v>78659.41</v>
      </c>
      <c r="AW88" s="73">
        <v>13.5</v>
      </c>
      <c r="AX88" s="29">
        <v>66368</v>
      </c>
      <c r="AY88" s="73">
        <v>16</v>
      </c>
      <c r="AZ88" s="105">
        <v>4371967</v>
      </c>
      <c r="BA88" s="105">
        <v>792264</v>
      </c>
      <c r="BB88" s="105">
        <v>24355</v>
      </c>
      <c r="BC88" s="105">
        <v>48795</v>
      </c>
      <c r="BD88" s="105">
        <v>1309698</v>
      </c>
      <c r="BE88" s="105">
        <v>6547079</v>
      </c>
      <c r="BF88" s="105">
        <v>0</v>
      </c>
      <c r="BG88" s="105">
        <v>0</v>
      </c>
      <c r="BH88" s="105">
        <v>0</v>
      </c>
      <c r="BI88" s="105">
        <v>0</v>
      </c>
      <c r="BJ88" s="105">
        <v>1123849</v>
      </c>
      <c r="BK88" s="105">
        <v>1123849</v>
      </c>
      <c r="BL88" s="105">
        <v>1324392</v>
      </c>
      <c r="BM88" s="105">
        <v>92746</v>
      </c>
      <c r="BN88" s="105">
        <v>0</v>
      </c>
      <c r="BO88" s="105">
        <v>0</v>
      </c>
      <c r="BP88" s="105">
        <v>0</v>
      </c>
      <c r="BQ88" s="105">
        <v>1417138</v>
      </c>
      <c r="BR88" s="105">
        <v>1695375</v>
      </c>
      <c r="BS88" s="105">
        <v>302533</v>
      </c>
      <c r="BT88" s="105">
        <v>320437</v>
      </c>
      <c r="BU88" s="105">
        <v>2201197</v>
      </c>
      <c r="BV88" s="105">
        <v>3335495</v>
      </c>
      <c r="BW88" s="105">
        <v>7855037</v>
      </c>
      <c r="BX88" s="97">
        <v>0</v>
      </c>
      <c r="BY88" s="97">
        <v>0</v>
      </c>
      <c r="BZ88" s="97">
        <v>0</v>
      </c>
      <c r="CA88" s="97">
        <v>0</v>
      </c>
      <c r="CB88" s="97">
        <v>0</v>
      </c>
      <c r="CC88" s="97">
        <v>0</v>
      </c>
      <c r="CD88" s="97">
        <v>0</v>
      </c>
      <c r="CE88" s="97">
        <v>0</v>
      </c>
      <c r="CF88" s="97">
        <v>0</v>
      </c>
      <c r="CG88" s="97">
        <v>0</v>
      </c>
      <c r="CH88" s="97">
        <v>0</v>
      </c>
      <c r="CI88" s="97">
        <v>0</v>
      </c>
      <c r="CJ88" s="105">
        <v>1429455</v>
      </c>
      <c r="CK88" s="105">
        <v>266449</v>
      </c>
      <c r="CL88" s="105">
        <v>382878</v>
      </c>
      <c r="CM88" s="105">
        <v>2407762</v>
      </c>
      <c r="CN88" s="105">
        <v>1568777</v>
      </c>
      <c r="CO88" s="105">
        <v>6055321</v>
      </c>
      <c r="CP88" s="105">
        <v>0</v>
      </c>
      <c r="CQ88" s="105">
        <v>0</v>
      </c>
      <c r="CR88" s="105">
        <v>0</v>
      </c>
      <c r="CS88" s="105">
        <v>0</v>
      </c>
      <c r="CT88" s="105">
        <v>1613057</v>
      </c>
      <c r="CU88" s="105">
        <v>1613057</v>
      </c>
      <c r="CV88" s="105">
        <v>8416472</v>
      </c>
      <c r="CW88" s="105">
        <v>2786261</v>
      </c>
      <c r="CX88" s="105">
        <v>3032</v>
      </c>
      <c r="CY88" s="105">
        <v>65111</v>
      </c>
      <c r="CZ88" s="105">
        <v>1561982</v>
      </c>
      <c r="DA88" s="105">
        <v>12832858</v>
      </c>
      <c r="DB88" s="97">
        <v>0</v>
      </c>
      <c r="DC88" s="97">
        <v>0</v>
      </c>
      <c r="DD88" s="97">
        <v>0</v>
      </c>
      <c r="DE88" s="97">
        <v>0</v>
      </c>
      <c r="DF88" s="97">
        <v>0</v>
      </c>
      <c r="DG88" s="97">
        <v>0</v>
      </c>
      <c r="DH88" s="105">
        <v>0</v>
      </c>
      <c r="DI88" s="105">
        <v>0</v>
      </c>
      <c r="DJ88" s="105">
        <v>0</v>
      </c>
      <c r="DK88" s="105">
        <v>0</v>
      </c>
      <c r="DL88" s="105">
        <v>110162</v>
      </c>
      <c r="DM88" s="105">
        <v>110162</v>
      </c>
      <c r="DN88" s="105">
        <v>418750</v>
      </c>
      <c r="DO88" s="105">
        <v>68250</v>
      </c>
      <c r="DP88" s="105">
        <v>68250</v>
      </c>
      <c r="DQ88" s="105">
        <v>481555</v>
      </c>
      <c r="DR88" s="105">
        <v>2899012</v>
      </c>
      <c r="DS88" s="105">
        <v>3935817</v>
      </c>
      <c r="DT88" s="105">
        <v>120035</v>
      </c>
      <c r="DU88" s="105">
        <v>189491</v>
      </c>
      <c r="DV88" s="105">
        <v>4443</v>
      </c>
      <c r="DW88" s="105">
        <v>236192</v>
      </c>
      <c r="DX88" s="105">
        <v>0</v>
      </c>
      <c r="DY88" s="105">
        <v>550161</v>
      </c>
      <c r="DZ88" s="105">
        <v>168311</v>
      </c>
      <c r="EA88" s="105">
        <v>24500</v>
      </c>
      <c r="EB88" s="105">
        <v>26434</v>
      </c>
      <c r="EC88" s="105">
        <v>235378</v>
      </c>
      <c r="ED88" s="105">
        <v>9500</v>
      </c>
      <c r="EE88" s="105">
        <v>464123</v>
      </c>
      <c r="EF88" s="105">
        <v>17658</v>
      </c>
      <c r="EG88" s="105">
        <v>69778</v>
      </c>
      <c r="EH88" s="105">
        <v>1636</v>
      </c>
      <c r="EI88" s="105">
        <v>135874</v>
      </c>
      <c r="EJ88" s="105">
        <v>0</v>
      </c>
      <c r="EK88" s="105">
        <v>224946</v>
      </c>
      <c r="EL88" s="105">
        <v>17962415</v>
      </c>
      <c r="EM88" s="105">
        <v>4592272</v>
      </c>
      <c r="EN88" s="105">
        <v>831465</v>
      </c>
      <c r="EO88" s="105">
        <v>5811864</v>
      </c>
      <c r="EP88" s="105">
        <v>13531532</v>
      </c>
      <c r="EQ88" s="105">
        <v>42729548</v>
      </c>
      <c r="ER88" s="105">
        <v>3065470</v>
      </c>
      <c r="ES88" s="105">
        <v>448782</v>
      </c>
      <c r="ET88" s="105">
        <v>504031</v>
      </c>
      <c r="EU88" s="105">
        <v>3958967</v>
      </c>
      <c r="EV88" s="105">
        <v>157849</v>
      </c>
      <c r="EW88" s="105">
        <v>8135099</v>
      </c>
      <c r="EX88" s="105">
        <v>1374068</v>
      </c>
      <c r="EY88" s="105">
        <v>325362</v>
      </c>
      <c r="EZ88" s="105">
        <v>6000</v>
      </c>
      <c r="FA88" s="105">
        <v>47280</v>
      </c>
      <c r="FB88" s="105">
        <v>0</v>
      </c>
      <c r="FC88" s="105">
        <v>1752710</v>
      </c>
      <c r="FD88" s="105">
        <v>3482808</v>
      </c>
      <c r="FE88" s="105">
        <v>1418130</v>
      </c>
      <c r="FF88" s="105">
        <v>606601</v>
      </c>
      <c r="FG88" s="105">
        <v>2296286</v>
      </c>
      <c r="FH88" s="105">
        <v>0</v>
      </c>
      <c r="FI88" s="105">
        <v>7803825</v>
      </c>
      <c r="FJ88" s="97">
        <v>0</v>
      </c>
      <c r="FK88" s="97">
        <v>0</v>
      </c>
      <c r="FL88" s="97">
        <v>0</v>
      </c>
      <c r="FM88" s="97">
        <v>0</v>
      </c>
      <c r="FN88" s="97">
        <v>0</v>
      </c>
      <c r="FO88" s="97">
        <v>0</v>
      </c>
      <c r="FP88" s="105">
        <v>613896</v>
      </c>
      <c r="FQ88" s="105">
        <v>223647</v>
      </c>
      <c r="FR88" s="105">
        <v>170797</v>
      </c>
      <c r="FS88" s="105">
        <v>238306</v>
      </c>
      <c r="FT88" s="105">
        <v>6999846</v>
      </c>
      <c r="FU88" s="105">
        <v>8246492</v>
      </c>
      <c r="FV88" s="97">
        <v>0</v>
      </c>
      <c r="FW88" s="97">
        <v>0</v>
      </c>
      <c r="FX88" s="97">
        <v>0</v>
      </c>
      <c r="FY88" s="97">
        <v>0</v>
      </c>
      <c r="FZ88" s="97">
        <v>0</v>
      </c>
      <c r="GA88" s="97">
        <v>0</v>
      </c>
      <c r="GB88" s="105">
        <v>1322016</v>
      </c>
      <c r="GC88" s="105">
        <v>0</v>
      </c>
      <c r="GD88" s="105">
        <v>0</v>
      </c>
      <c r="GE88" s="105">
        <v>10367</v>
      </c>
      <c r="GF88" s="105">
        <v>0</v>
      </c>
      <c r="GG88" s="105">
        <v>1332383</v>
      </c>
      <c r="GH88" s="105">
        <v>229383</v>
      </c>
      <c r="GI88" s="105">
        <v>142718</v>
      </c>
      <c r="GJ88" s="105">
        <v>83114</v>
      </c>
      <c r="GK88" s="105">
        <v>274769</v>
      </c>
      <c r="GL88" s="105">
        <v>0</v>
      </c>
      <c r="GM88" s="105">
        <v>729984</v>
      </c>
      <c r="GN88" s="105">
        <v>918730</v>
      </c>
      <c r="GO88" s="105">
        <v>349958</v>
      </c>
      <c r="GP88" s="105">
        <v>336499</v>
      </c>
      <c r="GQ88" s="105">
        <v>1478083</v>
      </c>
      <c r="GR88" s="105">
        <v>0</v>
      </c>
      <c r="GS88" s="105">
        <v>3083270</v>
      </c>
      <c r="GT88" s="105">
        <v>1233644</v>
      </c>
      <c r="GU88" s="105">
        <v>202057</v>
      </c>
      <c r="GV88" s="105">
        <v>197550</v>
      </c>
      <c r="GW88" s="105">
        <v>926370</v>
      </c>
      <c r="GX88" s="105">
        <v>0</v>
      </c>
      <c r="GY88" s="105">
        <v>2559621</v>
      </c>
      <c r="GZ88" s="105">
        <v>405343</v>
      </c>
      <c r="HA88" s="105">
        <v>307733</v>
      </c>
      <c r="HB88" s="105">
        <v>166904</v>
      </c>
      <c r="HC88" s="105">
        <v>280991</v>
      </c>
      <c r="HD88" s="105">
        <v>0</v>
      </c>
      <c r="HE88" s="105">
        <v>1160971</v>
      </c>
      <c r="HF88" s="105">
        <v>0</v>
      </c>
      <c r="HG88" s="105">
        <v>0</v>
      </c>
      <c r="HH88" s="105">
        <v>0</v>
      </c>
      <c r="HI88" s="105">
        <v>0</v>
      </c>
      <c r="HJ88" s="105">
        <v>2544530</v>
      </c>
      <c r="HK88" s="105">
        <v>2544530</v>
      </c>
      <c r="HL88" s="105">
        <v>74115</v>
      </c>
      <c r="HM88" s="105">
        <v>112315</v>
      </c>
      <c r="HN88" s="105">
        <v>6283</v>
      </c>
      <c r="HO88" s="105">
        <v>195587</v>
      </c>
      <c r="HP88" s="105">
        <v>0</v>
      </c>
      <c r="HQ88" s="105">
        <v>388300</v>
      </c>
      <c r="HR88" s="105">
        <v>547</v>
      </c>
      <c r="HS88" s="105">
        <v>0</v>
      </c>
      <c r="HT88" s="105">
        <v>0</v>
      </c>
      <c r="HU88" s="105">
        <v>16750</v>
      </c>
      <c r="HV88" s="105">
        <v>2229824</v>
      </c>
      <c r="HW88" s="105">
        <v>2247121</v>
      </c>
      <c r="HX88" s="105">
        <v>0</v>
      </c>
      <c r="HY88" s="105">
        <v>0</v>
      </c>
      <c r="HZ88" s="105">
        <v>0</v>
      </c>
      <c r="IA88" s="105">
        <v>0</v>
      </c>
      <c r="IB88" s="105">
        <v>104924</v>
      </c>
      <c r="IC88" s="105">
        <v>104924</v>
      </c>
      <c r="ID88" s="105">
        <v>0</v>
      </c>
      <c r="IE88" s="105">
        <v>0</v>
      </c>
      <c r="IF88" s="105">
        <v>0</v>
      </c>
      <c r="IG88" s="105">
        <v>0</v>
      </c>
      <c r="IH88" s="105">
        <v>1613057</v>
      </c>
      <c r="II88" s="105">
        <v>1613057</v>
      </c>
      <c r="IJ88" s="105">
        <v>0</v>
      </c>
      <c r="IK88" s="105">
        <v>0</v>
      </c>
      <c r="IL88" s="105">
        <v>0</v>
      </c>
      <c r="IM88" s="105">
        <v>0</v>
      </c>
      <c r="IN88" s="105">
        <v>1008898</v>
      </c>
      <c r="IO88" s="105">
        <v>1008898</v>
      </c>
      <c r="IP88" s="105">
        <v>0</v>
      </c>
      <c r="IQ88" s="105">
        <v>0</v>
      </c>
      <c r="IR88" s="105">
        <v>0</v>
      </c>
      <c r="IS88" s="105">
        <v>0</v>
      </c>
      <c r="IT88" s="105">
        <v>1527752</v>
      </c>
      <c r="IU88" s="105">
        <v>1527752</v>
      </c>
      <c r="IV88" s="105">
        <v>0</v>
      </c>
      <c r="IW88" s="105">
        <v>0</v>
      </c>
      <c r="IX88" s="105">
        <v>0</v>
      </c>
      <c r="IY88" s="105">
        <v>0</v>
      </c>
      <c r="IZ88" s="105">
        <v>3723318</v>
      </c>
      <c r="JA88" s="105">
        <v>3723318</v>
      </c>
      <c r="JB88" s="105">
        <v>12720020</v>
      </c>
      <c r="JC88" s="105">
        <v>3530702</v>
      </c>
      <c r="JD88" s="105">
        <v>2077779</v>
      </c>
      <c r="JE88" s="105">
        <v>9723756</v>
      </c>
      <c r="JF88" s="105">
        <v>19909998</v>
      </c>
      <c r="JG88" s="105">
        <v>47962255</v>
      </c>
      <c r="JH88" s="97">
        <v>0</v>
      </c>
      <c r="JI88" s="97">
        <v>0</v>
      </c>
      <c r="JJ88" s="97">
        <v>0</v>
      </c>
      <c r="JK88" s="97">
        <v>0</v>
      </c>
      <c r="JL88" s="97">
        <v>0</v>
      </c>
      <c r="JM88" s="97">
        <v>0</v>
      </c>
      <c r="JN88" s="105">
        <v>12720020</v>
      </c>
      <c r="JO88" s="105">
        <v>3530702</v>
      </c>
      <c r="JP88" s="105">
        <v>2077779</v>
      </c>
      <c r="JQ88" s="105">
        <v>9723756</v>
      </c>
      <c r="JR88" s="105">
        <v>19909998</v>
      </c>
      <c r="JS88" s="105">
        <v>47962255</v>
      </c>
      <c r="JU88" s="5">
        <f t="shared" si="157"/>
        <v>6547079</v>
      </c>
      <c r="JV88" s="29">
        <f t="shared" si="158"/>
        <v>0</v>
      </c>
      <c r="JW88" s="5">
        <f t="shared" si="159"/>
        <v>1123849</v>
      </c>
      <c r="JX88" s="29">
        <f t="shared" si="160"/>
        <v>0</v>
      </c>
      <c r="JY88" s="5">
        <f t="shared" si="161"/>
        <v>1417138</v>
      </c>
      <c r="JZ88" s="29">
        <f t="shared" si="162"/>
        <v>0</v>
      </c>
      <c r="KA88" s="5">
        <f t="shared" si="163"/>
        <v>7855037</v>
      </c>
      <c r="KB88" s="29">
        <f t="shared" si="164"/>
        <v>0</v>
      </c>
      <c r="KC88" s="5">
        <f t="shared" si="165"/>
        <v>0</v>
      </c>
      <c r="KD88" s="29">
        <f t="shared" si="166"/>
        <v>0</v>
      </c>
      <c r="KE88" s="5">
        <f t="shared" si="167"/>
        <v>0</v>
      </c>
      <c r="KF88" s="29">
        <f t="shared" si="168"/>
        <v>0</v>
      </c>
      <c r="KG88" s="5">
        <f t="shared" si="169"/>
        <v>6055321</v>
      </c>
      <c r="KH88" s="29">
        <f t="shared" si="170"/>
        <v>0</v>
      </c>
      <c r="KI88" s="5">
        <f t="shared" si="171"/>
        <v>1613057</v>
      </c>
      <c r="KJ88" s="29">
        <f t="shared" si="172"/>
        <v>0</v>
      </c>
      <c r="KK88" s="5">
        <f t="shared" si="173"/>
        <v>12832858</v>
      </c>
      <c r="KL88" s="29">
        <f t="shared" si="174"/>
        <v>0</v>
      </c>
      <c r="KM88" s="5">
        <f t="shared" si="175"/>
        <v>0</v>
      </c>
      <c r="KN88" s="29">
        <f t="shared" si="176"/>
        <v>0</v>
      </c>
      <c r="KO88" s="5">
        <f t="shared" si="177"/>
        <v>110162</v>
      </c>
      <c r="KP88" s="29">
        <f t="shared" si="178"/>
        <v>0</v>
      </c>
      <c r="KQ88" s="5">
        <f t="shared" si="179"/>
        <v>3935817</v>
      </c>
      <c r="KR88" s="29">
        <f t="shared" si="180"/>
        <v>0</v>
      </c>
      <c r="KS88" s="5">
        <f t="shared" si="181"/>
        <v>550161</v>
      </c>
      <c r="KT88" s="29">
        <f t="shared" si="182"/>
        <v>0</v>
      </c>
      <c r="KU88" s="5">
        <f t="shared" si="183"/>
        <v>464123</v>
      </c>
      <c r="KV88" s="29">
        <f t="shared" si="184"/>
        <v>0</v>
      </c>
      <c r="KW88" s="5">
        <f t="shared" si="185"/>
        <v>224946</v>
      </c>
      <c r="KX88" s="29">
        <f t="shared" si="186"/>
        <v>0</v>
      </c>
      <c r="KY88" s="5">
        <f t="shared" si="187"/>
        <v>42729548</v>
      </c>
      <c r="KZ88" s="29">
        <f t="shared" si="188"/>
        <v>0</v>
      </c>
      <c r="LA88" s="5">
        <f t="shared" si="230"/>
        <v>8135099</v>
      </c>
      <c r="LB88" s="29">
        <f t="shared" si="231"/>
        <v>0</v>
      </c>
      <c r="LC88" s="5">
        <f t="shared" si="232"/>
        <v>1752710</v>
      </c>
      <c r="LD88" s="29">
        <f t="shared" si="189"/>
        <v>0</v>
      </c>
      <c r="LE88" s="5">
        <f t="shared" si="190"/>
        <v>7803825</v>
      </c>
      <c r="LF88" s="29">
        <f t="shared" si="191"/>
        <v>0</v>
      </c>
      <c r="LG88" s="5">
        <f t="shared" si="192"/>
        <v>0</v>
      </c>
      <c r="LH88" s="29">
        <f t="shared" si="193"/>
        <v>0</v>
      </c>
      <c r="LI88" s="5">
        <f t="shared" si="194"/>
        <v>8246492</v>
      </c>
      <c r="LJ88" s="29">
        <f t="shared" si="195"/>
        <v>0</v>
      </c>
      <c r="LK88" s="5">
        <f t="shared" si="196"/>
        <v>0</v>
      </c>
      <c r="LL88" s="29">
        <f t="shared" si="197"/>
        <v>0</v>
      </c>
      <c r="LM88" s="5">
        <f t="shared" si="198"/>
        <v>1332383</v>
      </c>
      <c r="LN88" s="29">
        <f t="shared" si="199"/>
        <v>0</v>
      </c>
      <c r="LO88" s="5">
        <f t="shared" si="200"/>
        <v>729984</v>
      </c>
      <c r="LP88" s="29">
        <f t="shared" si="201"/>
        <v>0</v>
      </c>
      <c r="LQ88" s="5">
        <f t="shared" si="202"/>
        <v>3083270</v>
      </c>
      <c r="LR88" s="29">
        <f t="shared" si="203"/>
        <v>0</v>
      </c>
      <c r="LS88" s="5">
        <f t="shared" si="204"/>
        <v>2559621</v>
      </c>
      <c r="LT88" s="29">
        <f t="shared" si="205"/>
        <v>0</v>
      </c>
      <c r="LU88" s="5">
        <f t="shared" si="206"/>
        <v>1160971</v>
      </c>
      <c r="LV88" s="29">
        <f t="shared" si="207"/>
        <v>0</v>
      </c>
      <c r="LW88" s="5">
        <f t="shared" si="208"/>
        <v>2544530</v>
      </c>
      <c r="LX88" s="29">
        <f t="shared" si="209"/>
        <v>0</v>
      </c>
      <c r="LY88" s="5">
        <f t="shared" si="210"/>
        <v>388300</v>
      </c>
      <c r="LZ88" s="29">
        <f t="shared" si="211"/>
        <v>0</v>
      </c>
      <c r="MA88" s="5">
        <f t="shared" si="212"/>
        <v>2247121</v>
      </c>
      <c r="MB88" s="29">
        <f t="shared" si="213"/>
        <v>0</v>
      </c>
      <c r="MC88" s="5">
        <f t="shared" si="214"/>
        <v>104924</v>
      </c>
      <c r="MD88" s="29">
        <f t="shared" si="215"/>
        <v>0</v>
      </c>
      <c r="ME88" s="5">
        <f t="shared" si="216"/>
        <v>1613057</v>
      </c>
      <c r="MF88" s="29">
        <f t="shared" si="217"/>
        <v>0</v>
      </c>
      <c r="MG88" s="5">
        <f t="shared" si="218"/>
        <v>1008898</v>
      </c>
      <c r="MH88" s="29">
        <f t="shared" si="219"/>
        <v>0</v>
      </c>
      <c r="MI88" s="5">
        <f t="shared" si="220"/>
        <v>1527752</v>
      </c>
      <c r="MJ88" s="29">
        <f t="shared" si="221"/>
        <v>0</v>
      </c>
      <c r="MK88" s="5">
        <f t="shared" si="222"/>
        <v>3723318</v>
      </c>
      <c r="ML88" s="29">
        <f t="shared" si="223"/>
        <v>0</v>
      </c>
      <c r="MM88" s="5">
        <f t="shared" si="224"/>
        <v>47962255</v>
      </c>
      <c r="MN88" s="29">
        <f t="shared" si="225"/>
        <v>0</v>
      </c>
      <c r="MO88" s="5">
        <f t="shared" si="226"/>
        <v>0</v>
      </c>
      <c r="MP88" s="29">
        <f t="shared" si="227"/>
        <v>0</v>
      </c>
      <c r="MQ88" s="5">
        <f t="shared" si="228"/>
        <v>47962255</v>
      </c>
      <c r="MR88" s="29">
        <f t="shared" si="229"/>
        <v>0</v>
      </c>
      <c r="MT88" s="5">
        <f t="shared" si="156"/>
        <v>0</v>
      </c>
      <c r="MV88" s="4">
        <f t="shared" si="155"/>
        <v>0</v>
      </c>
    </row>
    <row r="89" spans="1:360" x14ac:dyDescent="0.15">
      <c r="A89" s="155" t="s">
        <v>303</v>
      </c>
      <c r="B89" s="25" t="s">
        <v>463</v>
      </c>
      <c r="C89" s="48">
        <v>157951</v>
      </c>
      <c r="D89" s="48">
        <v>2012</v>
      </c>
      <c r="E89" s="49">
        <v>1</v>
      </c>
      <c r="F89" s="49">
        <v>11</v>
      </c>
      <c r="G89" s="50">
        <v>5989</v>
      </c>
      <c r="H89" s="50">
        <v>7804</v>
      </c>
      <c r="I89" s="51">
        <v>310309723</v>
      </c>
      <c r="J89" s="51"/>
      <c r="K89" s="51">
        <v>4976630</v>
      </c>
      <c r="L89" s="51"/>
      <c r="M89" s="51">
        <v>14617518</v>
      </c>
      <c r="N89" s="51"/>
      <c r="O89" s="51">
        <v>58365500</v>
      </c>
      <c r="P89" s="51"/>
      <c r="Q89" s="51">
        <v>177176465</v>
      </c>
      <c r="R89" s="51"/>
      <c r="S89" s="51">
        <v>267709147</v>
      </c>
      <c r="T89" s="51"/>
      <c r="U89" s="51">
        <v>15034</v>
      </c>
      <c r="V89" s="51"/>
      <c r="W89" s="51">
        <v>26966</v>
      </c>
      <c r="X89" s="51"/>
      <c r="Y89" s="51">
        <v>18489</v>
      </c>
      <c r="Z89" s="51"/>
      <c r="AA89" s="51">
        <v>30421</v>
      </c>
      <c r="AB89" s="51"/>
      <c r="AC89" s="74">
        <v>9</v>
      </c>
      <c r="AD89" s="74">
        <v>10</v>
      </c>
      <c r="AE89" s="74">
        <v>0</v>
      </c>
      <c r="AF89" s="29">
        <v>3451834</v>
      </c>
      <c r="AG89" s="29">
        <v>2100882</v>
      </c>
      <c r="AH89" s="29">
        <v>341965</v>
      </c>
      <c r="AI89" s="29">
        <v>154084</v>
      </c>
      <c r="AJ89" s="29">
        <v>174293.86</v>
      </c>
      <c r="AK89" s="73">
        <v>7</v>
      </c>
      <c r="AL89" s="29">
        <v>174293.86</v>
      </c>
      <c r="AM89" s="73">
        <v>7</v>
      </c>
      <c r="AN89" s="29">
        <v>81652</v>
      </c>
      <c r="AO89" s="73">
        <v>8</v>
      </c>
      <c r="AP89" s="29">
        <v>81652</v>
      </c>
      <c r="AQ89" s="73">
        <v>8</v>
      </c>
      <c r="AR89" s="29">
        <v>79051.95</v>
      </c>
      <c r="AS89" s="73">
        <v>20</v>
      </c>
      <c r="AT89" s="29">
        <v>75287.570000000007</v>
      </c>
      <c r="AU89" s="73">
        <v>21</v>
      </c>
      <c r="AV89" s="29">
        <v>49319.77</v>
      </c>
      <c r="AW89" s="73">
        <v>13</v>
      </c>
      <c r="AX89" s="29">
        <v>45796.93</v>
      </c>
      <c r="AY89" s="73">
        <v>14</v>
      </c>
      <c r="AZ89" s="97">
        <v>588541</v>
      </c>
      <c r="BA89" s="97">
        <v>734476</v>
      </c>
      <c r="BB89" s="97">
        <v>110091</v>
      </c>
      <c r="BC89" s="97">
        <v>33768</v>
      </c>
      <c r="BD89" s="97">
        <v>150418</v>
      </c>
      <c r="BE89" s="97">
        <v>1617294</v>
      </c>
      <c r="BF89" s="97">
        <v>1462482</v>
      </c>
      <c r="BG89" s="97">
        <v>490271</v>
      </c>
      <c r="BH89" s="97">
        <v>411424</v>
      </c>
      <c r="BI89" s="97">
        <v>1553177</v>
      </c>
      <c r="BJ89" s="97">
        <v>2503737</v>
      </c>
      <c r="BK89" s="97">
        <v>6421091</v>
      </c>
      <c r="BL89" s="97">
        <v>1493324</v>
      </c>
      <c r="BM89" s="97">
        <v>100000</v>
      </c>
      <c r="BN89" s="97">
        <v>0</v>
      </c>
      <c r="BO89" s="97">
        <v>0</v>
      </c>
      <c r="BP89" s="97">
        <v>0</v>
      </c>
      <c r="BQ89" s="97">
        <v>1593324</v>
      </c>
      <c r="BR89" s="97">
        <v>192619</v>
      </c>
      <c r="BS89" s="97">
        <v>440065</v>
      </c>
      <c r="BT89" s="97">
        <v>8595</v>
      </c>
      <c r="BU89" s="97">
        <v>275122</v>
      </c>
      <c r="BV89" s="97">
        <v>1132957</v>
      </c>
      <c r="BW89" s="97">
        <v>2049358</v>
      </c>
      <c r="BX89" s="97">
        <v>24012</v>
      </c>
      <c r="BY89" s="97">
        <v>24292</v>
      </c>
      <c r="BZ89" s="97">
        <v>9127</v>
      </c>
      <c r="CA89" s="97">
        <v>17923</v>
      </c>
      <c r="CB89" s="97">
        <v>11511</v>
      </c>
      <c r="CC89" s="97">
        <v>86865</v>
      </c>
      <c r="CD89" s="97">
        <v>0</v>
      </c>
      <c r="CE89" s="97">
        <v>0</v>
      </c>
      <c r="CF89" s="97">
        <v>0</v>
      </c>
      <c r="CG89" s="97">
        <v>0</v>
      </c>
      <c r="CH89" s="97">
        <v>0</v>
      </c>
      <c r="CI89" s="97">
        <v>0</v>
      </c>
      <c r="CJ89" s="97">
        <v>1955269</v>
      </c>
      <c r="CK89" s="97">
        <v>866323</v>
      </c>
      <c r="CL89" s="97">
        <v>938805</v>
      </c>
      <c r="CM89" s="97">
        <v>3859952</v>
      </c>
      <c r="CN89" s="97">
        <v>2267678</v>
      </c>
      <c r="CO89" s="97">
        <v>9888027</v>
      </c>
      <c r="CP89" s="97">
        <v>0</v>
      </c>
      <c r="CQ89" s="97">
        <v>0</v>
      </c>
      <c r="CR89" s="97">
        <v>0</v>
      </c>
      <c r="CS89" s="97">
        <v>0</v>
      </c>
      <c r="CT89" s="97">
        <v>1386514</v>
      </c>
      <c r="CU89" s="97">
        <v>1386514</v>
      </c>
      <c r="CV89" s="97">
        <v>0</v>
      </c>
      <c r="CW89" s="97">
        <v>0</v>
      </c>
      <c r="CX89" s="97">
        <v>0</v>
      </c>
      <c r="CY89" s="97">
        <v>0</v>
      </c>
      <c r="CZ89" s="97">
        <v>1090702</v>
      </c>
      <c r="DA89" s="97">
        <v>1090702</v>
      </c>
      <c r="DB89" s="97">
        <v>0</v>
      </c>
      <c r="DC89" s="97">
        <v>0</v>
      </c>
      <c r="DD89" s="97">
        <v>0</v>
      </c>
      <c r="DE89" s="97">
        <v>0</v>
      </c>
      <c r="DF89" s="97">
        <v>0</v>
      </c>
      <c r="DG89" s="97">
        <v>0</v>
      </c>
      <c r="DH89" s="97">
        <v>0</v>
      </c>
      <c r="DI89" s="97">
        <v>0</v>
      </c>
      <c r="DJ89" s="97">
        <v>0</v>
      </c>
      <c r="DK89" s="97">
        <v>0</v>
      </c>
      <c r="DL89" s="97">
        <v>210613</v>
      </c>
      <c r="DM89" s="97">
        <v>210613</v>
      </c>
      <c r="DN89" s="97">
        <v>0</v>
      </c>
      <c r="DO89" s="97">
        <v>0</v>
      </c>
      <c r="DP89" s="97">
        <v>0</v>
      </c>
      <c r="DQ89" s="97">
        <v>0</v>
      </c>
      <c r="DR89" s="97">
        <v>745343</v>
      </c>
      <c r="DS89" s="97">
        <v>745343</v>
      </c>
      <c r="DT89" s="97">
        <v>69981</v>
      </c>
      <c r="DU89" s="97">
        <v>65623</v>
      </c>
      <c r="DV89" s="97">
        <v>7458</v>
      </c>
      <c r="DW89" s="97">
        <v>274425</v>
      </c>
      <c r="DX89" s="97">
        <v>0</v>
      </c>
      <c r="DY89" s="97">
        <v>417487</v>
      </c>
      <c r="DZ89" s="97">
        <v>66104</v>
      </c>
      <c r="EA89" s="97">
        <v>-12628</v>
      </c>
      <c r="EB89" s="97">
        <v>0</v>
      </c>
      <c r="EC89" s="97">
        <v>0</v>
      </c>
      <c r="ED89" s="97">
        <v>0</v>
      </c>
      <c r="EE89" s="97">
        <v>53476</v>
      </c>
      <c r="EF89" s="97">
        <v>31057</v>
      </c>
      <c r="EG89" s="97">
        <v>0</v>
      </c>
      <c r="EH89" s="97">
        <v>0</v>
      </c>
      <c r="EI89" s="97">
        <v>0</v>
      </c>
      <c r="EJ89" s="97">
        <v>179111</v>
      </c>
      <c r="EK89" s="97">
        <v>210168</v>
      </c>
      <c r="EL89" s="97">
        <v>5883389</v>
      </c>
      <c r="EM89" s="97">
        <v>2708422</v>
      </c>
      <c r="EN89" s="97">
        <v>1485500</v>
      </c>
      <c r="EO89" s="97">
        <v>6014367</v>
      </c>
      <c r="EP89" s="97">
        <v>9678584</v>
      </c>
      <c r="EQ89" s="97">
        <v>25770262</v>
      </c>
      <c r="ER89" s="97">
        <v>2086797</v>
      </c>
      <c r="ES89" s="97">
        <v>359458</v>
      </c>
      <c r="ET89" s="97">
        <v>370975</v>
      </c>
      <c r="EU89" s="97">
        <v>2735486</v>
      </c>
      <c r="EV89" s="97">
        <v>280604</v>
      </c>
      <c r="EW89" s="97">
        <v>5833320</v>
      </c>
      <c r="EX89" s="97">
        <v>575693</v>
      </c>
      <c r="EY89" s="97">
        <v>169251</v>
      </c>
      <c r="EZ89" s="97">
        <v>18629</v>
      </c>
      <c r="FA89" s="97">
        <v>20307</v>
      </c>
      <c r="FB89" s="97">
        <v>0</v>
      </c>
      <c r="FC89" s="97">
        <v>783880</v>
      </c>
      <c r="FD89" s="97">
        <v>1366592</v>
      </c>
      <c r="FE89" s="97">
        <v>803026</v>
      </c>
      <c r="FF89" s="97">
        <v>505719</v>
      </c>
      <c r="FG89" s="97">
        <v>1420136</v>
      </c>
      <c r="FH89" s="97">
        <v>0</v>
      </c>
      <c r="FI89" s="97">
        <v>4095473</v>
      </c>
      <c r="FJ89" s="97">
        <v>24012</v>
      </c>
      <c r="FK89" s="97">
        <v>24292</v>
      </c>
      <c r="FL89" s="97">
        <v>9127</v>
      </c>
      <c r="FM89" s="97">
        <v>17923</v>
      </c>
      <c r="FN89" s="97">
        <v>0</v>
      </c>
      <c r="FO89" s="97">
        <v>75354</v>
      </c>
      <c r="FP89" s="97">
        <v>451373</v>
      </c>
      <c r="FQ89" s="97">
        <v>187108</v>
      </c>
      <c r="FR89" s="97">
        <v>128240</v>
      </c>
      <c r="FS89" s="97">
        <v>24777</v>
      </c>
      <c r="FT89" s="97">
        <v>2636789</v>
      </c>
      <c r="FU89" s="97">
        <v>3428287</v>
      </c>
      <c r="FV89" s="97">
        <v>0</v>
      </c>
      <c r="FW89" s="97">
        <v>0</v>
      </c>
      <c r="FX89" s="97">
        <v>0</v>
      </c>
      <c r="FY89" s="97">
        <v>0</v>
      </c>
      <c r="FZ89" s="97">
        <v>11511</v>
      </c>
      <c r="GA89" s="97">
        <v>11511</v>
      </c>
      <c r="GB89" s="97">
        <v>0</v>
      </c>
      <c r="GC89" s="97">
        <v>260861</v>
      </c>
      <c r="GD89" s="97">
        <v>38272</v>
      </c>
      <c r="GE89" s="97">
        <v>0</v>
      </c>
      <c r="GF89" s="97">
        <v>0</v>
      </c>
      <c r="GG89" s="97">
        <v>299133</v>
      </c>
      <c r="GH89" s="97">
        <v>135156</v>
      </c>
      <c r="GI89" s="97">
        <v>129976</v>
      </c>
      <c r="GJ89" s="97">
        <v>71524</v>
      </c>
      <c r="GK89" s="97">
        <v>159393</v>
      </c>
      <c r="GL89" s="97">
        <v>0</v>
      </c>
      <c r="GM89" s="97">
        <v>496049</v>
      </c>
      <c r="GN89" s="97">
        <v>596239</v>
      </c>
      <c r="GO89" s="97">
        <v>301485</v>
      </c>
      <c r="GP89" s="97">
        <v>196061</v>
      </c>
      <c r="GQ89" s="97">
        <v>638004</v>
      </c>
      <c r="GR89" s="97">
        <v>453605</v>
      </c>
      <c r="GS89" s="97">
        <v>2185394</v>
      </c>
      <c r="GT89" s="97">
        <v>121719</v>
      </c>
      <c r="GU89" s="97">
        <v>54748</v>
      </c>
      <c r="GV89" s="97">
        <v>17598</v>
      </c>
      <c r="GW89" s="97">
        <v>275485</v>
      </c>
      <c r="GX89" s="97">
        <v>0</v>
      </c>
      <c r="GY89" s="97">
        <v>469550</v>
      </c>
      <c r="GZ89" s="97">
        <v>75594</v>
      </c>
      <c r="HA89" s="97">
        <v>76647</v>
      </c>
      <c r="HB89" s="97">
        <v>51387</v>
      </c>
      <c r="HC89" s="97">
        <v>78625</v>
      </c>
      <c r="HD89" s="97">
        <v>573162</v>
      </c>
      <c r="HE89" s="97">
        <v>855415</v>
      </c>
      <c r="HF89" s="97">
        <v>21650</v>
      </c>
      <c r="HG89" s="97">
        <v>28361</v>
      </c>
      <c r="HH89" s="97">
        <v>1172</v>
      </c>
      <c r="HI89" s="97">
        <v>13560</v>
      </c>
      <c r="HJ89" s="97">
        <v>23937</v>
      </c>
      <c r="HK89" s="97">
        <v>88680</v>
      </c>
      <c r="HL89" s="97">
        <v>45214</v>
      </c>
      <c r="HM89" s="97">
        <v>46342</v>
      </c>
      <c r="HN89" s="97">
        <v>7839</v>
      </c>
      <c r="HO89" s="97">
        <v>197442</v>
      </c>
      <c r="HP89" s="97">
        <v>0</v>
      </c>
      <c r="HQ89" s="97">
        <v>296837</v>
      </c>
      <c r="HR89" s="97">
        <v>9554</v>
      </c>
      <c r="HS89" s="97">
        <v>255</v>
      </c>
      <c r="HT89" s="97">
        <v>915</v>
      </c>
      <c r="HU89" s="97">
        <v>32689</v>
      </c>
      <c r="HV89" s="97">
        <v>2903439</v>
      </c>
      <c r="HW89" s="97">
        <v>2946852</v>
      </c>
      <c r="HX89" s="97">
        <v>0</v>
      </c>
      <c r="HY89" s="97">
        <v>0</v>
      </c>
      <c r="HZ89" s="97">
        <v>0</v>
      </c>
      <c r="IA89" s="97">
        <v>0</v>
      </c>
      <c r="IB89" s="97">
        <v>95789</v>
      </c>
      <c r="IC89" s="97">
        <v>95789</v>
      </c>
      <c r="ID89" s="97">
        <v>0</v>
      </c>
      <c r="IE89" s="97">
        <v>0</v>
      </c>
      <c r="IF89" s="97">
        <v>0</v>
      </c>
      <c r="IG89" s="97">
        <v>0</v>
      </c>
      <c r="IH89" s="97">
        <v>1386514</v>
      </c>
      <c r="II89" s="97">
        <v>1386514</v>
      </c>
      <c r="IJ89" s="97">
        <v>0</v>
      </c>
      <c r="IK89" s="97">
        <v>2695</v>
      </c>
      <c r="IL89" s="97">
        <v>0</v>
      </c>
      <c r="IM89" s="97">
        <v>335</v>
      </c>
      <c r="IN89" s="97">
        <v>105715</v>
      </c>
      <c r="IO89" s="97">
        <v>108745</v>
      </c>
      <c r="IP89" s="97">
        <v>0</v>
      </c>
      <c r="IQ89" s="97">
        <v>2695</v>
      </c>
      <c r="IR89" s="97">
        <v>0</v>
      </c>
      <c r="IS89" s="97">
        <v>335</v>
      </c>
      <c r="IT89" s="97">
        <v>105715</v>
      </c>
      <c r="IU89" s="97">
        <v>108745</v>
      </c>
      <c r="IV89" s="97">
        <v>373796</v>
      </c>
      <c r="IW89" s="97">
        <v>262354</v>
      </c>
      <c r="IX89" s="97">
        <v>68042</v>
      </c>
      <c r="IY89" s="97">
        <v>400010</v>
      </c>
      <c r="IZ89" s="97">
        <v>608092</v>
      </c>
      <c r="JA89" s="97">
        <v>1712294</v>
      </c>
      <c r="JB89" s="97">
        <v>5883389</v>
      </c>
      <c r="JC89" s="97">
        <v>2708422</v>
      </c>
      <c r="JD89" s="97">
        <v>1485500</v>
      </c>
      <c r="JE89" s="97">
        <v>6014367</v>
      </c>
      <c r="JF89" s="97">
        <v>9678584</v>
      </c>
      <c r="JG89" s="97">
        <v>25770262</v>
      </c>
      <c r="JH89" s="97">
        <v>0</v>
      </c>
      <c r="JI89" s="97">
        <v>0</v>
      </c>
      <c r="JJ89" s="97">
        <v>0</v>
      </c>
      <c r="JK89" s="97">
        <v>0</v>
      </c>
      <c r="JL89" s="97">
        <v>0</v>
      </c>
      <c r="JM89" s="97">
        <v>0</v>
      </c>
      <c r="JN89" s="97">
        <v>5883389</v>
      </c>
      <c r="JO89" s="97">
        <v>2708422</v>
      </c>
      <c r="JP89" s="97">
        <v>1485500</v>
      </c>
      <c r="JQ89" s="97">
        <v>6014367</v>
      </c>
      <c r="JR89" s="97">
        <v>9678584</v>
      </c>
      <c r="JS89" s="97">
        <v>25770262</v>
      </c>
      <c r="JU89" s="5">
        <f t="shared" si="157"/>
        <v>1617294</v>
      </c>
      <c r="JV89" s="29">
        <f t="shared" si="158"/>
        <v>0</v>
      </c>
      <c r="JW89" s="5">
        <f t="shared" si="159"/>
        <v>6421091</v>
      </c>
      <c r="JX89" s="29">
        <f t="shared" si="160"/>
        <v>0</v>
      </c>
      <c r="JY89" s="5">
        <f t="shared" si="161"/>
        <v>1593324</v>
      </c>
      <c r="JZ89" s="29">
        <f t="shared" si="162"/>
        <v>0</v>
      </c>
      <c r="KA89" s="5">
        <f t="shared" si="163"/>
        <v>2049358</v>
      </c>
      <c r="KB89" s="29">
        <f t="shared" si="164"/>
        <v>0</v>
      </c>
      <c r="KC89" s="5">
        <f t="shared" si="165"/>
        <v>86865</v>
      </c>
      <c r="KD89" s="29">
        <f t="shared" si="166"/>
        <v>0</v>
      </c>
      <c r="KE89" s="5">
        <f t="shared" si="167"/>
        <v>0</v>
      </c>
      <c r="KF89" s="29">
        <f t="shared" si="168"/>
        <v>0</v>
      </c>
      <c r="KG89" s="5">
        <f t="shared" si="169"/>
        <v>9888027</v>
      </c>
      <c r="KH89" s="29">
        <f t="shared" si="170"/>
        <v>0</v>
      </c>
      <c r="KI89" s="5">
        <f t="shared" si="171"/>
        <v>1386514</v>
      </c>
      <c r="KJ89" s="29">
        <f t="shared" si="172"/>
        <v>0</v>
      </c>
      <c r="KK89" s="5">
        <f t="shared" si="173"/>
        <v>1090702</v>
      </c>
      <c r="KL89" s="29">
        <f t="shared" si="174"/>
        <v>0</v>
      </c>
      <c r="KM89" s="5">
        <f t="shared" si="175"/>
        <v>0</v>
      </c>
      <c r="KN89" s="29">
        <f t="shared" si="176"/>
        <v>0</v>
      </c>
      <c r="KO89" s="5">
        <f t="shared" si="177"/>
        <v>210613</v>
      </c>
      <c r="KP89" s="29">
        <f t="shared" si="178"/>
        <v>0</v>
      </c>
      <c r="KQ89" s="5">
        <f t="shared" si="179"/>
        <v>745343</v>
      </c>
      <c r="KR89" s="29">
        <f t="shared" si="180"/>
        <v>0</v>
      </c>
      <c r="KS89" s="5">
        <f t="shared" si="181"/>
        <v>417487</v>
      </c>
      <c r="KT89" s="29">
        <f t="shared" si="182"/>
        <v>0</v>
      </c>
      <c r="KU89" s="5">
        <f t="shared" si="183"/>
        <v>53476</v>
      </c>
      <c r="KV89" s="29">
        <f t="shared" si="184"/>
        <v>0</v>
      </c>
      <c r="KW89" s="5">
        <f t="shared" si="185"/>
        <v>210168</v>
      </c>
      <c r="KX89" s="29">
        <f t="shared" si="186"/>
        <v>0</v>
      </c>
      <c r="KY89" s="5">
        <f t="shared" si="187"/>
        <v>25770262</v>
      </c>
      <c r="KZ89" s="29">
        <f t="shared" si="188"/>
        <v>0</v>
      </c>
      <c r="LA89" s="5">
        <f t="shared" si="230"/>
        <v>5833320</v>
      </c>
      <c r="LB89" s="29">
        <f t="shared" si="231"/>
        <v>0</v>
      </c>
      <c r="LC89" s="5">
        <f t="shared" si="232"/>
        <v>783880</v>
      </c>
      <c r="LD89" s="29">
        <f t="shared" si="189"/>
        <v>0</v>
      </c>
      <c r="LE89" s="5">
        <f t="shared" si="190"/>
        <v>4095473</v>
      </c>
      <c r="LF89" s="29">
        <f t="shared" si="191"/>
        <v>0</v>
      </c>
      <c r="LG89" s="5">
        <f t="shared" si="192"/>
        <v>75354</v>
      </c>
      <c r="LH89" s="29">
        <f t="shared" si="193"/>
        <v>0</v>
      </c>
      <c r="LI89" s="5">
        <f t="shared" si="194"/>
        <v>3428287</v>
      </c>
      <c r="LJ89" s="29">
        <f t="shared" si="195"/>
        <v>0</v>
      </c>
      <c r="LK89" s="5">
        <f t="shared" si="196"/>
        <v>11511</v>
      </c>
      <c r="LL89" s="29">
        <f t="shared" si="197"/>
        <v>0</v>
      </c>
      <c r="LM89" s="5">
        <f t="shared" si="198"/>
        <v>299133</v>
      </c>
      <c r="LN89" s="29">
        <f t="shared" si="199"/>
        <v>0</v>
      </c>
      <c r="LO89" s="5">
        <f t="shared" si="200"/>
        <v>496049</v>
      </c>
      <c r="LP89" s="29">
        <f t="shared" si="201"/>
        <v>0</v>
      </c>
      <c r="LQ89" s="5">
        <f t="shared" si="202"/>
        <v>2185394</v>
      </c>
      <c r="LR89" s="29">
        <f t="shared" si="203"/>
        <v>0</v>
      </c>
      <c r="LS89" s="5">
        <f t="shared" si="204"/>
        <v>469550</v>
      </c>
      <c r="LT89" s="29">
        <f t="shared" si="205"/>
        <v>0</v>
      </c>
      <c r="LU89" s="5">
        <f t="shared" si="206"/>
        <v>855415</v>
      </c>
      <c r="LV89" s="29">
        <f t="shared" si="207"/>
        <v>0</v>
      </c>
      <c r="LW89" s="5">
        <f t="shared" si="208"/>
        <v>88680</v>
      </c>
      <c r="LX89" s="29">
        <f t="shared" si="209"/>
        <v>0</v>
      </c>
      <c r="LY89" s="5">
        <f t="shared" si="210"/>
        <v>296837</v>
      </c>
      <c r="LZ89" s="29">
        <f t="shared" si="211"/>
        <v>0</v>
      </c>
      <c r="MA89" s="5">
        <f t="shared" si="212"/>
        <v>2946852</v>
      </c>
      <c r="MB89" s="29">
        <f t="shared" si="213"/>
        <v>0</v>
      </c>
      <c r="MC89" s="5">
        <f t="shared" si="214"/>
        <v>95789</v>
      </c>
      <c r="MD89" s="29">
        <f t="shared" si="215"/>
        <v>0</v>
      </c>
      <c r="ME89" s="5">
        <f t="shared" si="216"/>
        <v>1386514</v>
      </c>
      <c r="MF89" s="29">
        <f t="shared" si="217"/>
        <v>0</v>
      </c>
      <c r="MG89" s="5">
        <f t="shared" si="218"/>
        <v>108745</v>
      </c>
      <c r="MH89" s="29">
        <f t="shared" si="219"/>
        <v>0</v>
      </c>
      <c r="MI89" s="5">
        <f t="shared" si="220"/>
        <v>108745</v>
      </c>
      <c r="MJ89" s="29">
        <f t="shared" si="221"/>
        <v>0</v>
      </c>
      <c r="MK89" s="5">
        <f>SUM(IV89:IZ89)</f>
        <v>1712294</v>
      </c>
      <c r="ML89" s="29">
        <f>JA89-MK89</f>
        <v>0</v>
      </c>
      <c r="MM89" s="5">
        <f t="shared" si="224"/>
        <v>25770262</v>
      </c>
      <c r="MN89" s="29">
        <f t="shared" si="225"/>
        <v>0</v>
      </c>
      <c r="MO89" s="5">
        <f t="shared" si="226"/>
        <v>0</v>
      </c>
      <c r="MP89" s="29">
        <f t="shared" si="227"/>
        <v>0</v>
      </c>
      <c r="MQ89" s="5">
        <f t="shared" si="228"/>
        <v>25770262</v>
      </c>
      <c r="MR89" s="29">
        <f t="shared" si="229"/>
        <v>0</v>
      </c>
      <c r="MT89" s="5">
        <f t="shared" si="156"/>
        <v>0</v>
      </c>
      <c r="MV89" s="4">
        <f t="shared" si="155"/>
        <v>0</v>
      </c>
    </row>
    <row r="90" spans="1:360" x14ac:dyDescent="0.15">
      <c r="A90" s="157" t="s">
        <v>305</v>
      </c>
      <c r="B90" s="28" t="s">
        <v>458</v>
      </c>
      <c r="C90" s="48">
        <v>230764</v>
      </c>
      <c r="D90" s="48">
        <v>2012</v>
      </c>
      <c r="E90" s="49">
        <v>1</v>
      </c>
      <c r="F90" s="49">
        <v>9</v>
      </c>
      <c r="G90" s="50">
        <v>8544</v>
      </c>
      <c r="H90" s="50">
        <v>8406</v>
      </c>
      <c r="I90" s="51">
        <v>522380005</v>
      </c>
      <c r="J90" s="51"/>
      <c r="K90" s="51">
        <v>3000000</v>
      </c>
      <c r="L90" s="51"/>
      <c r="M90" s="51">
        <v>26000000</v>
      </c>
      <c r="N90" s="51"/>
      <c r="O90" s="51">
        <v>31000000</v>
      </c>
      <c r="P90" s="51"/>
      <c r="Q90" s="51">
        <v>302000000</v>
      </c>
      <c r="R90" s="51"/>
      <c r="S90" s="51">
        <v>337182885</v>
      </c>
      <c r="T90" s="51"/>
      <c r="U90" s="51">
        <v>18255</v>
      </c>
      <c r="V90" s="51"/>
      <c r="W90" s="51">
        <v>30987</v>
      </c>
      <c r="X90" s="51"/>
      <c r="Y90" s="51">
        <v>22555</v>
      </c>
      <c r="Z90" s="51"/>
      <c r="AA90" s="51">
        <v>35287</v>
      </c>
      <c r="AB90" s="51"/>
      <c r="AC90" s="72">
        <v>6</v>
      </c>
      <c r="AD90" s="72">
        <v>10</v>
      </c>
      <c r="AE90" s="72">
        <v>0</v>
      </c>
      <c r="AF90" s="29">
        <v>4064836</v>
      </c>
      <c r="AG90" s="29">
        <v>2641283</v>
      </c>
      <c r="AH90" s="29">
        <v>230305</v>
      </c>
      <c r="AI90" s="29">
        <v>60672</v>
      </c>
      <c r="AJ90" s="29">
        <v>285188.5</v>
      </c>
      <c r="AK90" s="73">
        <v>6</v>
      </c>
      <c r="AL90" s="29">
        <v>285188.5</v>
      </c>
      <c r="AM90" s="73">
        <v>6</v>
      </c>
      <c r="AN90" s="29">
        <v>117025.38</v>
      </c>
      <c r="AO90" s="73">
        <v>8</v>
      </c>
      <c r="AP90" s="29">
        <v>117025.38</v>
      </c>
      <c r="AQ90" s="73">
        <v>8</v>
      </c>
      <c r="AR90" s="29">
        <v>121964.03</v>
      </c>
      <c r="AS90" s="73">
        <v>16.57</v>
      </c>
      <c r="AT90" s="29">
        <v>106365.47</v>
      </c>
      <c r="AU90" s="73">
        <v>19</v>
      </c>
      <c r="AV90" s="29">
        <v>63087.27</v>
      </c>
      <c r="AW90" s="73">
        <v>11</v>
      </c>
      <c r="AX90" s="29">
        <v>57830</v>
      </c>
      <c r="AY90" s="73">
        <v>12</v>
      </c>
      <c r="AZ90" s="141">
        <v>852478</v>
      </c>
      <c r="BA90" s="141">
        <v>190285</v>
      </c>
      <c r="BB90" s="141">
        <v>10803</v>
      </c>
      <c r="BC90" s="97">
        <f>1285011+23364-AZ90-BA90-BB90</f>
        <v>254809</v>
      </c>
      <c r="BD90" s="141">
        <v>297650</v>
      </c>
      <c r="BE90" s="141">
        <v>1606025</v>
      </c>
      <c r="BF90" s="97">
        <v>0</v>
      </c>
      <c r="BG90" s="97">
        <v>0</v>
      </c>
      <c r="BH90" s="97">
        <v>0</v>
      </c>
      <c r="BI90" s="97">
        <v>0</v>
      </c>
      <c r="BJ90" s="97">
        <v>0</v>
      </c>
      <c r="BK90" s="97">
        <v>0</v>
      </c>
      <c r="BL90" s="141">
        <v>1253930</v>
      </c>
      <c r="BM90" s="141">
        <v>195000</v>
      </c>
      <c r="BN90" s="97">
        <v>0</v>
      </c>
      <c r="BO90" s="97">
        <f>1502623+2500-BL90-BM90-BN90</f>
        <v>56193</v>
      </c>
      <c r="BP90" s="141">
        <v>310000</v>
      </c>
      <c r="BQ90" s="141">
        <v>1815123</v>
      </c>
      <c r="BR90" s="141">
        <v>72514</v>
      </c>
      <c r="BS90" s="141">
        <v>18388</v>
      </c>
      <c r="BT90" s="141">
        <v>6151</v>
      </c>
      <c r="BU90" s="97">
        <f>154404+47717-BR90-BS90-BT90</f>
        <v>105068</v>
      </c>
      <c r="BV90" s="141">
        <v>565138</v>
      </c>
      <c r="BW90" s="141">
        <v>767259</v>
      </c>
      <c r="BX90" s="97">
        <v>0</v>
      </c>
      <c r="BY90" s="97">
        <v>0</v>
      </c>
      <c r="BZ90" s="97">
        <v>0</v>
      </c>
      <c r="CA90" s="97">
        <v>0</v>
      </c>
      <c r="CB90" s="97">
        <v>0</v>
      </c>
      <c r="CC90" s="97">
        <v>0</v>
      </c>
      <c r="CD90" s="97">
        <v>0</v>
      </c>
      <c r="CE90" s="97">
        <v>0</v>
      </c>
      <c r="CF90" s="97">
        <v>0</v>
      </c>
      <c r="CG90" s="97">
        <v>0</v>
      </c>
      <c r="CH90" s="97">
        <v>0</v>
      </c>
      <c r="CI90" s="97">
        <v>0</v>
      </c>
      <c r="CJ90" s="141">
        <v>4700</v>
      </c>
      <c r="CK90" s="97">
        <v>0</v>
      </c>
      <c r="CL90" s="97">
        <v>0</v>
      </c>
      <c r="CM90" s="97">
        <f>4700+0-CJ90-CK90-CL90</f>
        <v>0</v>
      </c>
      <c r="CN90" s="141">
        <v>16680517</v>
      </c>
      <c r="CO90" s="141">
        <v>16685217</v>
      </c>
      <c r="CP90" s="97">
        <v>0</v>
      </c>
      <c r="CQ90" s="97">
        <v>0</v>
      </c>
      <c r="CR90" s="97">
        <v>0</v>
      </c>
      <c r="CS90" s="97">
        <v>0</v>
      </c>
      <c r="CT90" s="141">
        <v>3117616</v>
      </c>
      <c r="CU90" s="141">
        <v>3117616</v>
      </c>
      <c r="CV90" s="97">
        <v>0</v>
      </c>
      <c r="CW90" s="97">
        <v>0</v>
      </c>
      <c r="CX90" s="97">
        <v>0</v>
      </c>
      <c r="CY90" s="97">
        <f>8000+19503-CV90-CW90-CX90</f>
        <v>27503</v>
      </c>
      <c r="CZ90" s="141">
        <v>1503844</v>
      </c>
      <c r="DA90" s="141">
        <v>1531347</v>
      </c>
      <c r="DB90" s="97">
        <v>0</v>
      </c>
      <c r="DC90" s="97">
        <v>0</v>
      </c>
      <c r="DD90" s="97">
        <v>0</v>
      </c>
      <c r="DE90" s="97">
        <v>0</v>
      </c>
      <c r="DF90" s="97">
        <v>0</v>
      </c>
      <c r="DG90" s="97">
        <v>0</v>
      </c>
      <c r="DH90" s="141">
        <v>10779</v>
      </c>
      <c r="DI90" s="141">
        <v>6737</v>
      </c>
      <c r="DJ90" s="141">
        <v>1347</v>
      </c>
      <c r="DK90" s="97">
        <f>24253+2694-DH90-DI90-DJ90</f>
        <v>8084</v>
      </c>
      <c r="DL90" s="97">
        <v>0</v>
      </c>
      <c r="DM90" s="141">
        <v>26947</v>
      </c>
      <c r="DN90" s="141">
        <v>455098</v>
      </c>
      <c r="DO90" s="141">
        <v>284436</v>
      </c>
      <c r="DP90" s="141">
        <v>56887</v>
      </c>
      <c r="DQ90" s="97">
        <f>1023970+113774-DN90-DO90-DP90</f>
        <v>341323</v>
      </c>
      <c r="DR90" s="141">
        <v>212014</v>
      </c>
      <c r="DS90" s="141">
        <v>1349758</v>
      </c>
      <c r="DT90" s="141">
        <v>24485</v>
      </c>
      <c r="DU90" s="141">
        <v>24805</v>
      </c>
      <c r="DV90" s="141">
        <v>6701</v>
      </c>
      <c r="DW90" s="97">
        <f>178169+169019-DT90-DU90-DV90</f>
        <v>291197</v>
      </c>
      <c r="DX90" s="97">
        <v>0</v>
      </c>
      <c r="DY90" s="141">
        <v>347188</v>
      </c>
      <c r="DZ90" s="141">
        <v>2500</v>
      </c>
      <c r="EA90" s="97">
        <v>0</v>
      </c>
      <c r="EB90" s="97">
        <v>0</v>
      </c>
      <c r="EC90" s="97">
        <f>24626+11711-DZ90-EA90-EB90</f>
        <v>33837</v>
      </c>
      <c r="ED90" s="141">
        <v>67242</v>
      </c>
      <c r="EE90" s="141">
        <v>103579</v>
      </c>
      <c r="EF90" s="141">
        <v>11004</v>
      </c>
      <c r="EG90" s="141">
        <v>6876</v>
      </c>
      <c r="EH90" s="141">
        <v>5542</v>
      </c>
      <c r="EI90" s="97">
        <f>94856+116716-EF90-EG90-EH90</f>
        <v>188150</v>
      </c>
      <c r="EJ90" s="141">
        <v>338318</v>
      </c>
      <c r="EK90" s="141">
        <v>549890</v>
      </c>
      <c r="EL90" s="141">
        <v>2687488</v>
      </c>
      <c r="EM90" s="141">
        <v>726527</v>
      </c>
      <c r="EN90" s="141">
        <v>87431</v>
      </c>
      <c r="EO90" s="97">
        <f>4300612+506998-EL90-EM90-EN90</f>
        <v>1306164</v>
      </c>
      <c r="EP90" s="141">
        <v>23092339</v>
      </c>
      <c r="EQ90" s="141">
        <v>27899949</v>
      </c>
      <c r="ER90" s="141">
        <v>2603472</v>
      </c>
      <c r="ES90" s="141">
        <v>364232</v>
      </c>
      <c r="ET90" s="141">
        <v>559820</v>
      </c>
      <c r="EU90" s="97">
        <f>4064836+2641283-ER90-ES90-ET90</f>
        <v>3178595</v>
      </c>
      <c r="EV90" s="141">
        <v>157257</v>
      </c>
      <c r="EW90" s="141">
        <v>6863376</v>
      </c>
      <c r="EX90" s="141">
        <v>365000</v>
      </c>
      <c r="EY90" s="141">
        <v>94297</v>
      </c>
      <c r="EZ90" s="141">
        <v>1000</v>
      </c>
      <c r="FA90" s="97">
        <f>484297+6370-EX90-EY90-EZ90</f>
        <v>30370</v>
      </c>
      <c r="FB90" s="97">
        <v>0</v>
      </c>
      <c r="FC90" s="141">
        <v>490667</v>
      </c>
      <c r="FD90" s="97">
        <f>548502+1233637</f>
        <v>1782139</v>
      </c>
      <c r="FE90" s="97">
        <f>428476+376405</f>
        <v>804881</v>
      </c>
      <c r="FF90" s="97">
        <f>250700+230729</f>
        <v>481429</v>
      </c>
      <c r="FG90" s="97">
        <f>1711131+2020944+936203+693960-FD90-FE90-FF90</f>
        <v>2293789</v>
      </c>
      <c r="FH90" s="97">
        <f>0</f>
        <v>0</v>
      </c>
      <c r="FI90" s="141">
        <v>5362238</v>
      </c>
      <c r="FJ90" s="97">
        <v>0</v>
      </c>
      <c r="FK90" s="97">
        <v>0</v>
      </c>
      <c r="FL90" s="97">
        <v>0</v>
      </c>
      <c r="FM90" s="97">
        <v>0</v>
      </c>
      <c r="FN90" s="97">
        <v>0</v>
      </c>
      <c r="FO90" s="97">
        <v>0</v>
      </c>
      <c r="FP90" s="141">
        <v>56932</v>
      </c>
      <c r="FQ90" s="141">
        <v>19009</v>
      </c>
      <c r="FR90" s="141">
        <v>16848</v>
      </c>
      <c r="FS90" s="97">
        <f>95177+44644-FP90-FQ90-FR90</f>
        <v>47032</v>
      </c>
      <c r="FT90" s="141">
        <v>2641873</v>
      </c>
      <c r="FU90" s="141">
        <v>2781694</v>
      </c>
      <c r="FV90" s="97">
        <v>0</v>
      </c>
      <c r="FW90" s="97">
        <v>0</v>
      </c>
      <c r="FX90" s="97">
        <v>0</v>
      </c>
      <c r="FY90" s="97">
        <v>0</v>
      </c>
      <c r="FZ90" s="97">
        <v>0</v>
      </c>
      <c r="GA90" s="97">
        <v>0</v>
      </c>
      <c r="GB90" s="97">
        <v>0</v>
      </c>
      <c r="GC90" s="97">
        <v>0</v>
      </c>
      <c r="GD90" s="141">
        <v>140858</v>
      </c>
      <c r="GE90" s="97">
        <v>0</v>
      </c>
      <c r="GF90" s="97">
        <v>0</v>
      </c>
      <c r="GG90" s="141">
        <v>140858</v>
      </c>
      <c r="GH90" s="141">
        <v>95170</v>
      </c>
      <c r="GI90" s="141">
        <v>67708</v>
      </c>
      <c r="GJ90" s="141">
        <v>33518</v>
      </c>
      <c r="GK90" s="97">
        <f>230305+60672-GH90-GI90-GJ90</f>
        <v>94581</v>
      </c>
      <c r="GL90" s="97">
        <v>0</v>
      </c>
      <c r="GM90" s="141">
        <v>290977</v>
      </c>
      <c r="GN90" s="141">
        <v>521311</v>
      </c>
      <c r="GO90" s="141">
        <v>296280</v>
      </c>
      <c r="GP90" s="141">
        <v>142540</v>
      </c>
      <c r="GQ90" s="97">
        <f>1314097+672650-GN90-GO90-GP90</f>
        <v>1026616</v>
      </c>
      <c r="GR90" s="141">
        <v>176945</v>
      </c>
      <c r="GS90" s="141">
        <v>2163692</v>
      </c>
      <c r="GT90" s="141">
        <v>364209</v>
      </c>
      <c r="GU90" s="141">
        <v>84749</v>
      </c>
      <c r="GV90" s="141">
        <v>48043</v>
      </c>
      <c r="GW90" s="97">
        <f>719953+175500-GT90-GU90-GV90</f>
        <v>398452</v>
      </c>
      <c r="GX90" s="141">
        <v>40617</v>
      </c>
      <c r="GY90" s="141">
        <v>936070</v>
      </c>
      <c r="GZ90" s="141">
        <v>64404</v>
      </c>
      <c r="HA90" s="141">
        <v>69209</v>
      </c>
      <c r="HB90" s="141">
        <v>40600</v>
      </c>
      <c r="HC90" s="97">
        <f>159018+81590-GZ90-HA90-HB90</f>
        <v>66395</v>
      </c>
      <c r="HD90" s="141">
        <v>523381</v>
      </c>
      <c r="HE90" s="141">
        <v>763989</v>
      </c>
      <c r="HF90" s="141">
        <v>1842</v>
      </c>
      <c r="HG90" s="97">
        <v>0</v>
      </c>
      <c r="HH90" s="141">
        <v>613</v>
      </c>
      <c r="HI90" s="97">
        <f>4511+613-HF90-HG90-HH90</f>
        <v>2669</v>
      </c>
      <c r="HJ90" s="141">
        <v>702705</v>
      </c>
      <c r="HK90" s="141">
        <v>707829</v>
      </c>
      <c r="HL90" s="141">
        <v>17940</v>
      </c>
      <c r="HM90" s="141">
        <v>20877</v>
      </c>
      <c r="HN90" s="141">
        <v>7785</v>
      </c>
      <c r="HO90" s="97">
        <f>153948+147442-HL90-HM90-HN90</f>
        <v>254788</v>
      </c>
      <c r="HP90" s="97">
        <v>0</v>
      </c>
      <c r="HQ90" s="141">
        <v>301390</v>
      </c>
      <c r="HR90" s="141">
        <v>3529</v>
      </c>
      <c r="HS90" s="141">
        <v>50</v>
      </c>
      <c r="HT90" s="141">
        <v>530</v>
      </c>
      <c r="HU90" s="97">
        <f>125958+34517-HR90-HS90-HT90</f>
        <v>156366</v>
      </c>
      <c r="HV90" s="141">
        <v>875032</v>
      </c>
      <c r="HW90" s="141">
        <v>1035507</v>
      </c>
      <c r="HX90" s="97">
        <v>0</v>
      </c>
      <c r="HY90" s="97">
        <v>0</v>
      </c>
      <c r="HZ90" s="97">
        <v>0</v>
      </c>
      <c r="IA90" s="97">
        <v>0</v>
      </c>
      <c r="IB90" s="141">
        <v>124872</v>
      </c>
      <c r="IC90" s="141">
        <v>124872</v>
      </c>
      <c r="ID90" s="97">
        <v>0</v>
      </c>
      <c r="IE90" s="97">
        <v>0</v>
      </c>
      <c r="IF90" s="97">
        <v>0</v>
      </c>
      <c r="IG90" s="97">
        <v>0</v>
      </c>
      <c r="IH90" s="141">
        <v>3117616</v>
      </c>
      <c r="II90" s="141">
        <v>3117616</v>
      </c>
      <c r="IJ90" s="97">
        <v>0</v>
      </c>
      <c r="IK90" s="97">
        <v>0</v>
      </c>
      <c r="IL90" s="97">
        <v>0</v>
      </c>
      <c r="IM90" s="97">
        <v>0</v>
      </c>
      <c r="IN90" s="141">
        <v>738048</v>
      </c>
      <c r="IO90" s="141">
        <v>738048</v>
      </c>
      <c r="IP90" s="141">
        <v>9493</v>
      </c>
      <c r="IQ90" s="141">
        <v>465</v>
      </c>
      <c r="IR90" s="141">
        <v>277</v>
      </c>
      <c r="IS90" s="97">
        <f>10673+3068-IP90-IQ90-IR90</f>
        <v>3506</v>
      </c>
      <c r="IT90" s="141">
        <v>425977</v>
      </c>
      <c r="IU90" s="141">
        <v>439718</v>
      </c>
      <c r="IV90" s="141">
        <v>162254</v>
      </c>
      <c r="IW90" s="141">
        <v>70383</v>
      </c>
      <c r="IX90" s="141">
        <v>25547</v>
      </c>
      <c r="IY90" s="97">
        <f>326122+62674-IV90-IW90-IX90</f>
        <v>130612</v>
      </c>
      <c r="IZ90" s="141">
        <v>1169822</v>
      </c>
      <c r="JA90" s="141">
        <v>1558618</v>
      </c>
      <c r="JB90" s="141">
        <v>6047695</v>
      </c>
      <c r="JC90" s="141">
        <v>1892140</v>
      </c>
      <c r="JD90" s="141">
        <v>1499408</v>
      </c>
      <c r="JE90" s="97">
        <f>11420970+5702044-JB90-JC90-JD90</f>
        <v>7683771</v>
      </c>
      <c r="JF90" s="141">
        <v>10694145</v>
      </c>
      <c r="JG90" s="141">
        <v>27817159</v>
      </c>
      <c r="JH90" s="97">
        <v>0</v>
      </c>
      <c r="JI90" s="97">
        <v>0</v>
      </c>
      <c r="JJ90" s="97">
        <v>0</v>
      </c>
      <c r="JK90" s="97">
        <v>0</v>
      </c>
      <c r="JL90" s="97">
        <v>0</v>
      </c>
      <c r="JM90" s="97">
        <v>0</v>
      </c>
      <c r="JN90" s="141">
        <v>6047695</v>
      </c>
      <c r="JO90" s="141">
        <v>1892140</v>
      </c>
      <c r="JP90" s="141">
        <v>1499408</v>
      </c>
      <c r="JQ90" s="97">
        <f>11420970+5702044-JN90-JO90-JP90</f>
        <v>7683771</v>
      </c>
      <c r="JR90" s="141">
        <v>10694145</v>
      </c>
      <c r="JS90" s="141">
        <v>27817159</v>
      </c>
      <c r="JU90" s="5">
        <f t="shared" si="157"/>
        <v>1606025</v>
      </c>
      <c r="JV90" s="29">
        <f t="shared" si="158"/>
        <v>0</v>
      </c>
      <c r="JW90" s="5">
        <f t="shared" si="159"/>
        <v>0</v>
      </c>
      <c r="JX90" s="29">
        <f t="shared" si="160"/>
        <v>0</v>
      </c>
      <c r="JY90" s="5">
        <f t="shared" si="161"/>
        <v>1815123</v>
      </c>
      <c r="JZ90" s="29">
        <f t="shared" si="162"/>
        <v>0</v>
      </c>
      <c r="KA90" s="5">
        <f t="shared" si="163"/>
        <v>767259</v>
      </c>
      <c r="KB90" s="29">
        <f t="shared" si="164"/>
        <v>0</v>
      </c>
      <c r="KC90" s="5">
        <f t="shared" si="165"/>
        <v>0</v>
      </c>
      <c r="KD90" s="29">
        <f t="shared" si="166"/>
        <v>0</v>
      </c>
      <c r="KE90" s="5">
        <f t="shared" si="167"/>
        <v>0</v>
      </c>
      <c r="KF90" s="29">
        <f t="shared" si="168"/>
        <v>0</v>
      </c>
      <c r="KG90" s="5">
        <f t="shared" si="169"/>
        <v>16685217</v>
      </c>
      <c r="KH90" s="29">
        <f t="shared" si="170"/>
        <v>0</v>
      </c>
      <c r="KI90" s="5">
        <f t="shared" si="171"/>
        <v>3117616</v>
      </c>
      <c r="KJ90" s="29">
        <f t="shared" si="172"/>
        <v>0</v>
      </c>
      <c r="KK90" s="5">
        <f t="shared" si="173"/>
        <v>1531347</v>
      </c>
      <c r="KL90" s="29">
        <f t="shared" si="174"/>
        <v>0</v>
      </c>
      <c r="KM90" s="5">
        <f t="shared" si="175"/>
        <v>0</v>
      </c>
      <c r="KN90" s="29">
        <f t="shared" si="176"/>
        <v>0</v>
      </c>
      <c r="KO90" s="5">
        <f t="shared" si="177"/>
        <v>26947</v>
      </c>
      <c r="KP90" s="29">
        <f t="shared" si="178"/>
        <v>0</v>
      </c>
      <c r="KQ90" s="5">
        <f t="shared" si="179"/>
        <v>1349758</v>
      </c>
      <c r="KR90" s="29">
        <f t="shared" si="180"/>
        <v>0</v>
      </c>
      <c r="KS90" s="5">
        <f t="shared" si="181"/>
        <v>347188</v>
      </c>
      <c r="KT90" s="29">
        <f t="shared" si="182"/>
        <v>0</v>
      </c>
      <c r="KU90" s="5">
        <f t="shared" si="183"/>
        <v>103579</v>
      </c>
      <c r="KV90" s="29">
        <f t="shared" si="184"/>
        <v>0</v>
      </c>
      <c r="KW90" s="5">
        <f t="shared" si="185"/>
        <v>549890</v>
      </c>
      <c r="KX90" s="29">
        <f t="shared" si="186"/>
        <v>0</v>
      </c>
      <c r="KY90" s="5">
        <f t="shared" si="187"/>
        <v>27899949</v>
      </c>
      <c r="KZ90" s="29">
        <f t="shared" si="188"/>
        <v>0</v>
      </c>
      <c r="LA90" s="5">
        <f t="shared" si="230"/>
        <v>6863376</v>
      </c>
      <c r="LB90" s="29">
        <f t="shared" si="231"/>
        <v>0</v>
      </c>
      <c r="LC90" s="5">
        <f t="shared" si="232"/>
        <v>490667</v>
      </c>
      <c r="LD90" s="29">
        <f t="shared" si="189"/>
        <v>0</v>
      </c>
      <c r="LE90" s="5">
        <f t="shared" si="190"/>
        <v>5362238</v>
      </c>
      <c r="LF90" s="29">
        <f t="shared" si="191"/>
        <v>0</v>
      </c>
      <c r="LG90" s="5">
        <f t="shared" si="192"/>
        <v>0</v>
      </c>
      <c r="LH90" s="29">
        <f t="shared" si="193"/>
        <v>0</v>
      </c>
      <c r="LI90" s="5">
        <f t="shared" si="194"/>
        <v>2781694</v>
      </c>
      <c r="LJ90" s="29">
        <f t="shared" si="195"/>
        <v>0</v>
      </c>
      <c r="LK90" s="5">
        <f t="shared" si="196"/>
        <v>0</v>
      </c>
      <c r="LL90" s="29">
        <f t="shared" si="197"/>
        <v>0</v>
      </c>
      <c r="LM90" s="5">
        <f t="shared" si="198"/>
        <v>140858</v>
      </c>
      <c r="LN90" s="29">
        <f t="shared" si="199"/>
        <v>0</v>
      </c>
      <c r="LO90" s="5">
        <f t="shared" si="200"/>
        <v>290977</v>
      </c>
      <c r="LP90" s="29">
        <f t="shared" si="201"/>
        <v>0</v>
      </c>
      <c r="LQ90" s="5">
        <f t="shared" si="202"/>
        <v>2163692</v>
      </c>
      <c r="LR90" s="29">
        <f t="shared" si="203"/>
        <v>0</v>
      </c>
      <c r="LS90" s="5">
        <f t="shared" si="204"/>
        <v>936070</v>
      </c>
      <c r="LT90" s="29">
        <f t="shared" si="205"/>
        <v>0</v>
      </c>
      <c r="LU90" s="5">
        <f t="shared" si="206"/>
        <v>763989</v>
      </c>
      <c r="LV90" s="29">
        <f t="shared" si="207"/>
        <v>0</v>
      </c>
      <c r="LW90" s="5">
        <f t="shared" si="208"/>
        <v>707829</v>
      </c>
      <c r="LX90" s="29">
        <f t="shared" si="209"/>
        <v>0</v>
      </c>
      <c r="LY90" s="5">
        <f t="shared" si="210"/>
        <v>301390</v>
      </c>
      <c r="LZ90" s="29">
        <f t="shared" si="211"/>
        <v>0</v>
      </c>
      <c r="MA90" s="5">
        <f t="shared" si="212"/>
        <v>1035507</v>
      </c>
      <c r="MB90" s="29">
        <f t="shared" si="213"/>
        <v>0</v>
      </c>
      <c r="MC90" s="5">
        <f t="shared" si="214"/>
        <v>124872</v>
      </c>
      <c r="MD90" s="29">
        <f t="shared" si="215"/>
        <v>0</v>
      </c>
      <c r="ME90" s="5">
        <f t="shared" si="216"/>
        <v>3117616</v>
      </c>
      <c r="MF90" s="29">
        <f t="shared" si="217"/>
        <v>0</v>
      </c>
      <c r="MG90" s="5">
        <f t="shared" si="218"/>
        <v>738048</v>
      </c>
      <c r="MH90" s="29">
        <f t="shared" si="219"/>
        <v>0</v>
      </c>
      <c r="MI90" s="5">
        <f t="shared" si="220"/>
        <v>439718</v>
      </c>
      <c r="MJ90" s="29">
        <f t="shared" si="221"/>
        <v>0</v>
      </c>
      <c r="MK90" s="5">
        <f t="shared" si="222"/>
        <v>1558618</v>
      </c>
      <c r="ML90" s="29">
        <f t="shared" si="223"/>
        <v>0</v>
      </c>
      <c r="MM90" s="5">
        <f t="shared" si="224"/>
        <v>27817159</v>
      </c>
      <c r="MN90" s="29">
        <f t="shared" si="225"/>
        <v>0</v>
      </c>
      <c r="MO90" s="5">
        <f t="shared" si="226"/>
        <v>0</v>
      </c>
      <c r="MP90" s="29">
        <f t="shared" si="227"/>
        <v>0</v>
      </c>
      <c r="MQ90" s="5">
        <f t="shared" si="228"/>
        <v>27817159</v>
      </c>
      <c r="MR90" s="29">
        <f t="shared" si="229"/>
        <v>0</v>
      </c>
      <c r="MT90" s="5">
        <f t="shared" si="156"/>
        <v>0</v>
      </c>
      <c r="MV90" s="4">
        <f t="shared" si="155"/>
        <v>0</v>
      </c>
    </row>
    <row r="91" spans="1:360" x14ac:dyDescent="0.15">
      <c r="A91" s="9" t="s">
        <v>306</v>
      </c>
      <c r="B91" s="28" t="s">
        <v>466</v>
      </c>
      <c r="C91" s="47">
        <v>240444</v>
      </c>
      <c r="D91" s="48">
        <v>2012</v>
      </c>
      <c r="E91" s="49">
        <v>1</v>
      </c>
      <c r="F91" s="49">
        <v>3</v>
      </c>
      <c r="G91" s="50">
        <v>13928</v>
      </c>
      <c r="H91" s="50">
        <v>14809</v>
      </c>
      <c r="I91" s="51">
        <v>2281385327</v>
      </c>
      <c r="J91" s="51"/>
      <c r="K91" s="51">
        <v>9803713</v>
      </c>
      <c r="L91" s="51"/>
      <c r="M91" s="51">
        <v>45836298</v>
      </c>
      <c r="N91" s="51"/>
      <c r="O91" s="51">
        <v>121003319</v>
      </c>
      <c r="P91" s="51"/>
      <c r="Q91" s="51">
        <v>767574053</v>
      </c>
      <c r="R91" s="51"/>
      <c r="S91" s="52">
        <v>1967146988</v>
      </c>
      <c r="T91" s="52"/>
      <c r="U91" s="52">
        <v>20283</v>
      </c>
      <c r="V91" s="52"/>
      <c r="W91" s="52">
        <v>36032</v>
      </c>
      <c r="X91" s="52"/>
      <c r="Y91" s="52">
        <v>26763</v>
      </c>
      <c r="Z91" s="52"/>
      <c r="AA91" s="52">
        <v>43422</v>
      </c>
      <c r="AB91" s="49"/>
      <c r="AC91" s="72">
        <v>12</v>
      </c>
      <c r="AD91" s="72">
        <v>12</v>
      </c>
      <c r="AE91" s="72">
        <v>0</v>
      </c>
      <c r="AF91" s="29">
        <v>5661615</v>
      </c>
      <c r="AG91" s="29">
        <v>4595739</v>
      </c>
      <c r="AH91" s="29">
        <v>473307</v>
      </c>
      <c r="AI91" s="29">
        <v>362176</v>
      </c>
      <c r="AJ91" s="29">
        <v>640164.76</v>
      </c>
      <c r="AK91" s="73">
        <v>10.5</v>
      </c>
      <c r="AL91" s="29">
        <v>611066.36</v>
      </c>
      <c r="AM91" s="73">
        <v>11</v>
      </c>
      <c r="AN91" s="29">
        <v>215790.95</v>
      </c>
      <c r="AO91" s="73">
        <v>9.5</v>
      </c>
      <c r="AP91" s="29">
        <v>205001.4</v>
      </c>
      <c r="AQ91" s="73">
        <v>10</v>
      </c>
      <c r="AR91" s="29">
        <v>206412.24</v>
      </c>
      <c r="AS91" s="73">
        <v>25</v>
      </c>
      <c r="AT91" s="29">
        <v>191122.44</v>
      </c>
      <c r="AU91" s="73">
        <v>27</v>
      </c>
      <c r="AV91" s="29">
        <v>91329.24</v>
      </c>
      <c r="AW91" s="73">
        <v>21</v>
      </c>
      <c r="AX91" s="29">
        <v>83387.570000000007</v>
      </c>
      <c r="AY91" s="73">
        <v>23</v>
      </c>
      <c r="AZ91" s="97">
        <v>18332242</v>
      </c>
      <c r="BA91" s="97">
        <v>5713463</v>
      </c>
      <c r="BB91" s="97">
        <v>141777</v>
      </c>
      <c r="BC91" s="97">
        <v>3370184</v>
      </c>
      <c r="BD91" s="97">
        <v>11422</v>
      </c>
      <c r="BE91" s="97">
        <v>27569088</v>
      </c>
      <c r="BF91" s="97">
        <v>0</v>
      </c>
      <c r="BG91" s="97">
        <v>0</v>
      </c>
      <c r="BH91" s="97">
        <v>0</v>
      </c>
      <c r="BI91" s="97">
        <v>0</v>
      </c>
      <c r="BJ91" s="97">
        <v>0</v>
      </c>
      <c r="BK91" s="97">
        <v>0</v>
      </c>
      <c r="BL91" s="97">
        <v>1000000</v>
      </c>
      <c r="BM91" s="97">
        <v>0</v>
      </c>
      <c r="BN91" s="97">
        <v>0</v>
      </c>
      <c r="BO91" s="97">
        <v>0</v>
      </c>
      <c r="BP91" s="97">
        <v>0</v>
      </c>
      <c r="BQ91" s="97">
        <v>1000000</v>
      </c>
      <c r="BR91" s="97">
        <v>9989305</v>
      </c>
      <c r="BS91" s="97">
        <v>1095430</v>
      </c>
      <c r="BT91" s="97">
        <v>1108999</v>
      </c>
      <c r="BU91" s="97">
        <v>5510932</v>
      </c>
      <c r="BV91" s="97">
        <v>1998594</v>
      </c>
      <c r="BW91" s="97">
        <v>19703260</v>
      </c>
      <c r="BX91" s="97">
        <v>0</v>
      </c>
      <c r="BY91" s="97">
        <v>0</v>
      </c>
      <c r="BZ91" s="97">
        <v>0</v>
      </c>
      <c r="CA91" s="97">
        <v>0</v>
      </c>
      <c r="CB91" s="97">
        <v>0</v>
      </c>
      <c r="CC91" s="97">
        <v>0</v>
      </c>
      <c r="CD91" s="97">
        <v>0</v>
      </c>
      <c r="CE91" s="97">
        <v>0</v>
      </c>
      <c r="CF91" s="97">
        <v>0</v>
      </c>
      <c r="CG91" s="97">
        <v>0</v>
      </c>
      <c r="CH91" s="97">
        <v>0</v>
      </c>
      <c r="CI91" s="97">
        <v>0</v>
      </c>
      <c r="CJ91" s="97">
        <v>1528581</v>
      </c>
      <c r="CK91" s="97">
        <v>274876</v>
      </c>
      <c r="CL91" s="97">
        <v>279898</v>
      </c>
      <c r="CM91" s="97">
        <v>2689921</v>
      </c>
      <c r="CN91" s="97">
        <v>41480</v>
      </c>
      <c r="CO91" s="97">
        <v>4814756</v>
      </c>
      <c r="CP91" s="97">
        <v>0</v>
      </c>
      <c r="CQ91" s="97">
        <v>0</v>
      </c>
      <c r="CR91" s="97">
        <v>0</v>
      </c>
      <c r="CS91" s="97">
        <v>0</v>
      </c>
      <c r="CT91" s="97">
        <v>2312697</v>
      </c>
      <c r="CU91" s="97">
        <v>2312697</v>
      </c>
      <c r="CV91" s="97">
        <v>15000880</v>
      </c>
      <c r="CW91" s="97">
        <v>8999871</v>
      </c>
      <c r="CX91" s="97">
        <v>0</v>
      </c>
      <c r="CY91" s="97">
        <v>83342</v>
      </c>
      <c r="CZ91" s="97">
        <v>1352272</v>
      </c>
      <c r="DA91" s="97">
        <v>25436365</v>
      </c>
      <c r="DB91" s="97">
        <v>0</v>
      </c>
      <c r="DC91" s="97">
        <v>0</v>
      </c>
      <c r="DD91" s="97">
        <v>0</v>
      </c>
      <c r="DE91" s="97">
        <v>0</v>
      </c>
      <c r="DF91" s="97">
        <v>3328133</v>
      </c>
      <c r="DG91" s="97">
        <v>3328133</v>
      </c>
      <c r="DH91" s="97">
        <v>2136280</v>
      </c>
      <c r="DI91" s="97">
        <v>728357</v>
      </c>
      <c r="DJ91" s="97">
        <v>84892</v>
      </c>
      <c r="DK91" s="97">
        <v>692069</v>
      </c>
      <c r="DL91" s="97">
        <v>6664085</v>
      </c>
      <c r="DM91" s="97">
        <v>10305683</v>
      </c>
      <c r="DN91" s="97">
        <v>206705</v>
      </c>
      <c r="DO91" s="97">
        <v>56445</v>
      </c>
      <c r="DP91" s="97">
        <v>42563</v>
      </c>
      <c r="DQ91" s="97">
        <v>640735</v>
      </c>
      <c r="DR91" s="97">
        <v>3757415</v>
      </c>
      <c r="DS91" s="97">
        <v>4703863</v>
      </c>
      <c r="DT91" s="97">
        <v>208731</v>
      </c>
      <c r="DU91" s="97">
        <v>269700</v>
      </c>
      <c r="DV91" s="97">
        <v>21555</v>
      </c>
      <c r="DW91" s="97">
        <v>1220212</v>
      </c>
      <c r="DX91" s="97">
        <v>1564</v>
      </c>
      <c r="DY91" s="97">
        <v>1721762</v>
      </c>
      <c r="DZ91" s="97">
        <v>0</v>
      </c>
      <c r="EA91" s="97">
        <v>0</v>
      </c>
      <c r="EB91" s="97">
        <v>0</v>
      </c>
      <c r="EC91" s="97">
        <v>0</v>
      </c>
      <c r="ED91" s="97">
        <v>1215859</v>
      </c>
      <c r="EE91" s="97">
        <v>1215859</v>
      </c>
      <c r="EF91" s="97">
        <v>13725</v>
      </c>
      <c r="EG91" s="97">
        <v>6456</v>
      </c>
      <c r="EH91" s="97">
        <v>616</v>
      </c>
      <c r="EI91" s="97">
        <v>3990</v>
      </c>
      <c r="EJ91" s="97">
        <v>1666787</v>
      </c>
      <c r="EK91" s="97">
        <v>1691574</v>
      </c>
      <c r="EL91" s="97">
        <v>48416449</v>
      </c>
      <c r="EM91" s="97">
        <v>17144598</v>
      </c>
      <c r="EN91" s="97">
        <v>1680300</v>
      </c>
      <c r="EO91" s="97">
        <v>14211385</v>
      </c>
      <c r="EP91" s="97">
        <v>22350308</v>
      </c>
      <c r="EQ91" s="97">
        <v>103803040</v>
      </c>
      <c r="ER91" s="97">
        <v>2920878</v>
      </c>
      <c r="ES91" s="97">
        <v>506204</v>
      </c>
      <c r="ET91" s="97">
        <v>513021</v>
      </c>
      <c r="EU91" s="97">
        <v>6317251</v>
      </c>
      <c r="EV91" s="97">
        <v>43480</v>
      </c>
      <c r="EW91" s="97">
        <v>10300834</v>
      </c>
      <c r="EX91" s="97">
        <v>1819499</v>
      </c>
      <c r="EY91" s="97">
        <v>452453</v>
      </c>
      <c r="EZ91" s="97">
        <v>31500</v>
      </c>
      <c r="FA91" s="97">
        <v>76086</v>
      </c>
      <c r="FB91" s="97">
        <v>0</v>
      </c>
      <c r="FC91" s="97">
        <v>2379538</v>
      </c>
      <c r="FD91" s="97">
        <v>6218048</v>
      </c>
      <c r="FE91" s="97">
        <v>2954346</v>
      </c>
      <c r="FF91" s="97">
        <v>986456</v>
      </c>
      <c r="FG91" s="97">
        <v>5691114</v>
      </c>
      <c r="FH91" s="97">
        <v>0</v>
      </c>
      <c r="FI91" s="97">
        <v>15849964</v>
      </c>
      <c r="FJ91" s="97">
        <v>0</v>
      </c>
      <c r="FK91" s="97">
        <v>0</v>
      </c>
      <c r="FL91" s="97">
        <v>0</v>
      </c>
      <c r="FM91" s="97">
        <v>0</v>
      </c>
      <c r="FN91" s="97">
        <v>0</v>
      </c>
      <c r="FO91" s="97">
        <v>0</v>
      </c>
      <c r="FP91" s="97">
        <v>952658</v>
      </c>
      <c r="FQ91" s="97">
        <v>285819</v>
      </c>
      <c r="FR91" s="97">
        <v>71258</v>
      </c>
      <c r="FS91" s="97">
        <v>800140</v>
      </c>
      <c r="FT91" s="97">
        <v>19078762</v>
      </c>
      <c r="FU91" s="97">
        <v>21188637</v>
      </c>
      <c r="FV91" s="97">
        <v>0</v>
      </c>
      <c r="FW91" s="97">
        <v>0</v>
      </c>
      <c r="FX91" s="97">
        <v>0</v>
      </c>
      <c r="FY91" s="97">
        <v>0</v>
      </c>
      <c r="FZ91" s="97">
        <v>0</v>
      </c>
      <c r="GA91" s="97">
        <v>0</v>
      </c>
      <c r="GB91" s="97">
        <v>0</v>
      </c>
      <c r="GC91" s="97">
        <v>0</v>
      </c>
      <c r="GD91" s="97">
        <v>0</v>
      </c>
      <c r="GE91" s="97">
        <v>0</v>
      </c>
      <c r="GF91" s="97">
        <v>0</v>
      </c>
      <c r="GG91" s="97">
        <v>0</v>
      </c>
      <c r="GH91" s="97">
        <v>212045</v>
      </c>
      <c r="GI91" s="97">
        <v>66911</v>
      </c>
      <c r="GJ91" s="97">
        <v>92031</v>
      </c>
      <c r="GK91" s="97">
        <v>464496</v>
      </c>
      <c r="GL91" s="97">
        <v>0</v>
      </c>
      <c r="GM91" s="97">
        <v>835483</v>
      </c>
      <c r="GN91" s="97">
        <v>3291180</v>
      </c>
      <c r="GO91" s="97">
        <v>1193909</v>
      </c>
      <c r="GP91" s="97">
        <v>426534</v>
      </c>
      <c r="GQ91" s="97">
        <v>3707303</v>
      </c>
      <c r="GR91" s="97">
        <v>310856</v>
      </c>
      <c r="GS91" s="97">
        <v>8929782</v>
      </c>
      <c r="GT91" s="97">
        <v>338027</v>
      </c>
      <c r="GU91" s="97">
        <v>62378</v>
      </c>
      <c r="GV91" s="97">
        <v>40176</v>
      </c>
      <c r="GW91" s="97">
        <v>1150744</v>
      </c>
      <c r="GX91" s="97">
        <v>393735</v>
      </c>
      <c r="GY91" s="97">
        <v>1985060</v>
      </c>
      <c r="GZ91" s="97">
        <v>1101433</v>
      </c>
      <c r="HA91" s="97">
        <v>289383</v>
      </c>
      <c r="HB91" s="97">
        <v>165515</v>
      </c>
      <c r="HC91" s="97">
        <v>359951</v>
      </c>
      <c r="HD91" s="97">
        <v>3937592</v>
      </c>
      <c r="HE91" s="97">
        <v>5853874</v>
      </c>
      <c r="HF91" s="97">
        <v>0</v>
      </c>
      <c r="HG91" s="97">
        <v>0</v>
      </c>
      <c r="HH91" s="97">
        <v>0</v>
      </c>
      <c r="HI91" s="97">
        <v>0</v>
      </c>
      <c r="HJ91" s="97">
        <v>2512812</v>
      </c>
      <c r="HK91" s="97">
        <v>2512812</v>
      </c>
      <c r="HL91" s="97">
        <v>83547</v>
      </c>
      <c r="HM91" s="97">
        <v>159161</v>
      </c>
      <c r="HN91" s="97">
        <v>11247</v>
      </c>
      <c r="HO91" s="97">
        <v>429560</v>
      </c>
      <c r="HP91" s="97">
        <v>0</v>
      </c>
      <c r="HQ91" s="97">
        <v>683515</v>
      </c>
      <c r="HR91" s="97">
        <v>6667116</v>
      </c>
      <c r="HS91" s="97">
        <v>781156</v>
      </c>
      <c r="HT91" s="97">
        <v>781186</v>
      </c>
      <c r="HU91" s="97">
        <v>7711383</v>
      </c>
      <c r="HV91" s="97">
        <v>5350269</v>
      </c>
      <c r="HW91" s="97">
        <v>21291110</v>
      </c>
      <c r="HX91" s="97">
        <v>0</v>
      </c>
      <c r="HY91" s="97">
        <v>0</v>
      </c>
      <c r="HZ91" s="97">
        <v>0</v>
      </c>
      <c r="IA91" s="97">
        <v>0</v>
      </c>
      <c r="IB91" s="97">
        <v>697603</v>
      </c>
      <c r="IC91" s="97">
        <v>697603</v>
      </c>
      <c r="ID91" s="97">
        <v>0</v>
      </c>
      <c r="IE91" s="97">
        <v>0</v>
      </c>
      <c r="IF91" s="97">
        <v>0</v>
      </c>
      <c r="IG91" s="97">
        <v>0</v>
      </c>
      <c r="IH91" s="97">
        <v>2312697</v>
      </c>
      <c r="II91" s="97">
        <v>2312697</v>
      </c>
      <c r="IJ91" s="97">
        <v>299893</v>
      </c>
      <c r="IK91" s="97">
        <v>42485</v>
      </c>
      <c r="IL91" s="97">
        <v>29989</v>
      </c>
      <c r="IM91" s="97">
        <v>2134237</v>
      </c>
      <c r="IN91" s="97">
        <v>0</v>
      </c>
      <c r="IO91" s="97">
        <v>2506604</v>
      </c>
      <c r="IP91" s="97">
        <v>2090</v>
      </c>
      <c r="IQ91" s="97">
        <v>965</v>
      </c>
      <c r="IR91" s="97">
        <v>0</v>
      </c>
      <c r="IS91" s="97">
        <v>10385</v>
      </c>
      <c r="IT91" s="97">
        <v>0</v>
      </c>
      <c r="IU91" s="97">
        <v>13440</v>
      </c>
      <c r="IV91" s="97">
        <v>324885</v>
      </c>
      <c r="IW91" s="97">
        <v>43942</v>
      </c>
      <c r="IX91" s="97">
        <v>131362</v>
      </c>
      <c r="IY91" s="97">
        <v>609406</v>
      </c>
      <c r="IZ91" s="97">
        <v>3824658</v>
      </c>
      <c r="JA91" s="97">
        <v>4934253</v>
      </c>
      <c r="JB91" s="97">
        <v>24231299</v>
      </c>
      <c r="JC91" s="97">
        <v>6839112</v>
      </c>
      <c r="JD91" s="97">
        <v>3280275</v>
      </c>
      <c r="JE91" s="97">
        <v>29462056</v>
      </c>
      <c r="JF91" s="97">
        <v>38462464</v>
      </c>
      <c r="JG91" s="97">
        <v>102275206</v>
      </c>
      <c r="JH91" s="97">
        <v>0</v>
      </c>
      <c r="JI91" s="97">
        <v>0</v>
      </c>
      <c r="JJ91" s="97">
        <v>0</v>
      </c>
      <c r="JK91" s="97">
        <v>0</v>
      </c>
      <c r="JL91" s="97">
        <v>0</v>
      </c>
      <c r="JM91" s="97">
        <v>0</v>
      </c>
      <c r="JN91" s="97">
        <v>24231299</v>
      </c>
      <c r="JO91" s="97">
        <v>6839112</v>
      </c>
      <c r="JP91" s="97">
        <v>3280275</v>
      </c>
      <c r="JQ91" s="97">
        <v>29462056</v>
      </c>
      <c r="JR91" s="97">
        <v>38462464</v>
      </c>
      <c r="JS91" s="97">
        <v>102275206</v>
      </c>
      <c r="JU91" s="5">
        <f t="shared" si="157"/>
        <v>27569088</v>
      </c>
      <c r="JV91" s="29">
        <f t="shared" si="158"/>
        <v>0</v>
      </c>
      <c r="JW91" s="5">
        <f t="shared" si="159"/>
        <v>0</v>
      </c>
      <c r="JX91" s="29">
        <f t="shared" si="160"/>
        <v>0</v>
      </c>
      <c r="JY91" s="5">
        <f t="shared" si="161"/>
        <v>1000000</v>
      </c>
      <c r="JZ91" s="29">
        <f t="shared" si="162"/>
        <v>0</v>
      </c>
      <c r="KA91" s="5">
        <f t="shared" si="163"/>
        <v>19703260</v>
      </c>
      <c r="KB91" s="29">
        <f t="shared" si="164"/>
        <v>0</v>
      </c>
      <c r="KC91" s="5">
        <f t="shared" si="165"/>
        <v>0</v>
      </c>
      <c r="KD91" s="29">
        <f t="shared" si="166"/>
        <v>0</v>
      </c>
      <c r="KE91" s="5">
        <f t="shared" si="167"/>
        <v>0</v>
      </c>
      <c r="KF91" s="29">
        <f t="shared" si="168"/>
        <v>0</v>
      </c>
      <c r="KG91" s="5">
        <f t="shared" si="169"/>
        <v>4814756</v>
      </c>
      <c r="KH91" s="29">
        <f t="shared" si="170"/>
        <v>0</v>
      </c>
      <c r="KI91" s="5">
        <f t="shared" si="171"/>
        <v>2312697</v>
      </c>
      <c r="KJ91" s="29">
        <f t="shared" si="172"/>
        <v>0</v>
      </c>
      <c r="KK91" s="5">
        <f t="shared" si="173"/>
        <v>25436365</v>
      </c>
      <c r="KL91" s="29">
        <f t="shared" si="174"/>
        <v>0</v>
      </c>
      <c r="KM91" s="5">
        <f t="shared" si="175"/>
        <v>3328133</v>
      </c>
      <c r="KN91" s="29">
        <f t="shared" si="176"/>
        <v>0</v>
      </c>
      <c r="KO91" s="5">
        <f t="shared" si="177"/>
        <v>10305683</v>
      </c>
      <c r="KP91" s="29">
        <f t="shared" si="178"/>
        <v>0</v>
      </c>
      <c r="KQ91" s="5">
        <f t="shared" si="179"/>
        <v>4703863</v>
      </c>
      <c r="KR91" s="29">
        <f t="shared" si="180"/>
        <v>0</v>
      </c>
      <c r="KS91" s="5">
        <f t="shared" si="181"/>
        <v>1721762</v>
      </c>
      <c r="KT91" s="29">
        <f t="shared" si="182"/>
        <v>0</v>
      </c>
      <c r="KU91" s="5">
        <f t="shared" si="183"/>
        <v>1215859</v>
      </c>
      <c r="KV91" s="29">
        <f t="shared" si="184"/>
        <v>0</v>
      </c>
      <c r="KW91" s="5">
        <f t="shared" si="185"/>
        <v>1691574</v>
      </c>
      <c r="KX91" s="29">
        <f t="shared" si="186"/>
        <v>0</v>
      </c>
      <c r="KY91" s="5">
        <f t="shared" si="187"/>
        <v>103803040</v>
      </c>
      <c r="KZ91" s="29">
        <f t="shared" si="188"/>
        <v>0</v>
      </c>
      <c r="LA91" s="5">
        <f t="shared" si="230"/>
        <v>10300834</v>
      </c>
      <c r="LB91" s="29">
        <f t="shared" si="231"/>
        <v>0</v>
      </c>
      <c r="LC91" s="5">
        <f t="shared" si="232"/>
        <v>2379538</v>
      </c>
      <c r="LD91" s="29">
        <f t="shared" si="189"/>
        <v>0</v>
      </c>
      <c r="LE91" s="5">
        <f t="shared" si="190"/>
        <v>15849964</v>
      </c>
      <c r="LF91" s="29">
        <f t="shared" si="191"/>
        <v>0</v>
      </c>
      <c r="LG91" s="5">
        <f t="shared" si="192"/>
        <v>0</v>
      </c>
      <c r="LH91" s="29">
        <f t="shared" si="193"/>
        <v>0</v>
      </c>
      <c r="LI91" s="5">
        <f t="shared" si="194"/>
        <v>21188637</v>
      </c>
      <c r="LJ91" s="29">
        <f t="shared" si="195"/>
        <v>0</v>
      </c>
      <c r="LK91" s="5">
        <f t="shared" si="196"/>
        <v>0</v>
      </c>
      <c r="LL91" s="29">
        <f t="shared" si="197"/>
        <v>0</v>
      </c>
      <c r="LM91" s="5">
        <f t="shared" si="198"/>
        <v>0</v>
      </c>
      <c r="LN91" s="29">
        <f t="shared" si="199"/>
        <v>0</v>
      </c>
      <c r="LO91" s="5">
        <f t="shared" si="200"/>
        <v>835483</v>
      </c>
      <c r="LP91" s="29">
        <f t="shared" si="201"/>
        <v>0</v>
      </c>
      <c r="LQ91" s="5">
        <f t="shared" si="202"/>
        <v>8929782</v>
      </c>
      <c r="LR91" s="29">
        <f t="shared" si="203"/>
        <v>0</v>
      </c>
      <c r="LS91" s="5">
        <f t="shared" si="204"/>
        <v>1985060</v>
      </c>
      <c r="LT91" s="29">
        <f t="shared" si="205"/>
        <v>0</v>
      </c>
      <c r="LU91" s="5">
        <f t="shared" si="206"/>
        <v>5853874</v>
      </c>
      <c r="LV91" s="29">
        <f t="shared" si="207"/>
        <v>0</v>
      </c>
      <c r="LW91" s="5">
        <f t="shared" si="208"/>
        <v>2512812</v>
      </c>
      <c r="LX91" s="29">
        <f t="shared" si="209"/>
        <v>0</v>
      </c>
      <c r="LY91" s="5">
        <f t="shared" si="210"/>
        <v>683515</v>
      </c>
      <c r="LZ91" s="29">
        <f t="shared" si="211"/>
        <v>0</v>
      </c>
      <c r="MA91" s="5">
        <f t="shared" si="212"/>
        <v>21291110</v>
      </c>
      <c r="MB91" s="29">
        <f t="shared" si="213"/>
        <v>0</v>
      </c>
      <c r="MC91" s="5">
        <f t="shared" si="214"/>
        <v>697603</v>
      </c>
      <c r="MD91" s="29">
        <f t="shared" si="215"/>
        <v>0</v>
      </c>
      <c r="ME91" s="5">
        <f t="shared" si="216"/>
        <v>2312697</v>
      </c>
      <c r="MF91" s="29">
        <f t="shared" si="217"/>
        <v>0</v>
      </c>
      <c r="MG91" s="5">
        <f t="shared" si="218"/>
        <v>2506604</v>
      </c>
      <c r="MH91" s="29">
        <f t="shared" si="219"/>
        <v>0</v>
      </c>
      <c r="MI91" s="5">
        <f t="shared" si="220"/>
        <v>13440</v>
      </c>
      <c r="MJ91" s="29">
        <f t="shared" si="221"/>
        <v>0</v>
      </c>
      <c r="MK91" s="5">
        <f t="shared" si="222"/>
        <v>4934253</v>
      </c>
      <c r="ML91" s="29">
        <f t="shared" si="223"/>
        <v>0</v>
      </c>
      <c r="MM91" s="5">
        <f t="shared" si="224"/>
        <v>102275206</v>
      </c>
      <c r="MN91" s="29">
        <f t="shared" si="225"/>
        <v>0</v>
      </c>
      <c r="MO91" s="5">
        <f t="shared" si="226"/>
        <v>0</v>
      </c>
      <c r="MP91" s="29">
        <f t="shared" si="227"/>
        <v>0</v>
      </c>
      <c r="MQ91" s="5">
        <f t="shared" si="228"/>
        <v>102275206</v>
      </c>
      <c r="MR91" s="29">
        <f t="shared" si="229"/>
        <v>0</v>
      </c>
      <c r="MT91" s="5">
        <f t="shared" si="156"/>
        <v>0</v>
      </c>
      <c r="MV91" s="4">
        <f t="shared" si="155"/>
        <v>0</v>
      </c>
    </row>
    <row r="92" spans="1:360" x14ac:dyDescent="0.15">
      <c r="A92" s="157" t="s">
        <v>308</v>
      </c>
      <c r="B92" s="28" t="s">
        <v>407</v>
      </c>
      <c r="C92" s="48">
        <v>240727</v>
      </c>
      <c r="D92" s="48">
        <v>2012</v>
      </c>
      <c r="E92" s="49">
        <v>1</v>
      </c>
      <c r="F92" s="49">
        <v>10</v>
      </c>
      <c r="G92" s="50">
        <v>4189</v>
      </c>
      <c r="H92" s="50">
        <v>3802</v>
      </c>
      <c r="I92" s="51">
        <v>491551412</v>
      </c>
      <c r="J92" s="51"/>
      <c r="K92" s="51">
        <v>10530</v>
      </c>
      <c r="L92" s="51"/>
      <c r="M92" s="51">
        <v>10538957</v>
      </c>
      <c r="N92" s="51"/>
      <c r="O92" s="51">
        <v>22782</v>
      </c>
      <c r="P92" s="51"/>
      <c r="Q92" s="51">
        <v>81495212</v>
      </c>
      <c r="R92" s="51"/>
      <c r="S92" s="51">
        <v>438515434</v>
      </c>
      <c r="T92" s="51"/>
      <c r="U92" s="51">
        <v>14057</v>
      </c>
      <c r="V92" s="51"/>
      <c r="W92" s="51">
        <v>22787</v>
      </c>
      <c r="X92" s="51"/>
      <c r="Y92" s="51">
        <v>17147</v>
      </c>
      <c r="Z92" s="51"/>
      <c r="AA92" s="51">
        <v>25877</v>
      </c>
      <c r="AB92" s="51"/>
      <c r="AC92" s="72">
        <v>8</v>
      </c>
      <c r="AD92" s="72">
        <v>9</v>
      </c>
      <c r="AE92" s="72">
        <v>0</v>
      </c>
      <c r="AF92" s="29">
        <v>2486605</v>
      </c>
      <c r="AG92" s="29">
        <v>1532943</v>
      </c>
      <c r="AH92" s="29">
        <v>396584</v>
      </c>
      <c r="AI92" s="29">
        <v>144274</v>
      </c>
      <c r="AJ92" s="29">
        <v>470731</v>
      </c>
      <c r="AK92" s="73">
        <v>5</v>
      </c>
      <c r="AL92" s="29">
        <v>392275</v>
      </c>
      <c r="AM92" s="73">
        <v>6</v>
      </c>
      <c r="AN92" s="29">
        <v>145768</v>
      </c>
      <c r="AO92" s="73">
        <v>6</v>
      </c>
      <c r="AP92" s="29">
        <v>124944</v>
      </c>
      <c r="AQ92" s="73">
        <v>7</v>
      </c>
      <c r="AR92" s="29">
        <v>117546</v>
      </c>
      <c r="AS92" s="73">
        <v>18</v>
      </c>
      <c r="AT92" s="29">
        <v>97955</v>
      </c>
      <c r="AU92" s="73">
        <v>21</v>
      </c>
      <c r="AV92" s="29">
        <v>69707</v>
      </c>
      <c r="AW92" s="73">
        <v>12</v>
      </c>
      <c r="AX92" s="29">
        <v>53442</v>
      </c>
      <c r="AY92" s="73">
        <v>15</v>
      </c>
      <c r="AZ92" s="97">
        <v>3437941</v>
      </c>
      <c r="BA92" s="97">
        <v>636987</v>
      </c>
      <c r="BB92" s="97">
        <v>263096</v>
      </c>
      <c r="BC92" s="97">
        <v>55364</v>
      </c>
      <c r="BD92" s="97">
        <v>123062</v>
      </c>
      <c r="BE92" s="97">
        <v>4516450</v>
      </c>
      <c r="BF92" s="97">
        <v>0</v>
      </c>
      <c r="BG92" s="97">
        <v>0</v>
      </c>
      <c r="BH92" s="97">
        <v>0</v>
      </c>
      <c r="BI92" s="97">
        <v>0</v>
      </c>
      <c r="BJ92" s="97">
        <v>1411602</v>
      </c>
      <c r="BK92" s="97">
        <v>1411602</v>
      </c>
      <c r="BL92" s="97">
        <v>200000</v>
      </c>
      <c r="BM92" s="97">
        <v>10000</v>
      </c>
      <c r="BN92" s="97">
        <v>0</v>
      </c>
      <c r="BO92" s="97">
        <v>0</v>
      </c>
      <c r="BP92" s="97">
        <v>0</v>
      </c>
      <c r="BQ92" s="97">
        <v>210000</v>
      </c>
      <c r="BR92" s="97">
        <v>471779</v>
      </c>
      <c r="BS92" s="97">
        <v>545</v>
      </c>
      <c r="BT92" s="97">
        <v>3368</v>
      </c>
      <c r="BU92" s="97">
        <v>73565</v>
      </c>
      <c r="BV92" s="97">
        <v>2664039</v>
      </c>
      <c r="BW92" s="97">
        <v>3213296</v>
      </c>
      <c r="BX92" s="97">
        <v>47499</v>
      </c>
      <c r="BY92" s="97">
        <v>37420</v>
      </c>
      <c r="BZ92" s="97">
        <v>17300</v>
      </c>
      <c r="CA92" s="97">
        <v>81883</v>
      </c>
      <c r="CB92" s="97">
        <v>3785</v>
      </c>
      <c r="CC92" s="97">
        <v>187887</v>
      </c>
      <c r="CD92" s="97">
        <v>0</v>
      </c>
      <c r="CE92" s="97">
        <v>0</v>
      </c>
      <c r="CF92" s="97">
        <v>0</v>
      </c>
      <c r="CG92" s="97">
        <v>0</v>
      </c>
      <c r="CH92" s="97">
        <v>0</v>
      </c>
      <c r="CI92" s="97">
        <v>0</v>
      </c>
      <c r="CJ92" s="97">
        <v>3430882</v>
      </c>
      <c r="CK92" s="97">
        <v>1299837</v>
      </c>
      <c r="CL92" s="97">
        <v>709562</v>
      </c>
      <c r="CM92" s="97">
        <v>2740965</v>
      </c>
      <c r="CN92" s="97">
        <v>4872685</v>
      </c>
      <c r="CO92" s="97">
        <v>13053931</v>
      </c>
      <c r="CP92" s="97">
        <v>0</v>
      </c>
      <c r="CQ92" s="97">
        <v>0</v>
      </c>
      <c r="CR92" s="97">
        <v>0</v>
      </c>
      <c r="CS92" s="97">
        <v>0</v>
      </c>
      <c r="CT92" s="97">
        <v>764233</v>
      </c>
      <c r="CU92" s="97">
        <v>764233</v>
      </c>
      <c r="CV92" s="97">
        <v>1499424</v>
      </c>
      <c r="CW92" s="97">
        <v>1098685</v>
      </c>
      <c r="CX92" s="97">
        <v>0</v>
      </c>
      <c r="CY92" s="97">
        <v>0</v>
      </c>
      <c r="CZ92" s="97">
        <v>1015604</v>
      </c>
      <c r="DA92" s="97">
        <v>3613713</v>
      </c>
      <c r="DB92" s="97">
        <v>0</v>
      </c>
      <c r="DC92" s="97">
        <v>0</v>
      </c>
      <c r="DD92" s="97">
        <v>0</v>
      </c>
      <c r="DE92" s="97">
        <v>0</v>
      </c>
      <c r="DF92" s="97">
        <v>0</v>
      </c>
      <c r="DG92" s="97">
        <v>0</v>
      </c>
      <c r="DH92" s="97">
        <v>232921</v>
      </c>
      <c r="DI92" s="97">
        <v>53524</v>
      </c>
      <c r="DJ92" s="97">
        <v>17031</v>
      </c>
      <c r="DK92" s="97">
        <v>8232</v>
      </c>
      <c r="DL92" s="97">
        <v>174462</v>
      </c>
      <c r="DM92" s="97">
        <v>486170</v>
      </c>
      <c r="DN92" s="97">
        <v>0</v>
      </c>
      <c r="DO92" s="97">
        <v>0</v>
      </c>
      <c r="DP92" s="97">
        <v>0</v>
      </c>
      <c r="DQ92" s="97">
        <v>0</v>
      </c>
      <c r="DR92" s="97">
        <v>1250528</v>
      </c>
      <c r="DS92" s="97">
        <v>1250528</v>
      </c>
      <c r="DT92" s="97">
        <v>0</v>
      </c>
      <c r="DU92" s="97">
        <v>0</v>
      </c>
      <c r="DV92" s="97">
        <v>0</v>
      </c>
      <c r="DW92" s="97">
        <v>0</v>
      </c>
      <c r="DX92" s="97">
        <v>0</v>
      </c>
      <c r="DY92" s="97">
        <v>0</v>
      </c>
      <c r="DZ92" s="97">
        <v>51780</v>
      </c>
      <c r="EA92" s="97">
        <v>56138</v>
      </c>
      <c r="EB92" s="97">
        <v>6630</v>
      </c>
      <c r="EC92" s="97">
        <v>148553</v>
      </c>
      <c r="ED92" s="97">
        <v>303504</v>
      </c>
      <c r="EE92" s="97">
        <v>566605</v>
      </c>
      <c r="EF92" s="97">
        <v>16182</v>
      </c>
      <c r="EG92" s="97">
        <v>5382</v>
      </c>
      <c r="EH92" s="97">
        <v>2000</v>
      </c>
      <c r="EI92" s="97">
        <v>242219</v>
      </c>
      <c r="EJ92" s="97">
        <v>726675</v>
      </c>
      <c r="EK92" s="97">
        <v>992458</v>
      </c>
      <c r="EL92" s="97">
        <v>9388408</v>
      </c>
      <c r="EM92" s="97">
        <v>3198518</v>
      </c>
      <c r="EN92" s="97">
        <v>1018987</v>
      </c>
      <c r="EO92" s="97">
        <v>3350781</v>
      </c>
      <c r="EP92" s="97">
        <v>13310179</v>
      </c>
      <c r="EQ92" s="97">
        <v>30266873</v>
      </c>
      <c r="ER92" s="97">
        <v>1578558</v>
      </c>
      <c r="ES92" s="97">
        <v>317132</v>
      </c>
      <c r="ET92" s="97">
        <v>199651</v>
      </c>
      <c r="EU92" s="97">
        <v>1924207</v>
      </c>
      <c r="EV92" s="97">
        <v>1439256</v>
      </c>
      <c r="EW92" s="97">
        <v>5458804</v>
      </c>
      <c r="EX92" s="97">
        <v>635000</v>
      </c>
      <c r="EY92" s="97">
        <v>312472</v>
      </c>
      <c r="EZ92" s="97">
        <v>28000</v>
      </c>
      <c r="FA92" s="97">
        <v>31831</v>
      </c>
      <c r="FB92" s="97">
        <v>0</v>
      </c>
      <c r="FC92" s="97">
        <v>1007303</v>
      </c>
      <c r="FD92" s="97">
        <v>2594884</v>
      </c>
      <c r="FE92" s="97">
        <v>1179604</v>
      </c>
      <c r="FF92" s="97">
        <v>617943</v>
      </c>
      <c r="FG92" s="97">
        <v>1694539</v>
      </c>
      <c r="FH92" s="97">
        <v>0</v>
      </c>
      <c r="FI92" s="97">
        <v>6086970</v>
      </c>
      <c r="FJ92" s="97">
        <v>35333</v>
      </c>
      <c r="FK92" s="97">
        <v>28500</v>
      </c>
      <c r="FL92" s="97">
        <v>13500</v>
      </c>
      <c r="FM92" s="97">
        <v>79175</v>
      </c>
      <c r="FN92" s="97">
        <v>0</v>
      </c>
      <c r="FO92" s="97">
        <v>156508</v>
      </c>
      <c r="FP92" s="97">
        <v>638072</v>
      </c>
      <c r="FQ92" s="97">
        <v>169667</v>
      </c>
      <c r="FR92" s="97">
        <v>136029</v>
      </c>
      <c r="FS92" s="97">
        <v>71042</v>
      </c>
      <c r="FT92" s="97">
        <v>4897951</v>
      </c>
      <c r="FU92" s="97">
        <v>5912761</v>
      </c>
      <c r="FV92" s="97">
        <v>12166</v>
      </c>
      <c r="FW92" s="97">
        <v>8920</v>
      </c>
      <c r="FX92" s="97">
        <v>3800</v>
      </c>
      <c r="FY92" s="97">
        <v>2708</v>
      </c>
      <c r="FZ92" s="97">
        <v>3785</v>
      </c>
      <c r="GA92" s="97">
        <v>31379</v>
      </c>
      <c r="GB92" s="97">
        <v>0</v>
      </c>
      <c r="GC92" s="97">
        <v>273059</v>
      </c>
      <c r="GD92" s="97">
        <v>0</v>
      </c>
      <c r="GE92" s="97">
        <v>0</v>
      </c>
      <c r="GF92" s="97">
        <v>0</v>
      </c>
      <c r="GG92" s="97">
        <v>273059</v>
      </c>
      <c r="GH92" s="97">
        <v>206636</v>
      </c>
      <c r="GI92" s="97">
        <v>152125</v>
      </c>
      <c r="GJ92" s="97">
        <v>54698</v>
      </c>
      <c r="GK92" s="97">
        <v>127399</v>
      </c>
      <c r="GL92" s="97">
        <v>37599</v>
      </c>
      <c r="GM92" s="97">
        <v>578457</v>
      </c>
      <c r="GN92" s="97">
        <v>886466</v>
      </c>
      <c r="GO92" s="97">
        <v>278848</v>
      </c>
      <c r="GP92" s="97">
        <v>283014</v>
      </c>
      <c r="GQ92" s="97">
        <v>1073047</v>
      </c>
      <c r="GR92" s="97">
        <v>10118</v>
      </c>
      <c r="GS92" s="97">
        <v>2531493</v>
      </c>
      <c r="GT92" s="97">
        <v>240965</v>
      </c>
      <c r="GU92" s="97">
        <v>28423</v>
      </c>
      <c r="GV92" s="97">
        <v>24776</v>
      </c>
      <c r="GW92" s="97">
        <v>173753</v>
      </c>
      <c r="GX92" s="97">
        <v>116993</v>
      </c>
      <c r="GY92" s="97">
        <v>584910</v>
      </c>
      <c r="GZ92" s="97">
        <v>97337</v>
      </c>
      <c r="HA92" s="97">
        <v>128019</v>
      </c>
      <c r="HB92" s="97">
        <v>82512</v>
      </c>
      <c r="HC92" s="97">
        <v>66390</v>
      </c>
      <c r="HD92" s="97">
        <v>766518</v>
      </c>
      <c r="HE92" s="97">
        <v>1140776</v>
      </c>
      <c r="HF92" s="97">
        <v>0</v>
      </c>
      <c r="HG92" s="97">
        <v>0</v>
      </c>
      <c r="HH92" s="97">
        <v>0</v>
      </c>
      <c r="HI92" s="97">
        <v>0</v>
      </c>
      <c r="HJ92" s="97">
        <v>176236</v>
      </c>
      <c r="HK92" s="97">
        <v>176236</v>
      </c>
      <c r="HL92" s="97">
        <v>0</v>
      </c>
      <c r="HM92" s="97">
        <v>0</v>
      </c>
      <c r="HN92" s="97">
        <v>0</v>
      </c>
      <c r="HO92" s="97">
        <v>0</v>
      </c>
      <c r="HP92" s="97">
        <v>0</v>
      </c>
      <c r="HQ92" s="97">
        <v>0</v>
      </c>
      <c r="HR92" s="97">
        <v>0</v>
      </c>
      <c r="HS92" s="97">
        <v>0</v>
      </c>
      <c r="HT92" s="97">
        <v>0</v>
      </c>
      <c r="HU92" s="97">
        <v>0</v>
      </c>
      <c r="HV92" s="97">
        <v>2876466</v>
      </c>
      <c r="HW92" s="97">
        <v>2876466</v>
      </c>
      <c r="HX92" s="97">
        <v>0</v>
      </c>
      <c r="HY92" s="97">
        <v>0</v>
      </c>
      <c r="HZ92" s="97">
        <v>0</v>
      </c>
      <c r="IA92" s="97">
        <v>0</v>
      </c>
      <c r="IB92" s="97">
        <v>1874</v>
      </c>
      <c r="IC92" s="97">
        <v>1874</v>
      </c>
      <c r="ID92" s="97">
        <v>0</v>
      </c>
      <c r="IE92" s="97">
        <v>0</v>
      </c>
      <c r="IF92" s="97">
        <v>0</v>
      </c>
      <c r="IG92" s="97">
        <v>0</v>
      </c>
      <c r="IH92" s="97">
        <v>764233</v>
      </c>
      <c r="II92" s="97">
        <v>764233</v>
      </c>
      <c r="IJ92" s="97">
        <v>0</v>
      </c>
      <c r="IK92" s="97">
        <v>0</v>
      </c>
      <c r="IL92" s="97">
        <v>0</v>
      </c>
      <c r="IM92" s="97">
        <v>0</v>
      </c>
      <c r="IN92" s="97">
        <v>572650</v>
      </c>
      <c r="IO92" s="97">
        <v>572650</v>
      </c>
      <c r="IP92" s="97">
        <v>40</v>
      </c>
      <c r="IQ92" s="97">
        <v>1340</v>
      </c>
      <c r="IR92" s="97">
        <v>1713</v>
      </c>
      <c r="IS92" s="97">
        <v>12069</v>
      </c>
      <c r="IT92" s="97">
        <v>395561</v>
      </c>
      <c r="IU92" s="97">
        <v>410723</v>
      </c>
      <c r="IV92" s="97">
        <v>283985</v>
      </c>
      <c r="IW92" s="97">
        <v>162941</v>
      </c>
      <c r="IX92" s="97">
        <v>98446</v>
      </c>
      <c r="IY92" s="97">
        <v>220873</v>
      </c>
      <c r="IZ92" s="97">
        <v>1145305</v>
      </c>
      <c r="JA92" s="97">
        <v>1911550</v>
      </c>
      <c r="JB92" s="97">
        <v>7209442</v>
      </c>
      <c r="JC92" s="97">
        <v>3041050</v>
      </c>
      <c r="JD92" s="97">
        <v>1544082</v>
      </c>
      <c r="JE92" s="97">
        <v>5477033</v>
      </c>
      <c r="JF92" s="97">
        <v>13204545</v>
      </c>
      <c r="JG92" s="97">
        <v>30476152</v>
      </c>
      <c r="JH92" s="97">
        <v>0</v>
      </c>
      <c r="JI92" s="97">
        <v>0</v>
      </c>
      <c r="JJ92" s="97">
        <v>0</v>
      </c>
      <c r="JK92" s="97">
        <v>0</v>
      </c>
      <c r="JL92" s="97">
        <v>0</v>
      </c>
      <c r="JM92" s="97">
        <v>0</v>
      </c>
      <c r="JN92" s="97">
        <v>7209442</v>
      </c>
      <c r="JO92" s="97">
        <v>3041050</v>
      </c>
      <c r="JP92" s="97">
        <v>1544082</v>
      </c>
      <c r="JQ92" s="97">
        <v>5477033</v>
      </c>
      <c r="JR92" s="97">
        <v>13204545</v>
      </c>
      <c r="JS92" s="97">
        <v>30476152</v>
      </c>
      <c r="JU92" s="5">
        <f t="shared" si="157"/>
        <v>4516450</v>
      </c>
      <c r="JV92" s="29">
        <f t="shared" si="158"/>
        <v>0</v>
      </c>
      <c r="JW92" s="5">
        <f t="shared" si="159"/>
        <v>1411602</v>
      </c>
      <c r="JX92" s="29">
        <f t="shared" si="160"/>
        <v>0</v>
      </c>
      <c r="JY92" s="5">
        <f t="shared" si="161"/>
        <v>210000</v>
      </c>
      <c r="JZ92" s="29">
        <f t="shared" si="162"/>
        <v>0</v>
      </c>
      <c r="KA92" s="5">
        <f t="shared" si="163"/>
        <v>3213296</v>
      </c>
      <c r="KB92" s="29">
        <f t="shared" si="164"/>
        <v>0</v>
      </c>
      <c r="KC92" s="5">
        <f t="shared" si="165"/>
        <v>187887</v>
      </c>
      <c r="KD92" s="29">
        <f t="shared" si="166"/>
        <v>0</v>
      </c>
      <c r="KE92" s="5">
        <f t="shared" si="167"/>
        <v>0</v>
      </c>
      <c r="KF92" s="29">
        <f t="shared" si="168"/>
        <v>0</v>
      </c>
      <c r="KG92" s="5">
        <f t="shared" si="169"/>
        <v>13053931</v>
      </c>
      <c r="KH92" s="29">
        <f t="shared" si="170"/>
        <v>0</v>
      </c>
      <c r="KI92" s="5">
        <f t="shared" si="171"/>
        <v>764233</v>
      </c>
      <c r="KJ92" s="29">
        <f t="shared" si="172"/>
        <v>0</v>
      </c>
      <c r="KK92" s="5">
        <f t="shared" si="173"/>
        <v>3613713</v>
      </c>
      <c r="KL92" s="29">
        <f t="shared" si="174"/>
        <v>0</v>
      </c>
      <c r="KM92" s="5">
        <f t="shared" si="175"/>
        <v>0</v>
      </c>
      <c r="KN92" s="29">
        <f t="shared" si="176"/>
        <v>0</v>
      </c>
      <c r="KO92" s="5">
        <f t="shared" si="177"/>
        <v>486170</v>
      </c>
      <c r="KP92" s="29">
        <f t="shared" si="178"/>
        <v>0</v>
      </c>
      <c r="KQ92" s="5">
        <f t="shared" si="179"/>
        <v>1250528</v>
      </c>
      <c r="KR92" s="29">
        <f t="shared" si="180"/>
        <v>0</v>
      </c>
      <c r="KS92" s="5">
        <f t="shared" si="181"/>
        <v>0</v>
      </c>
      <c r="KT92" s="29">
        <f t="shared" si="182"/>
        <v>0</v>
      </c>
      <c r="KU92" s="5">
        <f t="shared" si="183"/>
        <v>566605</v>
      </c>
      <c r="KV92" s="29">
        <f t="shared" si="184"/>
        <v>0</v>
      </c>
      <c r="KW92" s="5">
        <f t="shared" si="185"/>
        <v>992458</v>
      </c>
      <c r="KX92" s="29">
        <f t="shared" si="186"/>
        <v>0</v>
      </c>
      <c r="KY92" s="5">
        <f t="shared" si="187"/>
        <v>30266873</v>
      </c>
      <c r="KZ92" s="29">
        <f t="shared" si="188"/>
        <v>0</v>
      </c>
      <c r="LA92" s="5">
        <f t="shared" si="230"/>
        <v>5458804</v>
      </c>
      <c r="LB92" s="29">
        <f t="shared" si="231"/>
        <v>0</v>
      </c>
      <c r="LC92" s="5">
        <f t="shared" si="232"/>
        <v>1007303</v>
      </c>
      <c r="LD92" s="29">
        <f t="shared" si="189"/>
        <v>0</v>
      </c>
      <c r="LE92" s="5">
        <f t="shared" si="190"/>
        <v>6086970</v>
      </c>
      <c r="LF92" s="29">
        <f t="shared" si="191"/>
        <v>0</v>
      </c>
      <c r="LG92" s="5">
        <f t="shared" si="192"/>
        <v>156508</v>
      </c>
      <c r="LH92" s="29">
        <f t="shared" si="193"/>
        <v>0</v>
      </c>
      <c r="LI92" s="5">
        <f t="shared" si="194"/>
        <v>5912761</v>
      </c>
      <c r="LJ92" s="29">
        <f t="shared" si="195"/>
        <v>0</v>
      </c>
      <c r="LK92" s="5">
        <f t="shared" si="196"/>
        <v>31379</v>
      </c>
      <c r="LL92" s="29">
        <f t="shared" si="197"/>
        <v>0</v>
      </c>
      <c r="LM92" s="5">
        <f t="shared" si="198"/>
        <v>273059</v>
      </c>
      <c r="LN92" s="29">
        <f t="shared" si="199"/>
        <v>0</v>
      </c>
      <c r="LO92" s="5">
        <f t="shared" si="200"/>
        <v>578457</v>
      </c>
      <c r="LP92" s="29">
        <f t="shared" si="201"/>
        <v>0</v>
      </c>
      <c r="LQ92" s="5">
        <f t="shared" si="202"/>
        <v>2531493</v>
      </c>
      <c r="LR92" s="29">
        <f t="shared" si="203"/>
        <v>0</v>
      </c>
      <c r="LS92" s="5">
        <f t="shared" si="204"/>
        <v>584910</v>
      </c>
      <c r="LT92" s="29">
        <f t="shared" si="205"/>
        <v>0</v>
      </c>
      <c r="LU92" s="5">
        <f t="shared" si="206"/>
        <v>1140776</v>
      </c>
      <c r="LV92" s="29">
        <f t="shared" si="207"/>
        <v>0</v>
      </c>
      <c r="LW92" s="5">
        <f t="shared" si="208"/>
        <v>176236</v>
      </c>
      <c r="LX92" s="29">
        <f t="shared" si="209"/>
        <v>0</v>
      </c>
      <c r="LY92" s="5">
        <f t="shared" si="210"/>
        <v>0</v>
      </c>
      <c r="LZ92" s="29">
        <f t="shared" si="211"/>
        <v>0</v>
      </c>
      <c r="MA92" s="5">
        <f t="shared" si="212"/>
        <v>2876466</v>
      </c>
      <c r="MB92" s="29">
        <f t="shared" si="213"/>
        <v>0</v>
      </c>
      <c r="MC92" s="5">
        <f t="shared" si="214"/>
        <v>1874</v>
      </c>
      <c r="MD92" s="29">
        <f t="shared" si="215"/>
        <v>0</v>
      </c>
      <c r="ME92" s="5">
        <f t="shared" si="216"/>
        <v>764233</v>
      </c>
      <c r="MF92" s="29">
        <f t="shared" si="217"/>
        <v>0</v>
      </c>
      <c r="MG92" s="5">
        <f t="shared" si="218"/>
        <v>572650</v>
      </c>
      <c r="MH92" s="29">
        <f t="shared" si="219"/>
        <v>0</v>
      </c>
      <c r="MI92" s="5">
        <f t="shared" si="220"/>
        <v>410723</v>
      </c>
      <c r="MJ92" s="29">
        <f t="shared" si="221"/>
        <v>0</v>
      </c>
      <c r="MK92" s="5">
        <f t="shared" si="222"/>
        <v>1911550</v>
      </c>
      <c r="ML92" s="29">
        <f t="shared" si="223"/>
        <v>0</v>
      </c>
      <c r="MM92" s="5">
        <f t="shared" si="224"/>
        <v>30476152</v>
      </c>
      <c r="MN92" s="29">
        <f t="shared" si="225"/>
        <v>0</v>
      </c>
      <c r="MO92" s="5">
        <f t="shared" si="226"/>
        <v>0</v>
      </c>
      <c r="MP92" s="29">
        <f t="shared" si="227"/>
        <v>0</v>
      </c>
      <c r="MQ92" s="5">
        <f t="shared" si="228"/>
        <v>30476152</v>
      </c>
      <c r="MR92" s="29">
        <f t="shared" si="229"/>
        <v>0</v>
      </c>
      <c r="MT92" s="5">
        <f t="shared" si="156"/>
        <v>0</v>
      </c>
      <c r="MV92" s="4">
        <f t="shared" ref="MV92" si="307">IF(MT92=0,0,1)</f>
        <v>0</v>
      </c>
    </row>
    <row r="93" spans="1:360" x14ac:dyDescent="0.15">
      <c r="A93" s="18">
        <f>COUNTA(A3:A92)</f>
        <v>90</v>
      </c>
      <c r="JV93" s="29">
        <f>SUM(JV3:JV92)</f>
        <v>-0.5300000011920929</v>
      </c>
      <c r="JX93" s="29">
        <f>SUM(JX3:JX92)</f>
        <v>0</v>
      </c>
      <c r="JZ93" s="29">
        <f>SUM(JZ3:JZ92)</f>
        <v>0</v>
      </c>
      <c r="KB93" s="29">
        <f>SUM(KB3:KB92)</f>
        <v>-1.0399999991059303</v>
      </c>
      <c r="KD93" s="29">
        <f>SUM(KD3:KD92)</f>
        <v>0</v>
      </c>
      <c r="KF93" s="29">
        <f>SUM(KF3:KF92)</f>
        <v>0</v>
      </c>
      <c r="KH93" s="29">
        <f>SUM(KH3:KH92)</f>
        <v>0</v>
      </c>
      <c r="KJ93" s="29">
        <f>SUM(KJ3:KJ92)</f>
        <v>0</v>
      </c>
      <c r="KL93" s="29">
        <f>SUM(KL3:KL92)</f>
        <v>0</v>
      </c>
      <c r="KN93" s="29">
        <f>SUM(KN3:KN92)</f>
        <v>0</v>
      </c>
      <c r="KP93" s="29">
        <f>SUM(KP3:KP92)</f>
        <v>0</v>
      </c>
      <c r="KR93" s="29">
        <f>SUM(KR3:KR92)</f>
        <v>0</v>
      </c>
      <c r="KT93" s="29">
        <f>SUM(KT3:KT92)</f>
        <v>0</v>
      </c>
      <c r="KV93" s="29">
        <f>SUM(KV3:KV92)</f>
        <v>0</v>
      </c>
      <c r="KX93" s="29">
        <f>SUM(KX3:KX92)</f>
        <v>0</v>
      </c>
      <c r="KZ93" s="29">
        <f>SUM(KZ3:KZ92)</f>
        <v>-0.24000000953674316</v>
      </c>
      <c r="LB93" s="29">
        <f>SUM(LB3:LB92)</f>
        <v>0</v>
      </c>
      <c r="LD93" s="29">
        <f>SUM(LD3:LD92)</f>
        <v>0</v>
      </c>
      <c r="LF93" s="29">
        <f>SUM(LF3:LF92)</f>
        <v>0</v>
      </c>
      <c r="LH93" s="29">
        <f>SUM(LH3:LH92)</f>
        <v>0</v>
      </c>
      <c r="LJ93" s="29">
        <f>SUM(LJ3:LJ92)</f>
        <v>543373</v>
      </c>
      <c r="LL93" s="29">
        <f>SUM(LL3:LL92)</f>
        <v>0</v>
      </c>
      <c r="LN93" s="29">
        <f>SUM(LN3:LN92)</f>
        <v>0</v>
      </c>
      <c r="LP93" s="29">
        <f>SUM(LP3:LP92)</f>
        <v>0</v>
      </c>
      <c r="LR93" s="29">
        <f>SUM(LR3:LR92)</f>
        <v>0</v>
      </c>
      <c r="LT93" s="29">
        <f>SUM(LT3:LT92)</f>
        <v>0</v>
      </c>
      <c r="LV93" s="29">
        <f>SUM(LV3:LV92)</f>
        <v>0</v>
      </c>
      <c r="LX93" s="29">
        <f>SUM(LX3:LX92)</f>
        <v>0</v>
      </c>
      <c r="LZ93" s="29">
        <f>SUM(LZ3:LZ92)</f>
        <v>0</v>
      </c>
      <c r="MB93" s="29">
        <f>SUM(MB3:MB92)</f>
        <v>0</v>
      </c>
      <c r="MD93" s="29">
        <f>SUM(MD3:MD92)</f>
        <v>0</v>
      </c>
      <c r="MF93" s="29">
        <f>SUM(MF3:MF92)</f>
        <v>0</v>
      </c>
      <c r="MH93" s="29">
        <f>SUM(MH3:MH92)</f>
        <v>0</v>
      </c>
      <c r="MJ93" s="29">
        <f>SUM(MJ3:MJ92)</f>
        <v>0</v>
      </c>
      <c r="ML93" s="29">
        <f>SUM(ML3:ML92)</f>
        <v>0</v>
      </c>
      <c r="MN93" s="29">
        <f>SUM(MN3:MN92)</f>
        <v>0</v>
      </c>
      <c r="MP93" s="29">
        <f>SUM(MP3:MP92)</f>
        <v>0</v>
      </c>
      <c r="MR93" s="29">
        <f>SUM(MR3:MR92)</f>
        <v>0</v>
      </c>
      <c r="MT93" s="5">
        <f>SUM(JV93,JX93,JZ93,KB93,KD93,KF93,KH93,KJ93,KL93,KN93,KP93,KR93,KT93,KV93,KX93,KZ93,LB93,LD93,LF93,LH93,LJ93,LL93,LN93,LP93,LR93,LT93,LV93,LX93,LZ93,MB93,MD93,MF93,MH93,MJ93,ML93,MN93,MP93,MR93)</f>
        <v>543371.18999999017</v>
      </c>
      <c r="MU93" s="5">
        <f>SUM(MT3:MT92)</f>
        <v>543372.22999998927</v>
      </c>
      <c r="MV93" s="4">
        <f>SUM(MV3:MV92)</f>
        <v>2</v>
      </c>
    </row>
    <row r="94" spans="1:360" x14ac:dyDescent="0.15">
      <c r="AC94" s="19"/>
      <c r="AD94" s="19"/>
      <c r="AE94" s="19"/>
    </row>
    <row r="95" spans="1:360" x14ac:dyDescent="0.15">
      <c r="A95" s="18" t="s">
        <v>479</v>
      </c>
      <c r="B95" s="4"/>
      <c r="C95" s="4"/>
      <c r="D95" s="4"/>
      <c r="G95" s="19">
        <f>MIN(G3:G92)</f>
        <v>3288</v>
      </c>
      <c r="H95" s="19">
        <f t="shared" ref="H95:BS95" si="308">MIN(H3:H92)</f>
        <v>2892</v>
      </c>
      <c r="I95" s="19">
        <f t="shared" si="308"/>
        <v>153471261</v>
      </c>
      <c r="J95" s="19">
        <f t="shared" si="308"/>
        <v>154999189</v>
      </c>
      <c r="K95" s="19">
        <f t="shared" si="308"/>
        <v>0</v>
      </c>
      <c r="L95" s="19">
        <f t="shared" si="308"/>
        <v>0</v>
      </c>
      <c r="M95" s="19">
        <f t="shared" si="308"/>
        <v>0</v>
      </c>
      <c r="N95" s="19">
        <f t="shared" si="308"/>
        <v>0</v>
      </c>
      <c r="O95" s="19">
        <f t="shared" si="308"/>
        <v>0</v>
      </c>
      <c r="P95" s="19">
        <f t="shared" si="308"/>
        <v>0</v>
      </c>
      <c r="Q95" s="19">
        <f t="shared" si="308"/>
        <v>1845325</v>
      </c>
      <c r="R95" s="19">
        <f t="shared" si="308"/>
        <v>0</v>
      </c>
      <c r="S95" s="19">
        <f t="shared" si="308"/>
        <v>4257140</v>
      </c>
      <c r="T95" s="19">
        <f t="shared" si="308"/>
        <v>127428500</v>
      </c>
      <c r="U95" s="19">
        <f t="shared" si="308"/>
        <v>10810</v>
      </c>
      <c r="V95" s="19">
        <f t="shared" si="308"/>
        <v>12198</v>
      </c>
      <c r="W95" s="19">
        <f t="shared" si="308"/>
        <v>18222</v>
      </c>
      <c r="X95" s="19">
        <f t="shared" si="308"/>
        <v>16791</v>
      </c>
      <c r="Y95" s="19">
        <f t="shared" si="308"/>
        <v>16389</v>
      </c>
      <c r="Z95" s="19">
        <f t="shared" si="308"/>
        <v>15903</v>
      </c>
      <c r="AA95" s="19">
        <f t="shared" si="308"/>
        <v>23515</v>
      </c>
      <c r="AB95" s="19">
        <f t="shared" si="308"/>
        <v>21840</v>
      </c>
      <c r="AC95" s="19">
        <f t="shared" si="308"/>
        <v>5</v>
      </c>
      <c r="AD95" s="19">
        <f t="shared" si="308"/>
        <v>8</v>
      </c>
      <c r="AE95" s="19">
        <f t="shared" si="308"/>
        <v>0</v>
      </c>
      <c r="AF95" s="19">
        <f t="shared" si="308"/>
        <v>1873290</v>
      </c>
      <c r="AG95" s="19">
        <f t="shared" si="308"/>
        <v>1153349</v>
      </c>
      <c r="AH95" s="19">
        <f t="shared" si="308"/>
        <v>151106</v>
      </c>
      <c r="AI95" s="19">
        <f t="shared" si="308"/>
        <v>60672</v>
      </c>
      <c r="AJ95" s="19">
        <f t="shared" si="308"/>
        <v>120226.66666666667</v>
      </c>
      <c r="AK95" s="19">
        <f t="shared" si="308"/>
        <v>0.5</v>
      </c>
      <c r="AL95" s="19">
        <f t="shared" si="308"/>
        <v>98856.33</v>
      </c>
      <c r="AM95" s="19">
        <f t="shared" si="308"/>
        <v>4</v>
      </c>
      <c r="AN95" s="19">
        <f t="shared" si="308"/>
        <v>63373.230769230766</v>
      </c>
      <c r="AO95" s="19">
        <f t="shared" si="308"/>
        <v>0.5</v>
      </c>
      <c r="AP95" s="19">
        <f t="shared" si="308"/>
        <v>54943</v>
      </c>
      <c r="AQ95" s="19">
        <f t="shared" si="308"/>
        <v>6</v>
      </c>
      <c r="AR95" s="19">
        <f t="shared" si="308"/>
        <v>65942.740000000005</v>
      </c>
      <c r="AS95" s="19">
        <f t="shared" si="308"/>
        <v>2.5</v>
      </c>
      <c r="AT95" s="19">
        <f t="shared" si="308"/>
        <v>48302.2</v>
      </c>
      <c r="AU95" s="19">
        <f t="shared" si="308"/>
        <v>14</v>
      </c>
      <c r="AV95" s="19">
        <f t="shared" si="308"/>
        <v>33662</v>
      </c>
      <c r="AW95" s="19">
        <f t="shared" si="308"/>
        <v>2.5</v>
      </c>
      <c r="AX95" s="19">
        <f t="shared" si="308"/>
        <v>23308.727272727272</v>
      </c>
      <c r="AY95" s="19">
        <f t="shared" si="308"/>
        <v>10</v>
      </c>
      <c r="AZ95" s="19">
        <f t="shared" si="308"/>
        <v>87702</v>
      </c>
      <c r="BA95" s="19">
        <f t="shared" si="308"/>
        <v>34957</v>
      </c>
      <c r="BB95" s="19">
        <f t="shared" si="308"/>
        <v>0</v>
      </c>
      <c r="BC95" s="19">
        <f t="shared" si="308"/>
        <v>-0.23000000044703484</v>
      </c>
      <c r="BD95" s="19">
        <f t="shared" si="308"/>
        <v>0</v>
      </c>
      <c r="BE95" s="19">
        <f t="shared" si="308"/>
        <v>173973</v>
      </c>
      <c r="BF95" s="19">
        <f t="shared" si="308"/>
        <v>0</v>
      </c>
      <c r="BG95" s="19">
        <f t="shared" si="308"/>
        <v>0</v>
      </c>
      <c r="BH95" s="19">
        <f t="shared" si="308"/>
        <v>0</v>
      </c>
      <c r="BI95" s="19">
        <f t="shared" si="308"/>
        <v>0</v>
      </c>
      <c r="BJ95" s="19">
        <f t="shared" si="308"/>
        <v>0</v>
      </c>
      <c r="BK95" s="19">
        <f t="shared" si="308"/>
        <v>0</v>
      </c>
      <c r="BL95" s="19">
        <f t="shared" si="308"/>
        <v>0</v>
      </c>
      <c r="BM95" s="19">
        <f t="shared" si="308"/>
        <v>0</v>
      </c>
      <c r="BN95" s="19">
        <f t="shared" si="308"/>
        <v>0</v>
      </c>
      <c r="BO95" s="19">
        <f t="shared" si="308"/>
        <v>0</v>
      </c>
      <c r="BP95" s="19">
        <f t="shared" si="308"/>
        <v>0</v>
      </c>
      <c r="BQ95" s="19">
        <f t="shared" si="308"/>
        <v>0</v>
      </c>
      <c r="BR95" s="19">
        <f t="shared" si="308"/>
        <v>0</v>
      </c>
      <c r="BS95" s="19">
        <f t="shared" si="308"/>
        <v>0</v>
      </c>
      <c r="BT95" s="19">
        <f t="shared" ref="BT95:EE95" si="309">MIN(BT3:BT92)</f>
        <v>0</v>
      </c>
      <c r="BU95" s="19">
        <f t="shared" si="309"/>
        <v>0</v>
      </c>
      <c r="BV95" s="19">
        <f t="shared" si="309"/>
        <v>330</v>
      </c>
      <c r="BW95" s="19">
        <f t="shared" si="309"/>
        <v>84237</v>
      </c>
      <c r="BX95" s="19">
        <f t="shared" si="309"/>
        <v>0</v>
      </c>
      <c r="BY95" s="19">
        <f t="shared" si="309"/>
        <v>0</v>
      </c>
      <c r="BZ95" s="19">
        <f t="shared" si="309"/>
        <v>0</v>
      </c>
      <c r="CA95" s="19">
        <f t="shared" si="309"/>
        <v>0</v>
      </c>
      <c r="CB95" s="19">
        <f t="shared" si="309"/>
        <v>0</v>
      </c>
      <c r="CC95" s="19">
        <f t="shared" si="309"/>
        <v>0</v>
      </c>
      <c r="CD95" s="19">
        <f t="shared" si="309"/>
        <v>0</v>
      </c>
      <c r="CE95" s="19">
        <f t="shared" si="309"/>
        <v>0</v>
      </c>
      <c r="CF95" s="19">
        <f t="shared" si="309"/>
        <v>0</v>
      </c>
      <c r="CG95" s="19">
        <f t="shared" si="309"/>
        <v>0</v>
      </c>
      <c r="CH95" s="19">
        <f t="shared" si="309"/>
        <v>0</v>
      </c>
      <c r="CI95" s="19">
        <f t="shared" si="309"/>
        <v>0</v>
      </c>
      <c r="CJ95" s="19">
        <f t="shared" si="309"/>
        <v>0</v>
      </c>
      <c r="CK95" s="19">
        <f t="shared" si="309"/>
        <v>0</v>
      </c>
      <c r="CL95" s="19">
        <f t="shared" si="309"/>
        <v>0</v>
      </c>
      <c r="CM95" s="19">
        <f t="shared" si="309"/>
        <v>0</v>
      </c>
      <c r="CN95" s="19">
        <f t="shared" si="309"/>
        <v>0</v>
      </c>
      <c r="CO95" s="19">
        <f t="shared" si="309"/>
        <v>0</v>
      </c>
      <c r="CP95" s="19">
        <f t="shared" si="309"/>
        <v>0</v>
      </c>
      <c r="CQ95" s="19">
        <f t="shared" si="309"/>
        <v>0</v>
      </c>
      <c r="CR95" s="19">
        <f t="shared" si="309"/>
        <v>0</v>
      </c>
      <c r="CS95" s="19">
        <f t="shared" si="309"/>
        <v>0</v>
      </c>
      <c r="CT95" s="19">
        <f t="shared" si="309"/>
        <v>0</v>
      </c>
      <c r="CU95" s="19">
        <f t="shared" si="309"/>
        <v>0</v>
      </c>
      <c r="CV95" s="19">
        <f t="shared" si="309"/>
        <v>0</v>
      </c>
      <c r="CW95" s="19">
        <f t="shared" si="309"/>
        <v>0</v>
      </c>
      <c r="CX95" s="19">
        <f t="shared" si="309"/>
        <v>0</v>
      </c>
      <c r="CY95" s="19">
        <f t="shared" si="309"/>
        <v>0</v>
      </c>
      <c r="CZ95" s="19">
        <f t="shared" si="309"/>
        <v>0</v>
      </c>
      <c r="DA95" s="19">
        <f t="shared" si="309"/>
        <v>790741</v>
      </c>
      <c r="DB95" s="19">
        <f t="shared" si="309"/>
        <v>0</v>
      </c>
      <c r="DC95" s="19">
        <f t="shared" si="309"/>
        <v>0</v>
      </c>
      <c r="DD95" s="19">
        <f t="shared" si="309"/>
        <v>0</v>
      </c>
      <c r="DE95" s="19">
        <f t="shared" si="309"/>
        <v>0</v>
      </c>
      <c r="DF95" s="19">
        <f t="shared" si="309"/>
        <v>0</v>
      </c>
      <c r="DG95" s="19">
        <f t="shared" si="309"/>
        <v>0</v>
      </c>
      <c r="DH95" s="19">
        <f t="shared" si="309"/>
        <v>0</v>
      </c>
      <c r="DI95" s="19">
        <f t="shared" si="309"/>
        <v>0</v>
      </c>
      <c r="DJ95" s="19">
        <f t="shared" si="309"/>
        <v>0</v>
      </c>
      <c r="DK95" s="19">
        <f t="shared" si="309"/>
        <v>0</v>
      </c>
      <c r="DL95" s="19">
        <f t="shared" si="309"/>
        <v>0</v>
      </c>
      <c r="DM95" s="19">
        <f t="shared" si="309"/>
        <v>2086</v>
      </c>
      <c r="DN95" s="19">
        <f t="shared" si="309"/>
        <v>0</v>
      </c>
      <c r="DO95" s="19">
        <f t="shared" si="309"/>
        <v>0</v>
      </c>
      <c r="DP95" s="19">
        <f t="shared" si="309"/>
        <v>0</v>
      </c>
      <c r="DQ95" s="19">
        <f t="shared" si="309"/>
        <v>0</v>
      </c>
      <c r="DR95" s="19">
        <f t="shared" si="309"/>
        <v>0</v>
      </c>
      <c r="DS95" s="19">
        <f t="shared" si="309"/>
        <v>18315</v>
      </c>
      <c r="DT95" s="19">
        <f t="shared" si="309"/>
        <v>0</v>
      </c>
      <c r="DU95" s="19">
        <f t="shared" si="309"/>
        <v>0</v>
      </c>
      <c r="DV95" s="19">
        <f t="shared" si="309"/>
        <v>0</v>
      </c>
      <c r="DW95" s="19">
        <f t="shared" si="309"/>
        <v>0</v>
      </c>
      <c r="DX95" s="19">
        <f t="shared" si="309"/>
        <v>0</v>
      </c>
      <c r="DY95" s="19">
        <f t="shared" si="309"/>
        <v>0</v>
      </c>
      <c r="DZ95" s="19">
        <f t="shared" si="309"/>
        <v>-4290</v>
      </c>
      <c r="EA95" s="19">
        <f t="shared" si="309"/>
        <v>-12628</v>
      </c>
      <c r="EB95" s="19">
        <f t="shared" si="309"/>
        <v>-6603</v>
      </c>
      <c r="EC95" s="19">
        <f t="shared" si="309"/>
        <v>-47692</v>
      </c>
      <c r="ED95" s="19">
        <f t="shared" si="309"/>
        <v>-1285760</v>
      </c>
      <c r="EE95" s="19">
        <f t="shared" si="309"/>
        <v>-993241</v>
      </c>
      <c r="EF95" s="19">
        <f t="shared" ref="EF95:GQ95" si="310">MIN(EF3:EF92)</f>
        <v>-2480</v>
      </c>
      <c r="EG95" s="19">
        <f t="shared" si="310"/>
        <v>0</v>
      </c>
      <c r="EH95" s="19">
        <f t="shared" si="310"/>
        <v>0</v>
      </c>
      <c r="EI95" s="19">
        <f t="shared" si="310"/>
        <v>0</v>
      </c>
      <c r="EJ95" s="19">
        <f t="shared" si="310"/>
        <v>0</v>
      </c>
      <c r="EK95" s="19">
        <f t="shared" si="310"/>
        <v>0</v>
      </c>
      <c r="EL95" s="19">
        <f t="shared" si="310"/>
        <v>1859909</v>
      </c>
      <c r="EM95" s="19">
        <f t="shared" si="310"/>
        <v>170937</v>
      </c>
      <c r="EN95" s="19">
        <f t="shared" si="310"/>
        <v>16089</v>
      </c>
      <c r="EO95" s="19">
        <f t="shared" si="310"/>
        <v>139006</v>
      </c>
      <c r="EP95" s="19">
        <f t="shared" si="310"/>
        <v>937908</v>
      </c>
      <c r="EQ95" s="19">
        <f t="shared" si="310"/>
        <v>15307308</v>
      </c>
      <c r="ER95" s="19">
        <f t="shared" si="310"/>
        <v>1270198</v>
      </c>
      <c r="ES95" s="19">
        <f t="shared" si="310"/>
        <v>211011</v>
      </c>
      <c r="ET95" s="19">
        <f t="shared" si="310"/>
        <v>199651</v>
      </c>
      <c r="EU95" s="19">
        <f t="shared" si="310"/>
        <v>1381310</v>
      </c>
      <c r="EV95" s="19">
        <f t="shared" si="310"/>
        <v>0</v>
      </c>
      <c r="EW95" s="19">
        <f t="shared" si="310"/>
        <v>3338477</v>
      </c>
      <c r="EX95" s="19">
        <f t="shared" si="310"/>
        <v>100000</v>
      </c>
      <c r="EY95" s="19">
        <f t="shared" si="310"/>
        <v>0</v>
      </c>
      <c r="EZ95" s="19">
        <f t="shared" si="310"/>
        <v>0</v>
      </c>
      <c r="FA95" s="19">
        <f t="shared" si="310"/>
        <v>0</v>
      </c>
      <c r="FB95" s="19">
        <f t="shared" si="310"/>
        <v>0</v>
      </c>
      <c r="FC95" s="19">
        <f t="shared" si="310"/>
        <v>169552</v>
      </c>
      <c r="FD95" s="19">
        <f t="shared" si="310"/>
        <v>1016838</v>
      </c>
      <c r="FE95" s="19">
        <f t="shared" si="310"/>
        <v>456283</v>
      </c>
      <c r="FF95" s="19">
        <f t="shared" si="310"/>
        <v>261233</v>
      </c>
      <c r="FG95" s="19">
        <f t="shared" si="310"/>
        <v>622690</v>
      </c>
      <c r="FH95" s="19">
        <f t="shared" si="310"/>
        <v>0</v>
      </c>
      <c r="FI95" s="19">
        <f t="shared" si="310"/>
        <v>2490596</v>
      </c>
      <c r="FJ95" s="19">
        <f t="shared" si="310"/>
        <v>0</v>
      </c>
      <c r="FK95" s="19">
        <f t="shared" si="310"/>
        <v>0</v>
      </c>
      <c r="FL95" s="19">
        <f t="shared" si="310"/>
        <v>0</v>
      </c>
      <c r="FM95" s="19">
        <f t="shared" si="310"/>
        <v>0</v>
      </c>
      <c r="FN95" s="19">
        <f t="shared" si="310"/>
        <v>0</v>
      </c>
      <c r="FO95" s="19">
        <f t="shared" si="310"/>
        <v>0</v>
      </c>
      <c r="FP95" s="19">
        <f t="shared" si="310"/>
        <v>0</v>
      </c>
      <c r="FQ95" s="19">
        <f t="shared" si="310"/>
        <v>0</v>
      </c>
      <c r="FR95" s="19">
        <f t="shared" si="310"/>
        <v>0</v>
      </c>
      <c r="FS95" s="19">
        <f t="shared" si="310"/>
        <v>0</v>
      </c>
      <c r="FT95" s="19">
        <f t="shared" si="310"/>
        <v>1247780</v>
      </c>
      <c r="FU95" s="19">
        <f t="shared" si="310"/>
        <v>1448742</v>
      </c>
      <c r="FV95" s="19">
        <f t="shared" si="310"/>
        <v>0</v>
      </c>
      <c r="FW95" s="19">
        <f t="shared" si="310"/>
        <v>0</v>
      </c>
      <c r="FX95" s="19">
        <f t="shared" si="310"/>
        <v>0</v>
      </c>
      <c r="FY95" s="19">
        <f t="shared" si="310"/>
        <v>0</v>
      </c>
      <c r="FZ95" s="19">
        <f t="shared" si="310"/>
        <v>0</v>
      </c>
      <c r="GA95" s="19">
        <f t="shared" si="310"/>
        <v>0</v>
      </c>
      <c r="GB95" s="19">
        <f t="shared" si="310"/>
        <v>0</v>
      </c>
      <c r="GC95" s="19">
        <f t="shared" si="310"/>
        <v>0</v>
      </c>
      <c r="GD95" s="19">
        <f t="shared" si="310"/>
        <v>0</v>
      </c>
      <c r="GE95" s="19">
        <f t="shared" si="310"/>
        <v>0</v>
      </c>
      <c r="GF95" s="19">
        <f t="shared" si="310"/>
        <v>0</v>
      </c>
      <c r="GG95" s="19">
        <f t="shared" si="310"/>
        <v>0</v>
      </c>
      <c r="GH95" s="19">
        <f t="shared" si="310"/>
        <v>0</v>
      </c>
      <c r="GI95" s="19">
        <f t="shared" si="310"/>
        <v>0</v>
      </c>
      <c r="GJ95" s="19">
        <f t="shared" si="310"/>
        <v>0</v>
      </c>
      <c r="GK95" s="19">
        <f t="shared" si="310"/>
        <v>0</v>
      </c>
      <c r="GL95" s="19">
        <f t="shared" si="310"/>
        <v>0</v>
      </c>
      <c r="GM95" s="19">
        <f t="shared" si="310"/>
        <v>0</v>
      </c>
      <c r="GN95" s="19">
        <f t="shared" si="310"/>
        <v>204941</v>
      </c>
      <c r="GO95" s="19">
        <f t="shared" si="310"/>
        <v>104052</v>
      </c>
      <c r="GP95" s="19">
        <f t="shared" si="310"/>
        <v>91873.88</v>
      </c>
      <c r="GQ95" s="19">
        <f t="shared" si="310"/>
        <v>276447</v>
      </c>
      <c r="GR95" s="19">
        <f t="shared" ref="GR95:JC95" si="311">MIN(GR3:GR92)</f>
        <v>0</v>
      </c>
      <c r="GS95" s="19">
        <f t="shared" si="311"/>
        <v>912982</v>
      </c>
      <c r="GT95" s="19">
        <f t="shared" si="311"/>
        <v>64878</v>
      </c>
      <c r="GU95" s="19">
        <f t="shared" si="311"/>
        <v>7207</v>
      </c>
      <c r="GV95" s="19">
        <f t="shared" si="311"/>
        <v>4616</v>
      </c>
      <c r="GW95" s="19">
        <f t="shared" si="311"/>
        <v>146416</v>
      </c>
      <c r="GX95" s="19">
        <f t="shared" si="311"/>
        <v>0</v>
      </c>
      <c r="GY95" s="19">
        <f t="shared" si="311"/>
        <v>338596</v>
      </c>
      <c r="GZ95" s="19">
        <f t="shared" si="311"/>
        <v>0</v>
      </c>
      <c r="HA95" s="19">
        <f t="shared" si="311"/>
        <v>0</v>
      </c>
      <c r="HB95" s="19">
        <f t="shared" si="311"/>
        <v>0</v>
      </c>
      <c r="HC95" s="19">
        <f t="shared" si="311"/>
        <v>0</v>
      </c>
      <c r="HD95" s="19">
        <f t="shared" si="311"/>
        <v>0</v>
      </c>
      <c r="HE95" s="19">
        <f t="shared" si="311"/>
        <v>163205</v>
      </c>
      <c r="HF95" s="19">
        <f t="shared" si="311"/>
        <v>0</v>
      </c>
      <c r="HG95" s="19">
        <f t="shared" si="311"/>
        <v>0</v>
      </c>
      <c r="HH95" s="19">
        <f t="shared" si="311"/>
        <v>0</v>
      </c>
      <c r="HI95" s="19">
        <f t="shared" si="311"/>
        <v>0</v>
      </c>
      <c r="HJ95" s="19">
        <f t="shared" si="311"/>
        <v>0</v>
      </c>
      <c r="HK95" s="19">
        <f t="shared" si="311"/>
        <v>9825</v>
      </c>
      <c r="HL95" s="19">
        <f t="shared" si="311"/>
        <v>0</v>
      </c>
      <c r="HM95" s="19">
        <f t="shared" si="311"/>
        <v>0</v>
      </c>
      <c r="HN95" s="19">
        <f t="shared" si="311"/>
        <v>-20290</v>
      </c>
      <c r="HO95" s="19">
        <f t="shared" si="311"/>
        <v>0</v>
      </c>
      <c r="HP95" s="19">
        <f t="shared" si="311"/>
        <v>0</v>
      </c>
      <c r="HQ95" s="19">
        <f t="shared" si="311"/>
        <v>0</v>
      </c>
      <c r="HR95" s="19">
        <f t="shared" si="311"/>
        <v>0</v>
      </c>
      <c r="HS95" s="19">
        <f t="shared" si="311"/>
        <v>0</v>
      </c>
      <c r="HT95" s="19">
        <f t="shared" si="311"/>
        <v>0</v>
      </c>
      <c r="HU95" s="19">
        <f t="shared" si="311"/>
        <v>-647055</v>
      </c>
      <c r="HV95" s="19">
        <f t="shared" si="311"/>
        <v>0</v>
      </c>
      <c r="HW95" s="19">
        <f t="shared" si="311"/>
        <v>0</v>
      </c>
      <c r="HX95" s="19">
        <f t="shared" si="311"/>
        <v>0</v>
      </c>
      <c r="HY95" s="19">
        <f t="shared" si="311"/>
        <v>0</v>
      </c>
      <c r="HZ95" s="19">
        <f t="shared" si="311"/>
        <v>0</v>
      </c>
      <c r="IA95" s="19">
        <f t="shared" si="311"/>
        <v>-6.0000000055879354E-2</v>
      </c>
      <c r="IB95" s="19">
        <f t="shared" si="311"/>
        <v>0</v>
      </c>
      <c r="IC95" s="19">
        <f t="shared" si="311"/>
        <v>0</v>
      </c>
      <c r="ID95" s="19">
        <f t="shared" si="311"/>
        <v>0</v>
      </c>
      <c r="IE95" s="19">
        <f t="shared" si="311"/>
        <v>0</v>
      </c>
      <c r="IF95" s="19">
        <f t="shared" si="311"/>
        <v>0</v>
      </c>
      <c r="IG95" s="19">
        <f t="shared" si="311"/>
        <v>0</v>
      </c>
      <c r="IH95" s="19">
        <f t="shared" si="311"/>
        <v>0</v>
      </c>
      <c r="II95" s="19">
        <f t="shared" si="311"/>
        <v>0</v>
      </c>
      <c r="IJ95" s="19">
        <f t="shared" si="311"/>
        <v>0</v>
      </c>
      <c r="IK95" s="19">
        <f t="shared" si="311"/>
        <v>0</v>
      </c>
      <c r="IL95" s="19">
        <f t="shared" si="311"/>
        <v>0</v>
      </c>
      <c r="IM95" s="19">
        <f t="shared" si="311"/>
        <v>0</v>
      </c>
      <c r="IN95" s="19">
        <f t="shared" si="311"/>
        <v>0</v>
      </c>
      <c r="IO95" s="19">
        <f t="shared" si="311"/>
        <v>108745</v>
      </c>
      <c r="IP95" s="19">
        <f t="shared" si="311"/>
        <v>0</v>
      </c>
      <c r="IQ95" s="19">
        <f t="shared" si="311"/>
        <v>0</v>
      </c>
      <c r="IR95" s="19">
        <f t="shared" si="311"/>
        <v>0</v>
      </c>
      <c r="IS95" s="19">
        <f t="shared" si="311"/>
        <v>0</v>
      </c>
      <c r="IT95" s="19">
        <f t="shared" si="311"/>
        <v>0</v>
      </c>
      <c r="IU95" s="19">
        <f t="shared" si="311"/>
        <v>13440</v>
      </c>
      <c r="IV95" s="19">
        <f t="shared" si="311"/>
        <v>0</v>
      </c>
      <c r="IW95" s="19">
        <f t="shared" si="311"/>
        <v>0</v>
      </c>
      <c r="IX95" s="19">
        <f t="shared" si="311"/>
        <v>0</v>
      </c>
      <c r="IY95" s="19">
        <f t="shared" si="311"/>
        <v>0</v>
      </c>
      <c r="IZ95" s="19">
        <f t="shared" si="311"/>
        <v>0</v>
      </c>
      <c r="JA95" s="19">
        <f t="shared" si="311"/>
        <v>158934</v>
      </c>
      <c r="JB95" s="19">
        <f t="shared" si="311"/>
        <v>827888</v>
      </c>
      <c r="JC95" s="19">
        <f t="shared" si="311"/>
        <v>251215</v>
      </c>
      <c r="JD95" s="19">
        <f t="shared" ref="JD95:JS95" si="312">MIN(JD3:JD92)</f>
        <v>235372</v>
      </c>
      <c r="JE95" s="19">
        <f t="shared" si="312"/>
        <v>3864115</v>
      </c>
      <c r="JF95" s="19">
        <f t="shared" si="312"/>
        <v>3216611</v>
      </c>
      <c r="JG95" s="19">
        <f t="shared" si="312"/>
        <v>15307308</v>
      </c>
      <c r="JH95" s="19">
        <f t="shared" si="312"/>
        <v>0</v>
      </c>
      <c r="JI95" s="19">
        <f t="shared" si="312"/>
        <v>0</v>
      </c>
      <c r="JJ95" s="19">
        <f t="shared" si="312"/>
        <v>0</v>
      </c>
      <c r="JK95" s="19">
        <f t="shared" si="312"/>
        <v>0</v>
      </c>
      <c r="JL95" s="19">
        <f t="shared" si="312"/>
        <v>0</v>
      </c>
      <c r="JM95" s="19">
        <f t="shared" si="312"/>
        <v>0</v>
      </c>
      <c r="JN95" s="19">
        <f t="shared" si="312"/>
        <v>1482600</v>
      </c>
      <c r="JO95" s="19">
        <f t="shared" si="312"/>
        <v>479071</v>
      </c>
      <c r="JP95" s="19">
        <f t="shared" si="312"/>
        <v>438893</v>
      </c>
      <c r="JQ95" s="19">
        <f t="shared" si="312"/>
        <v>3864115</v>
      </c>
      <c r="JR95" s="19">
        <f t="shared" si="312"/>
        <v>3216611</v>
      </c>
      <c r="JS95" s="19">
        <f t="shared" si="312"/>
        <v>15307308</v>
      </c>
    </row>
    <row r="96" spans="1:360" x14ac:dyDescent="0.15">
      <c r="A96" s="18" t="s">
        <v>480</v>
      </c>
      <c r="B96" s="4"/>
      <c r="C96" s="4"/>
      <c r="D96" s="4"/>
      <c r="G96" s="19">
        <f>MAX(G3:G92)</f>
        <v>24941</v>
      </c>
      <c r="H96" s="19">
        <f t="shared" ref="H96:BS96" si="313">MAX(H3:H92)</f>
        <v>25543</v>
      </c>
      <c r="I96" s="19">
        <f t="shared" si="313"/>
        <v>5448784000</v>
      </c>
      <c r="J96" s="19">
        <f t="shared" si="313"/>
        <v>154999189</v>
      </c>
      <c r="K96" s="19">
        <f t="shared" si="313"/>
        <v>19484893</v>
      </c>
      <c r="L96" s="19">
        <f t="shared" si="313"/>
        <v>0</v>
      </c>
      <c r="M96" s="19">
        <f t="shared" si="313"/>
        <v>241355000</v>
      </c>
      <c r="N96" s="19">
        <f t="shared" si="313"/>
        <v>0</v>
      </c>
      <c r="O96" s="19">
        <f t="shared" si="313"/>
        <v>232646000</v>
      </c>
      <c r="P96" s="19">
        <f t="shared" si="313"/>
        <v>0</v>
      </c>
      <c r="Q96" s="19">
        <f t="shared" si="313"/>
        <v>3319458000</v>
      </c>
      <c r="R96" s="19">
        <f t="shared" si="313"/>
        <v>0</v>
      </c>
      <c r="S96" s="19">
        <f t="shared" si="313"/>
        <v>3503697000</v>
      </c>
      <c r="T96" s="19">
        <f t="shared" si="313"/>
        <v>127428500</v>
      </c>
      <c r="U96" s="19">
        <f t="shared" si="313"/>
        <v>30883</v>
      </c>
      <c r="V96" s="19">
        <f t="shared" si="313"/>
        <v>12198</v>
      </c>
      <c r="W96" s="19">
        <f t="shared" si="313"/>
        <v>53761</v>
      </c>
      <c r="X96" s="19">
        <f t="shared" si="313"/>
        <v>16791</v>
      </c>
      <c r="Y96" s="19">
        <f t="shared" si="313"/>
        <v>32836</v>
      </c>
      <c r="Z96" s="19">
        <f t="shared" si="313"/>
        <v>15903</v>
      </c>
      <c r="AA96" s="19">
        <f t="shared" si="313"/>
        <v>55512</v>
      </c>
      <c r="AB96" s="19">
        <f t="shared" si="313"/>
        <v>21840</v>
      </c>
      <c r="AC96" s="19">
        <f t="shared" si="313"/>
        <v>18</v>
      </c>
      <c r="AD96" s="19">
        <f t="shared" si="313"/>
        <v>18</v>
      </c>
      <c r="AE96" s="19">
        <f t="shared" si="313"/>
        <v>2</v>
      </c>
      <c r="AF96" s="19">
        <f t="shared" si="313"/>
        <v>7544719</v>
      </c>
      <c r="AG96" s="19">
        <f t="shared" si="313"/>
        <v>7247592</v>
      </c>
      <c r="AH96" s="19">
        <f t="shared" si="313"/>
        <v>1874842</v>
      </c>
      <c r="AI96" s="19">
        <f t="shared" si="313"/>
        <v>1368847</v>
      </c>
      <c r="AJ96" s="19">
        <f t="shared" si="313"/>
        <v>9064960</v>
      </c>
      <c r="AK96" s="19">
        <f t="shared" si="313"/>
        <v>15</v>
      </c>
      <c r="AL96" s="19">
        <f t="shared" si="313"/>
        <v>1647266.43</v>
      </c>
      <c r="AM96" s="19">
        <f t="shared" si="313"/>
        <v>16</v>
      </c>
      <c r="AN96" s="19">
        <f t="shared" si="313"/>
        <v>2557728</v>
      </c>
      <c r="AO96" s="19">
        <f t="shared" si="313"/>
        <v>16</v>
      </c>
      <c r="AP96" s="19">
        <f t="shared" si="313"/>
        <v>376715.56</v>
      </c>
      <c r="AQ96" s="19">
        <f t="shared" si="313"/>
        <v>28</v>
      </c>
      <c r="AR96" s="19">
        <f t="shared" si="313"/>
        <v>1604691</v>
      </c>
      <c r="AS96" s="19">
        <f t="shared" si="313"/>
        <v>32</v>
      </c>
      <c r="AT96" s="19">
        <f t="shared" si="313"/>
        <v>299598.28999999998</v>
      </c>
      <c r="AU96" s="19">
        <f t="shared" si="313"/>
        <v>34</v>
      </c>
      <c r="AV96" s="19">
        <f t="shared" si="313"/>
        <v>484229</v>
      </c>
      <c r="AW96" s="19">
        <f t="shared" si="313"/>
        <v>27</v>
      </c>
      <c r="AX96" s="19">
        <f t="shared" si="313"/>
        <v>274175</v>
      </c>
      <c r="AY96" s="19">
        <f t="shared" si="313"/>
        <v>29</v>
      </c>
      <c r="AZ96" s="19">
        <f t="shared" si="313"/>
        <v>46447979</v>
      </c>
      <c r="BA96" s="19">
        <f t="shared" si="313"/>
        <v>14789049</v>
      </c>
      <c r="BB96" s="19">
        <f t="shared" si="313"/>
        <v>1924571</v>
      </c>
      <c r="BC96" s="19">
        <f t="shared" si="313"/>
        <v>5391011</v>
      </c>
      <c r="BD96" s="19">
        <f t="shared" si="313"/>
        <v>19479628</v>
      </c>
      <c r="BE96" s="19">
        <f t="shared" si="313"/>
        <v>59207378</v>
      </c>
      <c r="BF96" s="19">
        <f t="shared" si="313"/>
        <v>5725561</v>
      </c>
      <c r="BG96" s="19">
        <f t="shared" si="313"/>
        <v>2274547</v>
      </c>
      <c r="BH96" s="19">
        <f t="shared" si="313"/>
        <v>2151109</v>
      </c>
      <c r="BI96" s="19">
        <f t="shared" si="313"/>
        <v>8636266</v>
      </c>
      <c r="BJ96" s="19">
        <f t="shared" si="313"/>
        <v>17698300</v>
      </c>
      <c r="BK96" s="19">
        <f t="shared" si="313"/>
        <v>18648161</v>
      </c>
      <c r="BL96" s="19">
        <f t="shared" si="313"/>
        <v>3940040</v>
      </c>
      <c r="BM96" s="19">
        <f t="shared" si="313"/>
        <v>785801</v>
      </c>
      <c r="BN96" s="19">
        <f t="shared" si="313"/>
        <v>48000</v>
      </c>
      <c r="BO96" s="19">
        <f t="shared" si="313"/>
        <v>149822</v>
      </c>
      <c r="BP96" s="19">
        <f t="shared" si="313"/>
        <v>4937616</v>
      </c>
      <c r="BQ96" s="19">
        <f t="shared" si="313"/>
        <v>4937616</v>
      </c>
      <c r="BR96" s="19">
        <f t="shared" si="313"/>
        <v>35871054</v>
      </c>
      <c r="BS96" s="19">
        <f t="shared" si="313"/>
        <v>20378031</v>
      </c>
      <c r="BT96" s="19">
        <f t="shared" ref="BT96:EE96" si="314">MAX(BT3:BT92)</f>
        <v>1320114</v>
      </c>
      <c r="BU96" s="19">
        <f t="shared" si="314"/>
        <v>8253365</v>
      </c>
      <c r="BV96" s="19">
        <f t="shared" si="314"/>
        <v>39069353</v>
      </c>
      <c r="BW96" s="19">
        <f t="shared" si="314"/>
        <v>53388377</v>
      </c>
      <c r="BX96" s="19">
        <f t="shared" si="314"/>
        <v>2563125</v>
      </c>
      <c r="BY96" s="19">
        <f t="shared" si="314"/>
        <v>750000</v>
      </c>
      <c r="BZ96" s="19">
        <f t="shared" si="314"/>
        <v>400000</v>
      </c>
      <c r="CA96" s="19">
        <f t="shared" si="314"/>
        <v>493141</v>
      </c>
      <c r="CB96" s="19">
        <f t="shared" si="314"/>
        <v>146608</v>
      </c>
      <c r="CC96" s="19">
        <f t="shared" si="314"/>
        <v>4165125</v>
      </c>
      <c r="CD96" s="19">
        <f t="shared" si="314"/>
        <v>677861</v>
      </c>
      <c r="CE96" s="19">
        <f t="shared" si="314"/>
        <v>315512</v>
      </c>
      <c r="CF96" s="19">
        <f t="shared" si="314"/>
        <v>278751</v>
      </c>
      <c r="CG96" s="19">
        <f t="shared" si="314"/>
        <v>1157954</v>
      </c>
      <c r="CH96" s="19">
        <f t="shared" si="314"/>
        <v>7785659</v>
      </c>
      <c r="CI96" s="19">
        <f t="shared" si="314"/>
        <v>7785659</v>
      </c>
      <c r="CJ96" s="19">
        <f t="shared" si="314"/>
        <v>3438991</v>
      </c>
      <c r="CK96" s="19">
        <f t="shared" si="314"/>
        <v>1443145</v>
      </c>
      <c r="CL96" s="19">
        <f t="shared" si="314"/>
        <v>1700000</v>
      </c>
      <c r="CM96" s="19">
        <f t="shared" si="314"/>
        <v>7866992</v>
      </c>
      <c r="CN96" s="19">
        <f t="shared" si="314"/>
        <v>17572068</v>
      </c>
      <c r="CO96" s="19">
        <f t="shared" si="314"/>
        <v>18462023</v>
      </c>
      <c r="CP96" s="19">
        <f t="shared" si="314"/>
        <v>1282839</v>
      </c>
      <c r="CQ96" s="19">
        <f t="shared" si="314"/>
        <v>588298</v>
      </c>
      <c r="CR96" s="19">
        <f t="shared" si="314"/>
        <v>354342</v>
      </c>
      <c r="CS96" s="19">
        <f t="shared" si="314"/>
        <v>1428723</v>
      </c>
      <c r="CT96" s="19">
        <f t="shared" si="314"/>
        <v>9592069</v>
      </c>
      <c r="CU96" s="19">
        <f t="shared" si="314"/>
        <v>9592069</v>
      </c>
      <c r="CV96" s="19">
        <f t="shared" si="314"/>
        <v>18038679</v>
      </c>
      <c r="CW96" s="19">
        <f t="shared" si="314"/>
        <v>9562791</v>
      </c>
      <c r="CX96" s="19">
        <f t="shared" si="314"/>
        <v>1013875</v>
      </c>
      <c r="CY96" s="19">
        <f t="shared" si="314"/>
        <v>1666477</v>
      </c>
      <c r="CZ96" s="19">
        <f t="shared" si="314"/>
        <v>18093952</v>
      </c>
      <c r="DA96" s="19">
        <f t="shared" si="314"/>
        <v>28513790</v>
      </c>
      <c r="DB96" s="19">
        <f t="shared" si="314"/>
        <v>7836278</v>
      </c>
      <c r="DC96" s="19">
        <f t="shared" si="314"/>
        <v>7838173</v>
      </c>
      <c r="DD96" s="19">
        <f t="shared" si="314"/>
        <v>1309616</v>
      </c>
      <c r="DE96" s="19">
        <f t="shared" si="314"/>
        <v>350438</v>
      </c>
      <c r="DF96" s="19">
        <f t="shared" si="314"/>
        <v>8046345</v>
      </c>
      <c r="DG96" s="19">
        <f t="shared" si="314"/>
        <v>15719451</v>
      </c>
      <c r="DH96" s="19">
        <f t="shared" si="314"/>
        <v>3664159</v>
      </c>
      <c r="DI96" s="19">
        <f t="shared" si="314"/>
        <v>1330863</v>
      </c>
      <c r="DJ96" s="19">
        <f t="shared" si="314"/>
        <v>206022</v>
      </c>
      <c r="DK96" s="19">
        <f t="shared" si="314"/>
        <v>692069</v>
      </c>
      <c r="DL96" s="19">
        <f t="shared" si="314"/>
        <v>6664085</v>
      </c>
      <c r="DM96" s="19">
        <f t="shared" si="314"/>
        <v>10305683</v>
      </c>
      <c r="DN96" s="19">
        <f t="shared" si="314"/>
        <v>22361314</v>
      </c>
      <c r="DO96" s="19">
        <f t="shared" si="314"/>
        <v>3555896</v>
      </c>
      <c r="DP96" s="19">
        <f t="shared" si="314"/>
        <v>523645</v>
      </c>
      <c r="DQ96" s="19">
        <f t="shared" si="314"/>
        <v>1595779</v>
      </c>
      <c r="DR96" s="19">
        <f t="shared" si="314"/>
        <v>21410649</v>
      </c>
      <c r="DS96" s="19">
        <f t="shared" si="314"/>
        <v>28703901</v>
      </c>
      <c r="DT96" s="19">
        <f t="shared" si="314"/>
        <v>603200</v>
      </c>
      <c r="DU96" s="19">
        <f t="shared" si="314"/>
        <v>691462</v>
      </c>
      <c r="DV96" s="19">
        <f t="shared" si="314"/>
        <v>337480</v>
      </c>
      <c r="DW96" s="19">
        <f t="shared" si="314"/>
        <v>3859581</v>
      </c>
      <c r="DX96" s="19">
        <f t="shared" si="314"/>
        <v>1072951</v>
      </c>
      <c r="DY96" s="19">
        <f t="shared" si="314"/>
        <v>4811643</v>
      </c>
      <c r="DZ96" s="19">
        <f t="shared" si="314"/>
        <v>1888504</v>
      </c>
      <c r="EA96" s="19">
        <f t="shared" si="314"/>
        <v>322717</v>
      </c>
      <c r="EB96" s="19">
        <f t="shared" si="314"/>
        <v>319385</v>
      </c>
      <c r="EC96" s="19">
        <f t="shared" si="314"/>
        <v>3409371</v>
      </c>
      <c r="ED96" s="19">
        <f t="shared" si="314"/>
        <v>5460965</v>
      </c>
      <c r="EE96" s="19">
        <f t="shared" si="314"/>
        <v>6652848</v>
      </c>
      <c r="EF96" s="19">
        <f t="shared" ref="EF96:GQ96" si="315">MAX(EF3:EF92)</f>
        <v>7801250</v>
      </c>
      <c r="EG96" s="19">
        <f t="shared" si="315"/>
        <v>2322843</v>
      </c>
      <c r="EH96" s="19">
        <f t="shared" si="315"/>
        <v>186486</v>
      </c>
      <c r="EI96" s="19">
        <f t="shared" si="315"/>
        <v>1318338</v>
      </c>
      <c r="EJ96" s="19">
        <f t="shared" si="315"/>
        <v>25873287</v>
      </c>
      <c r="EK96" s="19">
        <f t="shared" si="315"/>
        <v>25873287</v>
      </c>
      <c r="EL96" s="19">
        <f t="shared" si="315"/>
        <v>103813684</v>
      </c>
      <c r="EM96" s="19">
        <f t="shared" si="315"/>
        <v>42434684</v>
      </c>
      <c r="EN96" s="19">
        <f t="shared" si="315"/>
        <v>4704571</v>
      </c>
      <c r="EO96" s="19">
        <f t="shared" si="315"/>
        <v>23113290.25</v>
      </c>
      <c r="EP96" s="19">
        <f t="shared" si="315"/>
        <v>56008111</v>
      </c>
      <c r="EQ96" s="19">
        <f t="shared" si="315"/>
        <v>163295115</v>
      </c>
      <c r="ER96" s="19">
        <f t="shared" si="315"/>
        <v>4479578</v>
      </c>
      <c r="ES96" s="19">
        <f t="shared" si="315"/>
        <v>735980</v>
      </c>
      <c r="ET96" s="19">
        <f t="shared" si="315"/>
        <v>696681</v>
      </c>
      <c r="EU96" s="19">
        <f t="shared" si="315"/>
        <v>11004155</v>
      </c>
      <c r="EV96" s="19">
        <f t="shared" si="315"/>
        <v>4122253</v>
      </c>
      <c r="EW96" s="19">
        <f t="shared" si="315"/>
        <v>16830130</v>
      </c>
      <c r="EX96" s="19">
        <f t="shared" si="315"/>
        <v>6638071</v>
      </c>
      <c r="EY96" s="19">
        <f t="shared" si="315"/>
        <v>1595299</v>
      </c>
      <c r="EZ96" s="19">
        <f t="shared" si="315"/>
        <v>240519</v>
      </c>
      <c r="FA96" s="19">
        <f t="shared" si="315"/>
        <v>394121</v>
      </c>
      <c r="FB96" s="19">
        <f t="shared" si="315"/>
        <v>639098</v>
      </c>
      <c r="FC96" s="19">
        <f t="shared" si="315"/>
        <v>7671030</v>
      </c>
      <c r="FD96" s="19">
        <f t="shared" si="315"/>
        <v>10977409</v>
      </c>
      <c r="FE96" s="19">
        <f t="shared" si="315"/>
        <v>8430410</v>
      </c>
      <c r="FF96" s="19">
        <f t="shared" si="315"/>
        <v>2752778</v>
      </c>
      <c r="FG96" s="19">
        <f t="shared" si="315"/>
        <v>10864490</v>
      </c>
      <c r="FH96" s="19">
        <f t="shared" si="315"/>
        <v>393853</v>
      </c>
      <c r="FI96" s="19">
        <f t="shared" si="315"/>
        <v>23429972</v>
      </c>
      <c r="FJ96" s="19">
        <f t="shared" si="315"/>
        <v>2563125</v>
      </c>
      <c r="FK96" s="19">
        <f t="shared" si="315"/>
        <v>750000</v>
      </c>
      <c r="FL96" s="19">
        <f t="shared" si="315"/>
        <v>400000</v>
      </c>
      <c r="FM96" s="19">
        <f t="shared" si="315"/>
        <v>455041</v>
      </c>
      <c r="FN96" s="19">
        <f t="shared" si="315"/>
        <v>4400</v>
      </c>
      <c r="FO96" s="19">
        <f t="shared" si="315"/>
        <v>4078125</v>
      </c>
      <c r="FP96" s="19">
        <f t="shared" si="315"/>
        <v>2291050</v>
      </c>
      <c r="FQ96" s="19">
        <f t="shared" si="315"/>
        <v>1039862</v>
      </c>
      <c r="FR96" s="19">
        <f t="shared" si="315"/>
        <v>432818</v>
      </c>
      <c r="FS96" s="19">
        <f t="shared" si="315"/>
        <v>9065665</v>
      </c>
      <c r="FT96" s="19">
        <f t="shared" si="315"/>
        <v>26947451</v>
      </c>
      <c r="FU96" s="19">
        <f t="shared" si="315"/>
        <v>30095878</v>
      </c>
      <c r="FV96" s="19">
        <f t="shared" si="315"/>
        <v>37000</v>
      </c>
      <c r="FW96" s="19">
        <f t="shared" si="315"/>
        <v>9500</v>
      </c>
      <c r="FX96" s="19">
        <f t="shared" si="315"/>
        <v>10000</v>
      </c>
      <c r="FY96" s="19">
        <f t="shared" si="315"/>
        <v>38100</v>
      </c>
      <c r="FZ96" s="19">
        <f t="shared" si="315"/>
        <v>146608</v>
      </c>
      <c r="GA96" s="19">
        <f t="shared" si="315"/>
        <v>163558</v>
      </c>
      <c r="GB96" s="19">
        <f t="shared" si="315"/>
        <v>8325063</v>
      </c>
      <c r="GC96" s="19">
        <f t="shared" si="315"/>
        <v>3187852</v>
      </c>
      <c r="GD96" s="19">
        <f t="shared" si="315"/>
        <v>881366</v>
      </c>
      <c r="GE96" s="19">
        <f t="shared" si="315"/>
        <v>680900</v>
      </c>
      <c r="GF96" s="19">
        <f t="shared" si="315"/>
        <v>2641079</v>
      </c>
      <c r="GG96" s="19">
        <f t="shared" si="315"/>
        <v>8563439</v>
      </c>
      <c r="GH96" s="19">
        <f t="shared" si="315"/>
        <v>1116334.7</v>
      </c>
      <c r="GI96" s="19">
        <f t="shared" si="315"/>
        <v>515742</v>
      </c>
      <c r="GJ96" s="19">
        <f t="shared" si="315"/>
        <v>209746.87</v>
      </c>
      <c r="GK96" s="19">
        <f t="shared" si="315"/>
        <v>813325.94</v>
      </c>
      <c r="GL96" s="19">
        <f t="shared" si="315"/>
        <v>78632</v>
      </c>
      <c r="GM96" s="19">
        <f t="shared" si="315"/>
        <v>2545010</v>
      </c>
      <c r="GN96" s="19">
        <f t="shared" si="315"/>
        <v>3291180</v>
      </c>
      <c r="GO96" s="19">
        <f t="shared" si="315"/>
        <v>1668285</v>
      </c>
      <c r="GP96" s="19">
        <f t="shared" si="315"/>
        <v>1165313</v>
      </c>
      <c r="GQ96" s="19">
        <f t="shared" si="315"/>
        <v>4806760</v>
      </c>
      <c r="GR96" s="19">
        <f t="shared" ref="GR96:JC96" si="316">MAX(GR3:GR92)</f>
        <v>865061</v>
      </c>
      <c r="GS96" s="19">
        <f t="shared" si="316"/>
        <v>8929782</v>
      </c>
      <c r="GT96" s="19">
        <f t="shared" si="316"/>
        <v>1749067</v>
      </c>
      <c r="GU96" s="19">
        <f t="shared" si="316"/>
        <v>622845</v>
      </c>
      <c r="GV96" s="19">
        <f t="shared" si="316"/>
        <v>272050</v>
      </c>
      <c r="GW96" s="19">
        <f t="shared" si="316"/>
        <v>2105476</v>
      </c>
      <c r="GX96" s="19">
        <f t="shared" si="316"/>
        <v>2549681</v>
      </c>
      <c r="GY96" s="19">
        <f t="shared" si="316"/>
        <v>4542869</v>
      </c>
      <c r="GZ96" s="19">
        <f t="shared" si="316"/>
        <v>9619299</v>
      </c>
      <c r="HA96" s="19">
        <f t="shared" si="316"/>
        <v>1624289</v>
      </c>
      <c r="HB96" s="19">
        <f t="shared" si="316"/>
        <v>968436</v>
      </c>
      <c r="HC96" s="19">
        <f t="shared" si="316"/>
        <v>1981982</v>
      </c>
      <c r="HD96" s="19">
        <f t="shared" si="316"/>
        <v>14839610</v>
      </c>
      <c r="HE96" s="19">
        <f t="shared" si="316"/>
        <v>22352875</v>
      </c>
      <c r="HF96" s="19">
        <f t="shared" si="316"/>
        <v>3998561</v>
      </c>
      <c r="HG96" s="19">
        <f t="shared" si="316"/>
        <v>608044</v>
      </c>
      <c r="HH96" s="19">
        <f t="shared" si="316"/>
        <v>192426</v>
      </c>
      <c r="HI96" s="19">
        <f t="shared" si="316"/>
        <v>666544</v>
      </c>
      <c r="HJ96" s="19">
        <f t="shared" si="316"/>
        <v>5163870</v>
      </c>
      <c r="HK96" s="19">
        <f t="shared" si="316"/>
        <v>5911114</v>
      </c>
      <c r="HL96" s="19">
        <f t="shared" si="316"/>
        <v>431404</v>
      </c>
      <c r="HM96" s="19">
        <f t="shared" si="316"/>
        <v>351202</v>
      </c>
      <c r="HN96" s="19">
        <f t="shared" si="316"/>
        <v>379163</v>
      </c>
      <c r="HO96" s="19">
        <f t="shared" si="316"/>
        <v>2381707</v>
      </c>
      <c r="HP96" s="19">
        <f t="shared" si="316"/>
        <v>611872</v>
      </c>
      <c r="HQ96" s="19">
        <f t="shared" si="316"/>
        <v>3140829</v>
      </c>
      <c r="HR96" s="19">
        <f t="shared" si="316"/>
        <v>9414233</v>
      </c>
      <c r="HS96" s="19">
        <f t="shared" si="316"/>
        <v>3780831</v>
      </c>
      <c r="HT96" s="19">
        <f t="shared" si="316"/>
        <v>1346642</v>
      </c>
      <c r="HU96" s="19">
        <f t="shared" si="316"/>
        <v>13385033</v>
      </c>
      <c r="HV96" s="19">
        <f t="shared" si="316"/>
        <v>31765020</v>
      </c>
      <c r="HW96" s="19">
        <f t="shared" si="316"/>
        <v>33354212</v>
      </c>
      <c r="HX96" s="19">
        <f t="shared" si="316"/>
        <v>1073061</v>
      </c>
      <c r="HY96" s="19">
        <f t="shared" si="316"/>
        <v>191449.67</v>
      </c>
      <c r="HZ96" s="19">
        <f t="shared" si="316"/>
        <v>191449.67</v>
      </c>
      <c r="IA96" s="19">
        <f t="shared" si="316"/>
        <v>113596</v>
      </c>
      <c r="IB96" s="19">
        <f t="shared" si="316"/>
        <v>991803</v>
      </c>
      <c r="IC96" s="19">
        <f t="shared" si="316"/>
        <v>1311575</v>
      </c>
      <c r="ID96" s="19">
        <f t="shared" si="316"/>
        <v>1282839</v>
      </c>
      <c r="IE96" s="19">
        <f t="shared" si="316"/>
        <v>588298</v>
      </c>
      <c r="IF96" s="19">
        <f t="shared" si="316"/>
        <v>354342</v>
      </c>
      <c r="IG96" s="19">
        <f t="shared" si="316"/>
        <v>1428723</v>
      </c>
      <c r="IH96" s="19">
        <f t="shared" si="316"/>
        <v>9592069</v>
      </c>
      <c r="II96" s="19">
        <f t="shared" si="316"/>
        <v>9592069</v>
      </c>
      <c r="IJ96" s="19">
        <f t="shared" si="316"/>
        <v>1450572</v>
      </c>
      <c r="IK96" s="19">
        <f t="shared" si="316"/>
        <v>78668</v>
      </c>
      <c r="IL96" s="19">
        <f t="shared" si="316"/>
        <v>91507</v>
      </c>
      <c r="IM96" s="19">
        <f t="shared" si="316"/>
        <v>2134237</v>
      </c>
      <c r="IN96" s="19">
        <f t="shared" si="316"/>
        <v>2052695</v>
      </c>
      <c r="IO96" s="19">
        <f t="shared" si="316"/>
        <v>2716170</v>
      </c>
      <c r="IP96" s="19">
        <f t="shared" si="316"/>
        <v>152500</v>
      </c>
      <c r="IQ96" s="19">
        <f t="shared" si="316"/>
        <v>158835</v>
      </c>
      <c r="IR96" s="19">
        <f t="shared" si="316"/>
        <v>23575</v>
      </c>
      <c r="IS96" s="19">
        <f t="shared" si="316"/>
        <v>146023</v>
      </c>
      <c r="IT96" s="19">
        <f t="shared" si="316"/>
        <v>1701144</v>
      </c>
      <c r="IU96" s="19">
        <f t="shared" si="316"/>
        <v>1711124</v>
      </c>
      <c r="IV96" s="19">
        <f t="shared" si="316"/>
        <v>12477095</v>
      </c>
      <c r="IW96" s="19">
        <f t="shared" si="316"/>
        <v>9122038</v>
      </c>
      <c r="IX96" s="19">
        <f t="shared" si="316"/>
        <v>617366</v>
      </c>
      <c r="IY96" s="19">
        <f t="shared" si="316"/>
        <v>5247063</v>
      </c>
      <c r="IZ96" s="19">
        <f t="shared" si="316"/>
        <v>34646393</v>
      </c>
      <c r="JA96" s="19">
        <f t="shared" si="316"/>
        <v>37374110</v>
      </c>
      <c r="JB96" s="19">
        <f t="shared" si="316"/>
        <v>37774386</v>
      </c>
      <c r="JC96" s="19">
        <f t="shared" si="316"/>
        <v>15489953</v>
      </c>
      <c r="JD96" s="19">
        <f t="shared" ref="JD96:JS96" si="317">MAX(JD3:JD92)</f>
        <v>6037412</v>
      </c>
      <c r="JE96" s="19">
        <f t="shared" si="317"/>
        <v>42445060</v>
      </c>
      <c r="JF96" s="19">
        <f t="shared" si="317"/>
        <v>78993096</v>
      </c>
      <c r="JG96" s="19">
        <f t="shared" si="317"/>
        <v>138269710</v>
      </c>
      <c r="JH96" s="19">
        <f t="shared" si="317"/>
        <v>1419380</v>
      </c>
      <c r="JI96" s="19">
        <f t="shared" si="317"/>
        <v>493970</v>
      </c>
      <c r="JJ96" s="19">
        <f t="shared" si="317"/>
        <v>45400</v>
      </c>
      <c r="JK96" s="19">
        <f t="shared" si="317"/>
        <v>159235</v>
      </c>
      <c r="JL96" s="19">
        <f t="shared" si="317"/>
        <v>9326498</v>
      </c>
      <c r="JM96" s="19">
        <f t="shared" si="317"/>
        <v>9326498</v>
      </c>
      <c r="JN96" s="19">
        <f t="shared" si="317"/>
        <v>37774386</v>
      </c>
      <c r="JO96" s="19">
        <f t="shared" si="317"/>
        <v>15489953</v>
      </c>
      <c r="JP96" s="19">
        <f t="shared" si="317"/>
        <v>6037412</v>
      </c>
      <c r="JQ96" s="19">
        <f t="shared" si="317"/>
        <v>42445060</v>
      </c>
      <c r="JR96" s="19">
        <f t="shared" si="317"/>
        <v>87278810</v>
      </c>
      <c r="JS96" s="19">
        <f t="shared" si="317"/>
        <v>146555424</v>
      </c>
    </row>
    <row r="97" spans="1:279" x14ac:dyDescent="0.15">
      <c r="A97" s="18" t="s">
        <v>481</v>
      </c>
      <c r="B97" s="4"/>
      <c r="C97" s="4"/>
      <c r="D97" s="4"/>
      <c r="G97" s="19">
        <f>AVERAGE(G3:G92)</f>
        <v>10146.322222222223</v>
      </c>
      <c r="H97" s="19">
        <f t="shared" ref="H97:BS97" si="318">AVERAGE(H3:H92)</f>
        <v>10570.733333333334</v>
      </c>
      <c r="I97" s="19">
        <f t="shared" si="318"/>
        <v>1109666358.6444445</v>
      </c>
      <c r="J97" s="19">
        <f t="shared" si="318"/>
        <v>154999189</v>
      </c>
      <c r="K97" s="19">
        <f t="shared" si="318"/>
        <v>4534710.9770114943</v>
      </c>
      <c r="L97" s="19" t="e">
        <f t="shared" si="318"/>
        <v>#DIV/0!</v>
      </c>
      <c r="M97" s="19">
        <f t="shared" si="318"/>
        <v>43883936.83908046</v>
      </c>
      <c r="N97" s="19" t="e">
        <f t="shared" si="318"/>
        <v>#DIV/0!</v>
      </c>
      <c r="O97" s="19">
        <f t="shared" si="318"/>
        <v>56384026.712643676</v>
      </c>
      <c r="P97" s="19" t="e">
        <f t="shared" si="318"/>
        <v>#DIV/0!</v>
      </c>
      <c r="Q97" s="19">
        <f t="shared" si="318"/>
        <v>513300369.01149428</v>
      </c>
      <c r="R97" s="19" t="e">
        <f t="shared" si="318"/>
        <v>#DIV/0!</v>
      </c>
      <c r="S97" s="19">
        <f t="shared" si="318"/>
        <v>813393894.2023809</v>
      </c>
      <c r="T97" s="19">
        <f t="shared" si="318"/>
        <v>127428500</v>
      </c>
      <c r="U97" s="19">
        <f t="shared" si="318"/>
        <v>18384.833333333332</v>
      </c>
      <c r="V97" s="19">
        <f t="shared" si="318"/>
        <v>12198</v>
      </c>
      <c r="W97" s="19">
        <f t="shared" si="318"/>
        <v>31740.460674157304</v>
      </c>
      <c r="X97" s="19">
        <f t="shared" si="318"/>
        <v>16791</v>
      </c>
      <c r="Y97" s="19">
        <f t="shared" si="318"/>
        <v>22203.303370786518</v>
      </c>
      <c r="Z97" s="19">
        <f t="shared" si="318"/>
        <v>15903</v>
      </c>
      <c r="AA97" s="19">
        <f t="shared" si="318"/>
        <v>35578.786516853936</v>
      </c>
      <c r="AB97" s="19">
        <f t="shared" si="318"/>
        <v>21840</v>
      </c>
      <c r="AC97" s="19">
        <f t="shared" si="318"/>
        <v>8.6741573033707873</v>
      </c>
      <c r="AD97" s="19">
        <f t="shared" si="318"/>
        <v>10.898876404494382</v>
      </c>
      <c r="AE97" s="19">
        <f t="shared" si="318"/>
        <v>0.10112359550561797</v>
      </c>
      <c r="AF97" s="19">
        <f t="shared" si="318"/>
        <v>4228537.2753333328</v>
      </c>
      <c r="AG97" s="19">
        <f t="shared" si="318"/>
        <v>3260439.2483333335</v>
      </c>
      <c r="AH97" s="19">
        <f t="shared" si="318"/>
        <v>604666.68644444435</v>
      </c>
      <c r="AI97" s="19">
        <f t="shared" si="318"/>
        <v>279303.11077777774</v>
      </c>
      <c r="AJ97" s="19">
        <f t="shared" si="318"/>
        <v>680526.19939212874</v>
      </c>
      <c r="AK97" s="19">
        <f t="shared" si="318"/>
        <v>6.442134831460673</v>
      </c>
      <c r="AL97" s="19">
        <f t="shared" si="318"/>
        <v>527188.5498992817</v>
      </c>
      <c r="AM97" s="19">
        <f t="shared" si="318"/>
        <v>7.2247191011235952</v>
      </c>
      <c r="AN97" s="19">
        <f t="shared" si="318"/>
        <v>190816.77110366992</v>
      </c>
      <c r="AO97" s="19">
        <f t="shared" si="318"/>
        <v>8.339213483146068</v>
      </c>
      <c r="AP97" s="19">
        <f t="shared" si="318"/>
        <v>150388.56849473878</v>
      </c>
      <c r="AQ97" s="19">
        <f t="shared" si="318"/>
        <v>9.382022471910112</v>
      </c>
      <c r="AR97" s="19">
        <f t="shared" si="318"/>
        <v>185416.95391210529</v>
      </c>
      <c r="AS97" s="19">
        <f t="shared" si="318"/>
        <v>19.639325842696632</v>
      </c>
      <c r="AT97" s="19">
        <f t="shared" si="318"/>
        <v>148972.45574774683</v>
      </c>
      <c r="AU97" s="19">
        <f t="shared" si="318"/>
        <v>22.719101123595507</v>
      </c>
      <c r="AV97" s="19">
        <f t="shared" si="318"/>
        <v>77514.901402626507</v>
      </c>
      <c r="AW97" s="19">
        <f t="shared" si="318"/>
        <v>15.077865168539322</v>
      </c>
      <c r="AX97" s="19">
        <f t="shared" si="318"/>
        <v>64440.945892179298</v>
      </c>
      <c r="AY97" s="19">
        <f t="shared" si="318"/>
        <v>18.179775280898877</v>
      </c>
      <c r="AZ97" s="19">
        <f t="shared" si="318"/>
        <v>9700908.5297777764</v>
      </c>
      <c r="BA97" s="19">
        <f t="shared" si="318"/>
        <v>2475991.928888889</v>
      </c>
      <c r="BB97" s="19">
        <f t="shared" si="318"/>
        <v>156159.54966666669</v>
      </c>
      <c r="BC97" s="19">
        <f t="shared" si="318"/>
        <v>503413.37177777768</v>
      </c>
      <c r="BD97" s="19">
        <f t="shared" si="318"/>
        <v>380272.31111111114</v>
      </c>
      <c r="BE97" s="19">
        <f t="shared" si="318"/>
        <v>13216745.685333332</v>
      </c>
      <c r="BF97" s="19">
        <f t="shared" si="318"/>
        <v>453971.98888888891</v>
      </c>
      <c r="BG97" s="19">
        <f t="shared" si="318"/>
        <v>155522.22222222222</v>
      </c>
      <c r="BH97" s="19">
        <f t="shared" si="318"/>
        <v>165857.22222222222</v>
      </c>
      <c r="BI97" s="19">
        <f t="shared" si="318"/>
        <v>857109.26666666672</v>
      </c>
      <c r="BJ97" s="19">
        <f t="shared" si="318"/>
        <v>2755817.6406666664</v>
      </c>
      <c r="BK97" s="19">
        <f t="shared" si="318"/>
        <v>4388278.3406666666</v>
      </c>
      <c r="BL97" s="19">
        <f t="shared" si="318"/>
        <v>937325.7888888889</v>
      </c>
      <c r="BM97" s="19">
        <f t="shared" si="318"/>
        <v>108176.91111111111</v>
      </c>
      <c r="BN97" s="19">
        <f t="shared" si="318"/>
        <v>4974.2555555555555</v>
      </c>
      <c r="BO97" s="19">
        <f t="shared" si="318"/>
        <v>19787.3</v>
      </c>
      <c r="BP97" s="19">
        <f t="shared" si="318"/>
        <v>58306.844444444447</v>
      </c>
      <c r="BQ97" s="19">
        <f t="shared" si="318"/>
        <v>1128571.1000000001</v>
      </c>
      <c r="BR97" s="19">
        <f t="shared" si="318"/>
        <v>4977332.2048888886</v>
      </c>
      <c r="BS97" s="19">
        <f t="shared" si="318"/>
        <v>952059.02866666683</v>
      </c>
      <c r="BT97" s="19">
        <f t="shared" ref="BT97:EE97" si="319">AVERAGE(BT3:BT92)</f>
        <v>150027.09244444442</v>
      </c>
      <c r="BU97" s="19">
        <f t="shared" si="319"/>
        <v>1226040.5456666665</v>
      </c>
      <c r="BV97" s="19">
        <f t="shared" si="319"/>
        <v>5573676.3838888891</v>
      </c>
      <c r="BW97" s="19">
        <f t="shared" si="319"/>
        <v>12879135.244000001</v>
      </c>
      <c r="BX97" s="19">
        <f t="shared" si="319"/>
        <v>64445.911111111112</v>
      </c>
      <c r="BY97" s="19">
        <f t="shared" si="319"/>
        <v>32743.277777777777</v>
      </c>
      <c r="BZ97" s="19">
        <f t="shared" si="319"/>
        <v>9394.2999999999993</v>
      </c>
      <c r="CA97" s="19">
        <f t="shared" si="319"/>
        <v>26879.666666666668</v>
      </c>
      <c r="CB97" s="19">
        <f t="shared" si="319"/>
        <v>8049.5888888888885</v>
      </c>
      <c r="CC97" s="19">
        <f t="shared" si="319"/>
        <v>141512.74444444446</v>
      </c>
      <c r="CD97" s="19">
        <f t="shared" si="319"/>
        <v>9877.3666666666668</v>
      </c>
      <c r="CE97" s="19">
        <f t="shared" si="319"/>
        <v>6503.8555555555558</v>
      </c>
      <c r="CF97" s="19">
        <f t="shared" si="319"/>
        <v>4639.0111111111109</v>
      </c>
      <c r="CG97" s="19">
        <f t="shared" si="319"/>
        <v>28803.81111111111</v>
      </c>
      <c r="CH97" s="19">
        <f t="shared" si="319"/>
        <v>255110.15833333333</v>
      </c>
      <c r="CI97" s="19">
        <f t="shared" si="319"/>
        <v>304934.2027777778</v>
      </c>
      <c r="CJ97" s="19">
        <f t="shared" si="319"/>
        <v>471025.03833333339</v>
      </c>
      <c r="CK97" s="19">
        <f t="shared" si="319"/>
        <v>139272.67235955055</v>
      </c>
      <c r="CL97" s="19">
        <f t="shared" si="319"/>
        <v>177964.33644444443</v>
      </c>
      <c r="CM97" s="19">
        <f t="shared" si="319"/>
        <v>1087610.7787777779</v>
      </c>
      <c r="CN97" s="19">
        <f t="shared" si="319"/>
        <v>2696141.2057777778</v>
      </c>
      <c r="CO97" s="19">
        <f t="shared" si="319"/>
        <v>4570466.5575555554</v>
      </c>
      <c r="CP97" s="19">
        <f t="shared" si="319"/>
        <v>65247.166666666664</v>
      </c>
      <c r="CQ97" s="19">
        <f t="shared" si="319"/>
        <v>19187.898876404495</v>
      </c>
      <c r="CR97" s="19">
        <f t="shared" si="319"/>
        <v>13964.123595505618</v>
      </c>
      <c r="CS97" s="19">
        <f t="shared" si="319"/>
        <v>59537.8</v>
      </c>
      <c r="CT97" s="19">
        <f t="shared" si="319"/>
        <v>1026382.4222222222</v>
      </c>
      <c r="CU97" s="19">
        <f t="shared" si="319"/>
        <v>1183951.0555555555</v>
      </c>
      <c r="CV97" s="19">
        <f t="shared" si="319"/>
        <v>5937415.7333333334</v>
      </c>
      <c r="CW97" s="19">
        <f t="shared" si="319"/>
        <v>2601901.4024444446</v>
      </c>
      <c r="CX97" s="19">
        <f t="shared" si="319"/>
        <v>43469.577777777777</v>
      </c>
      <c r="CY97" s="19">
        <f t="shared" si="319"/>
        <v>172909.36255555556</v>
      </c>
      <c r="CZ97" s="19">
        <f t="shared" si="319"/>
        <v>1735485.4361111112</v>
      </c>
      <c r="DA97" s="19">
        <f t="shared" si="319"/>
        <v>10491181.512222223</v>
      </c>
      <c r="DB97" s="19">
        <f t="shared" si="319"/>
        <v>564017.38888888888</v>
      </c>
      <c r="DC97" s="19">
        <f t="shared" si="319"/>
        <v>264581.05617977527</v>
      </c>
      <c r="DD97" s="19">
        <f t="shared" si="319"/>
        <v>20821.255555555555</v>
      </c>
      <c r="DE97" s="19">
        <f t="shared" si="319"/>
        <v>9887.1555555555551</v>
      </c>
      <c r="DF97" s="19">
        <f t="shared" si="319"/>
        <v>674026.5777777778</v>
      </c>
      <c r="DG97" s="19">
        <f t="shared" si="319"/>
        <v>1530393.6444444444</v>
      </c>
      <c r="DH97" s="19">
        <f t="shared" si="319"/>
        <v>721398.10255555552</v>
      </c>
      <c r="DI97" s="19">
        <f t="shared" si="319"/>
        <v>157593.19033333333</v>
      </c>
      <c r="DJ97" s="19">
        <f t="shared" si="319"/>
        <v>24101.779666666665</v>
      </c>
      <c r="DK97" s="19">
        <f t="shared" si="319"/>
        <v>75403.189555555567</v>
      </c>
      <c r="DL97" s="19">
        <f t="shared" si="319"/>
        <v>488740.31222222216</v>
      </c>
      <c r="DM97" s="19">
        <f t="shared" si="319"/>
        <v>1467236.5743333334</v>
      </c>
      <c r="DN97" s="19">
        <f t="shared" si="319"/>
        <v>843181.34044444445</v>
      </c>
      <c r="DO97" s="19">
        <f t="shared" si="319"/>
        <v>252881.94444444444</v>
      </c>
      <c r="DP97" s="19">
        <f t="shared" si="319"/>
        <v>43683.62222222222</v>
      </c>
      <c r="DQ97" s="19">
        <f t="shared" si="319"/>
        <v>203772.7521111111</v>
      </c>
      <c r="DR97" s="19">
        <f t="shared" si="319"/>
        <v>3124581.3928888892</v>
      </c>
      <c r="DS97" s="19">
        <f t="shared" si="319"/>
        <v>4468101.0521111116</v>
      </c>
      <c r="DT97" s="19">
        <f t="shared" si="319"/>
        <v>58001.666666666664</v>
      </c>
      <c r="DU97" s="19">
        <f t="shared" si="319"/>
        <v>55398.322222222225</v>
      </c>
      <c r="DV97" s="19">
        <f t="shared" si="319"/>
        <v>20847.764044943819</v>
      </c>
      <c r="DW97" s="19">
        <f t="shared" si="319"/>
        <v>318628.06333333335</v>
      </c>
      <c r="DX97" s="19">
        <f t="shared" si="319"/>
        <v>45266.111111111109</v>
      </c>
      <c r="DY97" s="19">
        <f t="shared" si="319"/>
        <v>497910.2855555556</v>
      </c>
      <c r="DZ97" s="19">
        <f t="shared" si="319"/>
        <v>115883.372</v>
      </c>
      <c r="EA97" s="19">
        <f t="shared" si="319"/>
        <v>28499.731</v>
      </c>
      <c r="EB97" s="19">
        <f t="shared" si="319"/>
        <v>13519.059333333331</v>
      </c>
      <c r="EC97" s="19">
        <f t="shared" si="319"/>
        <v>158675.46522222224</v>
      </c>
      <c r="ED97" s="19">
        <f t="shared" si="319"/>
        <v>275768.78077777784</v>
      </c>
      <c r="EE97" s="19">
        <f t="shared" si="319"/>
        <v>592346.40833333333</v>
      </c>
      <c r="EF97" s="19">
        <f t="shared" ref="EF97:GQ97" si="320">AVERAGE(EF3:EF92)</f>
        <v>220095.4506666667</v>
      </c>
      <c r="EG97" s="19">
        <f t="shared" si="320"/>
        <v>53712.022222222222</v>
      </c>
      <c r="EH97" s="19">
        <f t="shared" si="320"/>
        <v>7161.6555555555551</v>
      </c>
      <c r="EI97" s="19">
        <f t="shared" si="320"/>
        <v>102781.69533333334</v>
      </c>
      <c r="EJ97" s="19">
        <f t="shared" si="320"/>
        <v>1248841.7823333333</v>
      </c>
      <c r="EK97" s="19">
        <f t="shared" si="320"/>
        <v>1632592.6061111114</v>
      </c>
      <c r="EL97" s="19">
        <f t="shared" si="320"/>
        <v>25158542.034888886</v>
      </c>
      <c r="EM97" s="19">
        <f t="shared" si="320"/>
        <v>7293197.1234444436</v>
      </c>
      <c r="EN97" s="19">
        <f t="shared" si="320"/>
        <v>846329.12611111102</v>
      </c>
      <c r="EO97" s="19">
        <f t="shared" si="320"/>
        <v>5109707.9234444443</v>
      </c>
      <c r="EP97" s="19">
        <f t="shared" si="320"/>
        <v>20249405.150777776</v>
      </c>
      <c r="EQ97" s="19">
        <f t="shared" si="320"/>
        <v>58657181.355999999</v>
      </c>
      <c r="ER97" s="19">
        <f t="shared" si="320"/>
        <v>2568177.2116666669</v>
      </c>
      <c r="ES97" s="19">
        <f t="shared" si="320"/>
        <v>410561.00355555554</v>
      </c>
      <c r="ET97" s="19">
        <f t="shared" si="320"/>
        <v>433476.73777777783</v>
      </c>
      <c r="EU97" s="19">
        <f t="shared" si="320"/>
        <v>4174616.2989999996</v>
      </c>
      <c r="EV97" s="19">
        <f t="shared" si="320"/>
        <v>401342.86222222226</v>
      </c>
      <c r="EW97" s="19">
        <f t="shared" si="320"/>
        <v>7988174.114222222</v>
      </c>
      <c r="EX97" s="19">
        <f t="shared" si="320"/>
        <v>1083619.5111111111</v>
      </c>
      <c r="EY97" s="19">
        <f t="shared" si="320"/>
        <v>388292.86944444443</v>
      </c>
      <c r="EZ97" s="19">
        <f t="shared" si="320"/>
        <v>50099.3</v>
      </c>
      <c r="FA97" s="19">
        <f t="shared" si="320"/>
        <v>48988.411888888892</v>
      </c>
      <c r="FB97" s="19">
        <f t="shared" si="320"/>
        <v>11692.011111111111</v>
      </c>
      <c r="FC97" s="19">
        <f t="shared" si="320"/>
        <v>1582692.1035555555</v>
      </c>
      <c r="FD97" s="19">
        <f t="shared" si="320"/>
        <v>4024270.3806666667</v>
      </c>
      <c r="FE97" s="19">
        <f t="shared" si="320"/>
        <v>1897226.8476666666</v>
      </c>
      <c r="FF97" s="19">
        <f t="shared" si="320"/>
        <v>817136.04455555545</v>
      </c>
      <c r="FG97" s="19">
        <f t="shared" si="320"/>
        <v>3154634.830222222</v>
      </c>
      <c r="FH97" s="19">
        <f t="shared" si="320"/>
        <v>8933.1333333333332</v>
      </c>
      <c r="FI97" s="19">
        <f t="shared" si="320"/>
        <v>9902201.2364444435</v>
      </c>
      <c r="FJ97" s="19">
        <f t="shared" si="320"/>
        <v>63241.244444444441</v>
      </c>
      <c r="FK97" s="19">
        <f t="shared" si="320"/>
        <v>32445.833333333332</v>
      </c>
      <c r="FL97" s="19">
        <f t="shared" si="320"/>
        <v>9210.9555555555562</v>
      </c>
      <c r="FM97" s="19">
        <f t="shared" si="320"/>
        <v>26210.133333333335</v>
      </c>
      <c r="FN97" s="19">
        <f t="shared" si="320"/>
        <v>48.888888888888886</v>
      </c>
      <c r="FO97" s="19">
        <f t="shared" si="320"/>
        <v>131157.05555555556</v>
      </c>
      <c r="FP97" s="19">
        <f t="shared" si="320"/>
        <v>725880.90235955059</v>
      </c>
      <c r="FQ97" s="19">
        <f t="shared" si="320"/>
        <v>251566.89977528088</v>
      </c>
      <c r="FR97" s="19">
        <f t="shared" si="320"/>
        <v>148506.65359550563</v>
      </c>
      <c r="FS97" s="19">
        <f t="shared" si="320"/>
        <v>361305.47222222225</v>
      </c>
      <c r="FT97" s="19">
        <f t="shared" si="320"/>
        <v>7575972.4089999991</v>
      </c>
      <c r="FU97" s="19">
        <f t="shared" si="320"/>
        <v>9056759.2096666675</v>
      </c>
      <c r="FV97" s="19">
        <f t="shared" si="320"/>
        <v>1270.1777777777777</v>
      </c>
      <c r="FW97" s="19">
        <f t="shared" si="320"/>
        <v>300.7865168539326</v>
      </c>
      <c r="FX97" s="19">
        <f t="shared" si="320"/>
        <v>183.33333333333334</v>
      </c>
      <c r="FY97" s="19">
        <f t="shared" si="320"/>
        <v>669.5333333333333</v>
      </c>
      <c r="FZ97" s="19">
        <f t="shared" si="320"/>
        <v>7935.2</v>
      </c>
      <c r="GA97" s="19">
        <f t="shared" si="320"/>
        <v>10355.68888888889</v>
      </c>
      <c r="GB97" s="19">
        <f t="shared" si="320"/>
        <v>362159.2247191011</v>
      </c>
      <c r="GC97" s="19">
        <f t="shared" si="320"/>
        <v>123786.92822222221</v>
      </c>
      <c r="GD97" s="19">
        <f t="shared" si="320"/>
        <v>28385.954444444444</v>
      </c>
      <c r="GE97" s="19">
        <f t="shared" si="320"/>
        <v>33488.472888888893</v>
      </c>
      <c r="GF97" s="19">
        <f t="shared" si="320"/>
        <v>80563.222222222219</v>
      </c>
      <c r="GG97" s="19">
        <f t="shared" si="320"/>
        <v>624359.81111111108</v>
      </c>
      <c r="GH97" s="19">
        <f t="shared" si="320"/>
        <v>334810.87688888889</v>
      </c>
      <c r="GI97" s="19">
        <f t="shared" si="320"/>
        <v>151952.73711111108</v>
      </c>
      <c r="GJ97" s="19">
        <f t="shared" si="320"/>
        <v>90920.405777777778</v>
      </c>
      <c r="GK97" s="19">
        <f t="shared" si="320"/>
        <v>284495.93644444441</v>
      </c>
      <c r="GL97" s="19">
        <f t="shared" si="320"/>
        <v>5935.5620000000008</v>
      </c>
      <c r="GM97" s="19">
        <f t="shared" si="320"/>
        <v>868115.51822222222</v>
      </c>
      <c r="GN97" s="19">
        <f t="shared" si="320"/>
        <v>1221783.7902222222</v>
      </c>
      <c r="GO97" s="19">
        <f t="shared" si="320"/>
        <v>516261.05355555558</v>
      </c>
      <c r="GP97" s="19">
        <f t="shared" si="320"/>
        <v>350234.26477777777</v>
      </c>
      <c r="GQ97" s="19">
        <f t="shared" si="320"/>
        <v>1626041.3656666665</v>
      </c>
      <c r="GR97" s="19">
        <f t="shared" ref="GR97:JC97" si="321">AVERAGE(GR3:GR92)</f>
        <v>72329.339666666667</v>
      </c>
      <c r="GS97" s="19">
        <f t="shared" si="321"/>
        <v>3786649.8138888888</v>
      </c>
      <c r="GT97" s="19">
        <f t="shared" si="321"/>
        <v>524438.52933333337</v>
      </c>
      <c r="GU97" s="19">
        <f t="shared" si="321"/>
        <v>97776.718777777773</v>
      </c>
      <c r="GV97" s="19">
        <f t="shared" si="321"/>
        <v>56275.431111111109</v>
      </c>
      <c r="GW97" s="19">
        <f t="shared" si="321"/>
        <v>583582.73922222236</v>
      </c>
      <c r="GX97" s="19">
        <f t="shared" si="321"/>
        <v>316433.66584269662</v>
      </c>
      <c r="GY97" s="19">
        <f t="shared" si="321"/>
        <v>1574991.1546666669</v>
      </c>
      <c r="GZ97" s="19">
        <f t="shared" si="321"/>
        <v>1222608.9763333334</v>
      </c>
      <c r="HA97" s="19">
        <f t="shared" si="321"/>
        <v>377665.16833333339</v>
      </c>
      <c r="HB97" s="19">
        <f t="shared" si="321"/>
        <v>169648.00555555554</v>
      </c>
      <c r="HC97" s="19">
        <f t="shared" si="321"/>
        <v>347782.973</v>
      </c>
      <c r="HD97" s="19">
        <f t="shared" si="321"/>
        <v>548202.41688888881</v>
      </c>
      <c r="HE97" s="19">
        <f t="shared" si="321"/>
        <v>2665907.5401111115</v>
      </c>
      <c r="HF97" s="19">
        <f t="shared" si="321"/>
        <v>229952.37211111112</v>
      </c>
      <c r="HG97" s="19">
        <f t="shared" si="321"/>
        <v>48055.39844444445</v>
      </c>
      <c r="HH97" s="19">
        <f t="shared" si="321"/>
        <v>16198.524111111114</v>
      </c>
      <c r="HI97" s="19">
        <f t="shared" si="321"/>
        <v>57426.100888888897</v>
      </c>
      <c r="HJ97" s="19">
        <f t="shared" si="321"/>
        <v>1112622.047</v>
      </c>
      <c r="HK97" s="19">
        <f t="shared" si="321"/>
        <v>1464254.4425555556</v>
      </c>
      <c r="HL97" s="19">
        <f t="shared" si="321"/>
        <v>39256.383666666668</v>
      </c>
      <c r="HM97" s="19">
        <f t="shared" si="321"/>
        <v>36710.769111111105</v>
      </c>
      <c r="HN97" s="19">
        <f t="shared" si="321"/>
        <v>16143.598222222221</v>
      </c>
      <c r="HO97" s="19">
        <f t="shared" si="321"/>
        <v>182075.36522222223</v>
      </c>
      <c r="HP97" s="19">
        <f t="shared" si="321"/>
        <v>33381.896666666667</v>
      </c>
      <c r="HQ97" s="19">
        <f t="shared" si="321"/>
        <v>307568.01288888889</v>
      </c>
      <c r="HR97" s="19">
        <f t="shared" si="321"/>
        <v>1071933.4704444446</v>
      </c>
      <c r="HS97" s="19">
        <f t="shared" si="321"/>
        <v>227643.64522222223</v>
      </c>
      <c r="HT97" s="19">
        <f t="shared" si="321"/>
        <v>113659.762</v>
      </c>
      <c r="HU97" s="19">
        <f t="shared" si="321"/>
        <v>702005.91377777781</v>
      </c>
      <c r="HV97" s="19">
        <f t="shared" si="321"/>
        <v>6080313.4916666662</v>
      </c>
      <c r="HW97" s="19">
        <f t="shared" si="321"/>
        <v>8195556.2831111113</v>
      </c>
      <c r="HX97" s="19">
        <f t="shared" si="321"/>
        <v>52440.905888888883</v>
      </c>
      <c r="HY97" s="19">
        <f t="shared" si="321"/>
        <v>6971.470888888889</v>
      </c>
      <c r="HZ97" s="19">
        <f t="shared" si="321"/>
        <v>5480.9335555555554</v>
      </c>
      <c r="IA97" s="19">
        <f t="shared" si="321"/>
        <v>4696.2215555555549</v>
      </c>
      <c r="IB97" s="19">
        <f t="shared" si="321"/>
        <v>182425.69077777778</v>
      </c>
      <c r="IC97" s="19">
        <f t="shared" si="321"/>
        <v>252015.22266666667</v>
      </c>
      <c r="ID97" s="19">
        <f t="shared" si="321"/>
        <v>69742.280555555553</v>
      </c>
      <c r="IE97" s="19">
        <f t="shared" si="321"/>
        <v>20436.396666666667</v>
      </c>
      <c r="IF97" s="19">
        <f t="shared" si="321"/>
        <v>15264.433333333332</v>
      </c>
      <c r="IG97" s="19">
        <f t="shared" si="321"/>
        <v>68714.25922222223</v>
      </c>
      <c r="IH97" s="19">
        <f t="shared" si="321"/>
        <v>1025929.6444444444</v>
      </c>
      <c r="II97" s="19">
        <f t="shared" si="321"/>
        <v>1200087.0142222221</v>
      </c>
      <c r="IJ97" s="19">
        <f t="shared" si="321"/>
        <v>91182.045333333328</v>
      </c>
      <c r="IK97" s="19">
        <f t="shared" si="321"/>
        <v>10754.774888888889</v>
      </c>
      <c r="IL97" s="19">
        <f t="shared" si="321"/>
        <v>11225.972333333335</v>
      </c>
      <c r="IM97" s="19">
        <f t="shared" si="321"/>
        <v>143163.77477777778</v>
      </c>
      <c r="IN97" s="19">
        <f t="shared" si="321"/>
        <v>530531.01411111106</v>
      </c>
      <c r="IO97" s="19">
        <f t="shared" si="321"/>
        <v>786857.58144444437</v>
      </c>
      <c r="IP97" s="19">
        <f t="shared" si="321"/>
        <v>10327.986000000001</v>
      </c>
      <c r="IQ97" s="19">
        <f t="shared" si="321"/>
        <v>5000.9552222222228</v>
      </c>
      <c r="IR97" s="19">
        <f t="shared" si="321"/>
        <v>2593.432777777778</v>
      </c>
      <c r="IS97" s="19">
        <f t="shared" si="321"/>
        <v>17216.563555555556</v>
      </c>
      <c r="IT97" s="19">
        <f t="shared" si="321"/>
        <v>260406.79544444443</v>
      </c>
      <c r="IU97" s="19">
        <f t="shared" si="321"/>
        <v>295545.73300000001</v>
      </c>
      <c r="IV97" s="19">
        <f t="shared" si="321"/>
        <v>897111.73688888899</v>
      </c>
      <c r="IW97" s="19">
        <f t="shared" si="321"/>
        <v>337916.12722222222</v>
      </c>
      <c r="IX97" s="19">
        <f t="shared" si="321"/>
        <v>98722.566444444456</v>
      </c>
      <c r="IY97" s="19">
        <f t="shared" si="321"/>
        <v>524491.21555555554</v>
      </c>
      <c r="IZ97" s="19">
        <f t="shared" si="321"/>
        <v>3326902.4930000002</v>
      </c>
      <c r="JA97" s="19">
        <f t="shared" si="321"/>
        <v>5185144.1391111109</v>
      </c>
      <c r="JB97" s="19">
        <f t="shared" si="321"/>
        <v>14601689.766666668</v>
      </c>
      <c r="JC97" s="19">
        <f t="shared" si="321"/>
        <v>4913917.220777778</v>
      </c>
      <c r="JD97" s="19">
        <f t="shared" ref="JD97:JS97" si="322">AVERAGE(JD3:JD92)</f>
        <v>2425283.0797777777</v>
      </c>
      <c r="JE97" s="19">
        <f t="shared" si="322"/>
        <v>12581563.567444446</v>
      </c>
      <c r="JF97" s="19">
        <f t="shared" si="322"/>
        <v>21373564.970333334</v>
      </c>
      <c r="JG97" s="19">
        <f t="shared" si="322"/>
        <v>55896018.604999997</v>
      </c>
      <c r="JH97" s="19">
        <f t="shared" si="322"/>
        <v>30107.7</v>
      </c>
      <c r="JI97" s="19">
        <f t="shared" si="322"/>
        <v>8821.8888888888887</v>
      </c>
      <c r="JJ97" s="19">
        <f t="shared" si="322"/>
        <v>504.44444444444446</v>
      </c>
      <c r="JK97" s="19">
        <f t="shared" si="322"/>
        <v>2302.8777777777777</v>
      </c>
      <c r="JL97" s="19">
        <f t="shared" si="322"/>
        <v>661610.76404494385</v>
      </c>
      <c r="JM97" s="19">
        <f t="shared" si="322"/>
        <v>695996.4444444445</v>
      </c>
      <c r="JN97" s="19">
        <f t="shared" si="322"/>
        <v>14639072.044444444</v>
      </c>
      <c r="JO97" s="19">
        <f t="shared" si="322"/>
        <v>4925270.8404444447</v>
      </c>
      <c r="JP97" s="19">
        <f t="shared" si="322"/>
        <v>2428048.8703333335</v>
      </c>
      <c r="JQ97" s="19">
        <f t="shared" si="322"/>
        <v>12534483.723888891</v>
      </c>
      <c r="JR97" s="19">
        <f t="shared" si="322"/>
        <v>22065139.570333332</v>
      </c>
      <c r="JS97" s="19">
        <f t="shared" si="322"/>
        <v>56592015.049444444</v>
      </c>
    </row>
    <row r="98" spans="1:279" x14ac:dyDescent="0.15">
      <c r="A98" s="18" t="s">
        <v>482</v>
      </c>
      <c r="B98" s="4"/>
      <c r="C98" s="4"/>
      <c r="D98" s="4"/>
      <c r="G98" s="19">
        <f>MEDIAN(G3:G92)</f>
        <v>9253</v>
      </c>
      <c r="H98" s="19">
        <f t="shared" ref="H98:BS98" si="323">MEDIAN(H3:H92)</f>
        <v>9609</v>
      </c>
      <c r="I98" s="19">
        <f t="shared" si="323"/>
        <v>823310114.5</v>
      </c>
      <c r="J98" s="19">
        <f t="shared" si="323"/>
        <v>154999189</v>
      </c>
      <c r="K98" s="19">
        <f t="shared" si="323"/>
        <v>3095270</v>
      </c>
      <c r="L98" s="19" t="e">
        <f t="shared" si="323"/>
        <v>#NUM!</v>
      </c>
      <c r="M98" s="19">
        <f t="shared" si="323"/>
        <v>29797404</v>
      </c>
      <c r="N98" s="19" t="e">
        <f t="shared" si="323"/>
        <v>#NUM!</v>
      </c>
      <c r="O98" s="19">
        <f t="shared" si="323"/>
        <v>37141461</v>
      </c>
      <c r="P98" s="19" t="e">
        <f t="shared" si="323"/>
        <v>#NUM!</v>
      </c>
      <c r="Q98" s="19">
        <f t="shared" si="323"/>
        <v>365714732</v>
      </c>
      <c r="R98" s="19" t="e">
        <f t="shared" si="323"/>
        <v>#NUM!</v>
      </c>
      <c r="S98" s="19">
        <f t="shared" si="323"/>
        <v>597767336.5</v>
      </c>
      <c r="T98" s="19">
        <f t="shared" si="323"/>
        <v>127428500</v>
      </c>
      <c r="U98" s="19">
        <f t="shared" si="323"/>
        <v>18725</v>
      </c>
      <c r="V98" s="19">
        <f t="shared" si="323"/>
        <v>12198</v>
      </c>
      <c r="W98" s="19">
        <f t="shared" si="323"/>
        <v>30989</v>
      </c>
      <c r="X98" s="19">
        <f t="shared" si="323"/>
        <v>16791</v>
      </c>
      <c r="Y98" s="19">
        <f t="shared" si="323"/>
        <v>21807</v>
      </c>
      <c r="Z98" s="19">
        <f t="shared" si="323"/>
        <v>15903</v>
      </c>
      <c r="AA98" s="19">
        <f t="shared" si="323"/>
        <v>35265</v>
      </c>
      <c r="AB98" s="19">
        <f t="shared" si="323"/>
        <v>21840</v>
      </c>
      <c r="AC98" s="19">
        <f t="shared" si="323"/>
        <v>9</v>
      </c>
      <c r="AD98" s="19">
        <f t="shared" si="323"/>
        <v>11</v>
      </c>
      <c r="AE98" s="19">
        <f t="shared" si="323"/>
        <v>0</v>
      </c>
      <c r="AF98" s="19">
        <f t="shared" si="323"/>
        <v>4105367</v>
      </c>
      <c r="AG98" s="19">
        <f t="shared" si="323"/>
        <v>3048840.5</v>
      </c>
      <c r="AH98" s="19">
        <f t="shared" si="323"/>
        <v>553971.5</v>
      </c>
      <c r="AI98" s="19">
        <f t="shared" si="323"/>
        <v>278797</v>
      </c>
      <c r="AJ98" s="19">
        <f t="shared" si="323"/>
        <v>526345.68999999994</v>
      </c>
      <c r="AK98" s="19">
        <f t="shared" si="323"/>
        <v>6</v>
      </c>
      <c r="AL98" s="19">
        <f t="shared" si="323"/>
        <v>480175</v>
      </c>
      <c r="AM98" s="19">
        <f t="shared" si="323"/>
        <v>7</v>
      </c>
      <c r="AN98" s="19">
        <f t="shared" si="323"/>
        <v>144059.32999999999</v>
      </c>
      <c r="AO98" s="19">
        <f t="shared" si="323"/>
        <v>8.5</v>
      </c>
      <c r="AP98" s="19">
        <f t="shared" si="323"/>
        <v>135055.63</v>
      </c>
      <c r="AQ98" s="19">
        <f t="shared" si="323"/>
        <v>9</v>
      </c>
      <c r="AR98" s="19">
        <f t="shared" si="323"/>
        <v>172879</v>
      </c>
      <c r="AS98" s="19">
        <f t="shared" si="323"/>
        <v>20</v>
      </c>
      <c r="AT98" s="19">
        <f t="shared" si="323"/>
        <v>147918.89000000001</v>
      </c>
      <c r="AU98" s="19">
        <f t="shared" si="323"/>
        <v>22</v>
      </c>
      <c r="AV98" s="19">
        <f t="shared" si="323"/>
        <v>73223.28</v>
      </c>
      <c r="AW98" s="19">
        <f t="shared" si="323"/>
        <v>15.5</v>
      </c>
      <c r="AX98" s="19">
        <f t="shared" si="323"/>
        <v>63009.94</v>
      </c>
      <c r="AY98" s="19">
        <f t="shared" si="323"/>
        <v>18</v>
      </c>
      <c r="AZ98" s="19">
        <f t="shared" si="323"/>
        <v>6858728</v>
      </c>
      <c r="BA98" s="19">
        <f t="shared" si="323"/>
        <v>1271834.5</v>
      </c>
      <c r="BB98" s="19">
        <f t="shared" si="323"/>
        <v>62325.5</v>
      </c>
      <c r="BC98" s="19">
        <f t="shared" si="323"/>
        <v>176374.5</v>
      </c>
      <c r="BD98" s="19">
        <f t="shared" si="323"/>
        <v>0</v>
      </c>
      <c r="BE98" s="19">
        <f t="shared" si="323"/>
        <v>10581563</v>
      </c>
      <c r="BF98" s="19">
        <f t="shared" si="323"/>
        <v>0</v>
      </c>
      <c r="BG98" s="19">
        <f t="shared" si="323"/>
        <v>0</v>
      </c>
      <c r="BH98" s="19">
        <f t="shared" si="323"/>
        <v>0</v>
      </c>
      <c r="BI98" s="19">
        <f t="shared" si="323"/>
        <v>0</v>
      </c>
      <c r="BJ98" s="19">
        <f t="shared" si="323"/>
        <v>1460542</v>
      </c>
      <c r="BK98" s="19">
        <f t="shared" si="323"/>
        <v>2621787.5</v>
      </c>
      <c r="BL98" s="19">
        <f t="shared" si="323"/>
        <v>812500</v>
      </c>
      <c r="BM98" s="19">
        <f t="shared" si="323"/>
        <v>86000</v>
      </c>
      <c r="BN98" s="19">
        <f t="shared" si="323"/>
        <v>0</v>
      </c>
      <c r="BO98" s="19">
        <f t="shared" si="323"/>
        <v>11000</v>
      </c>
      <c r="BP98" s="19">
        <f t="shared" si="323"/>
        <v>0</v>
      </c>
      <c r="BQ98" s="19">
        <f t="shared" si="323"/>
        <v>991325.5</v>
      </c>
      <c r="BR98" s="19">
        <f t="shared" si="323"/>
        <v>1306549.5</v>
      </c>
      <c r="BS98" s="19">
        <f t="shared" si="323"/>
        <v>197696.5</v>
      </c>
      <c r="BT98" s="19">
        <f t="shared" ref="BT98:EE98" si="324">MEDIAN(BT3:BT92)</f>
        <v>32068.5</v>
      </c>
      <c r="BU98" s="19">
        <f t="shared" si="324"/>
        <v>361944</v>
      </c>
      <c r="BV98" s="19">
        <f t="shared" si="324"/>
        <v>2882241.5</v>
      </c>
      <c r="BW98" s="19">
        <f t="shared" si="324"/>
        <v>9522568</v>
      </c>
      <c r="BX98" s="19">
        <f t="shared" si="324"/>
        <v>0</v>
      </c>
      <c r="BY98" s="19">
        <f t="shared" si="324"/>
        <v>0</v>
      </c>
      <c r="BZ98" s="19">
        <f t="shared" si="324"/>
        <v>0</v>
      </c>
      <c r="CA98" s="19">
        <f t="shared" si="324"/>
        <v>0</v>
      </c>
      <c r="CB98" s="19">
        <f t="shared" si="324"/>
        <v>0</v>
      </c>
      <c r="CC98" s="19">
        <f t="shared" si="324"/>
        <v>0</v>
      </c>
      <c r="CD98" s="19">
        <f t="shared" si="324"/>
        <v>0</v>
      </c>
      <c r="CE98" s="19">
        <f t="shared" si="324"/>
        <v>0</v>
      </c>
      <c r="CF98" s="19">
        <f t="shared" si="324"/>
        <v>0</v>
      </c>
      <c r="CG98" s="19">
        <f t="shared" si="324"/>
        <v>0</v>
      </c>
      <c r="CH98" s="19">
        <f t="shared" si="324"/>
        <v>0</v>
      </c>
      <c r="CI98" s="19">
        <f t="shared" si="324"/>
        <v>0</v>
      </c>
      <c r="CJ98" s="19">
        <f t="shared" si="324"/>
        <v>0</v>
      </c>
      <c r="CK98" s="19">
        <f t="shared" si="324"/>
        <v>0</v>
      </c>
      <c r="CL98" s="19">
        <f t="shared" si="324"/>
        <v>0</v>
      </c>
      <c r="CM98" s="19">
        <f t="shared" si="324"/>
        <v>0</v>
      </c>
      <c r="CN98" s="19">
        <f t="shared" si="324"/>
        <v>1132437.26</v>
      </c>
      <c r="CO98" s="19">
        <f t="shared" si="324"/>
        <v>2707161.5</v>
      </c>
      <c r="CP98" s="19">
        <f t="shared" si="324"/>
        <v>0</v>
      </c>
      <c r="CQ98" s="19">
        <f t="shared" si="324"/>
        <v>0</v>
      </c>
      <c r="CR98" s="19">
        <f t="shared" si="324"/>
        <v>0</v>
      </c>
      <c r="CS98" s="19">
        <f t="shared" si="324"/>
        <v>0</v>
      </c>
      <c r="CT98" s="19">
        <f t="shared" si="324"/>
        <v>0</v>
      </c>
      <c r="CU98" s="19">
        <f t="shared" si="324"/>
        <v>12485</v>
      </c>
      <c r="CV98" s="19">
        <f t="shared" si="324"/>
        <v>3256507.5</v>
      </c>
      <c r="CW98" s="19">
        <f t="shared" si="324"/>
        <v>1797541.5</v>
      </c>
      <c r="CX98" s="19">
        <f t="shared" si="324"/>
        <v>4516</v>
      </c>
      <c r="CY98" s="19">
        <f t="shared" si="324"/>
        <v>33967.5</v>
      </c>
      <c r="CZ98" s="19">
        <f t="shared" si="324"/>
        <v>1271917</v>
      </c>
      <c r="DA98" s="19">
        <f t="shared" si="324"/>
        <v>6199740.5</v>
      </c>
      <c r="DB98" s="19">
        <f t="shared" si="324"/>
        <v>0</v>
      </c>
      <c r="DC98" s="19">
        <f t="shared" si="324"/>
        <v>0</v>
      </c>
      <c r="DD98" s="19">
        <f t="shared" si="324"/>
        <v>0</v>
      </c>
      <c r="DE98" s="19">
        <f t="shared" si="324"/>
        <v>0</v>
      </c>
      <c r="DF98" s="19">
        <f t="shared" si="324"/>
        <v>0</v>
      </c>
      <c r="DG98" s="19">
        <f t="shared" si="324"/>
        <v>16491.5</v>
      </c>
      <c r="DH98" s="19">
        <f t="shared" si="324"/>
        <v>399521</v>
      </c>
      <c r="DI98" s="19">
        <f t="shared" si="324"/>
        <v>47242.5</v>
      </c>
      <c r="DJ98" s="19">
        <f t="shared" si="324"/>
        <v>6800</v>
      </c>
      <c r="DK98" s="19">
        <f t="shared" si="324"/>
        <v>23610</v>
      </c>
      <c r="DL98" s="19">
        <f t="shared" si="324"/>
        <v>83416</v>
      </c>
      <c r="DM98" s="19">
        <f t="shared" si="324"/>
        <v>998423</v>
      </c>
      <c r="DN98" s="19">
        <f t="shared" si="324"/>
        <v>5225</v>
      </c>
      <c r="DO98" s="19">
        <f t="shared" si="324"/>
        <v>0</v>
      </c>
      <c r="DP98" s="19">
        <f t="shared" si="324"/>
        <v>0</v>
      </c>
      <c r="DQ98" s="19">
        <f t="shared" si="324"/>
        <v>0</v>
      </c>
      <c r="DR98" s="19">
        <f t="shared" si="324"/>
        <v>1694096</v>
      </c>
      <c r="DS98" s="19">
        <f t="shared" si="324"/>
        <v>2763986.5</v>
      </c>
      <c r="DT98" s="19">
        <f t="shared" si="324"/>
        <v>4878</v>
      </c>
      <c r="DU98" s="19">
        <f t="shared" si="324"/>
        <v>0</v>
      </c>
      <c r="DV98" s="19">
        <f t="shared" si="324"/>
        <v>0</v>
      </c>
      <c r="DW98" s="19">
        <f t="shared" si="324"/>
        <v>10102.5</v>
      </c>
      <c r="DX98" s="19">
        <f t="shared" si="324"/>
        <v>0</v>
      </c>
      <c r="DY98" s="19">
        <f t="shared" si="324"/>
        <v>98726.5</v>
      </c>
      <c r="DZ98" s="19">
        <f t="shared" si="324"/>
        <v>0</v>
      </c>
      <c r="EA98" s="19">
        <f t="shared" si="324"/>
        <v>0</v>
      </c>
      <c r="EB98" s="19">
        <f t="shared" si="324"/>
        <v>0</v>
      </c>
      <c r="EC98" s="19">
        <f t="shared" si="324"/>
        <v>207.5</v>
      </c>
      <c r="ED98" s="19">
        <f t="shared" si="324"/>
        <v>89062.794999999998</v>
      </c>
      <c r="EE98" s="19">
        <f t="shared" si="324"/>
        <v>188616</v>
      </c>
      <c r="EF98" s="19">
        <f t="shared" ref="EF98:GQ98" si="325">MEDIAN(EF3:EF92)</f>
        <v>11093.5</v>
      </c>
      <c r="EG98" s="19">
        <f t="shared" si="325"/>
        <v>0</v>
      </c>
      <c r="EH98" s="19">
        <f t="shared" si="325"/>
        <v>0.5</v>
      </c>
      <c r="EI98" s="19">
        <f t="shared" si="325"/>
        <v>46873.5</v>
      </c>
      <c r="EJ98" s="19">
        <f t="shared" si="325"/>
        <v>576144.5</v>
      </c>
      <c r="EK98" s="19">
        <f t="shared" si="325"/>
        <v>840131.5</v>
      </c>
      <c r="EL98" s="19">
        <f t="shared" si="325"/>
        <v>17413525</v>
      </c>
      <c r="EM98" s="19">
        <f t="shared" si="325"/>
        <v>6066956</v>
      </c>
      <c r="EN98" s="19">
        <f t="shared" si="325"/>
        <v>619777</v>
      </c>
      <c r="EO98" s="19">
        <f t="shared" si="325"/>
        <v>3980994</v>
      </c>
      <c r="EP98" s="19">
        <f t="shared" si="325"/>
        <v>18892156.5</v>
      </c>
      <c r="EQ98" s="19">
        <f t="shared" si="325"/>
        <v>56124944</v>
      </c>
      <c r="ER98" s="19">
        <f t="shared" si="325"/>
        <v>2472243</v>
      </c>
      <c r="ES98" s="19">
        <f t="shared" si="325"/>
        <v>401747</v>
      </c>
      <c r="ET98" s="19">
        <f t="shared" si="325"/>
        <v>435456</v>
      </c>
      <c r="EU98" s="19">
        <f t="shared" si="325"/>
        <v>3702900</v>
      </c>
      <c r="EV98" s="19">
        <f t="shared" si="325"/>
        <v>209963</v>
      </c>
      <c r="EW98" s="19">
        <f t="shared" si="325"/>
        <v>7734018</v>
      </c>
      <c r="EX98" s="19">
        <f t="shared" si="325"/>
        <v>741250</v>
      </c>
      <c r="EY98" s="19">
        <f t="shared" si="325"/>
        <v>350487</v>
      </c>
      <c r="EZ98" s="19">
        <f t="shared" si="325"/>
        <v>39893</v>
      </c>
      <c r="FA98" s="19">
        <f t="shared" si="325"/>
        <v>33625</v>
      </c>
      <c r="FB98" s="19">
        <f t="shared" si="325"/>
        <v>0</v>
      </c>
      <c r="FC98" s="19">
        <f t="shared" si="325"/>
        <v>1525129</v>
      </c>
      <c r="FD98" s="19">
        <f t="shared" si="325"/>
        <v>3766687</v>
      </c>
      <c r="FE98" s="19">
        <f t="shared" si="325"/>
        <v>1649793.5</v>
      </c>
      <c r="FF98" s="19">
        <f t="shared" si="325"/>
        <v>705612</v>
      </c>
      <c r="FG98" s="19">
        <f t="shared" si="325"/>
        <v>2770187</v>
      </c>
      <c r="FH98" s="19">
        <f t="shared" si="325"/>
        <v>0</v>
      </c>
      <c r="FI98" s="19">
        <f t="shared" si="325"/>
        <v>9558517.5</v>
      </c>
      <c r="FJ98" s="19">
        <f t="shared" si="325"/>
        <v>0</v>
      </c>
      <c r="FK98" s="19">
        <f t="shared" si="325"/>
        <v>0</v>
      </c>
      <c r="FL98" s="19">
        <f t="shared" si="325"/>
        <v>0</v>
      </c>
      <c r="FM98" s="19">
        <f t="shared" si="325"/>
        <v>0</v>
      </c>
      <c r="FN98" s="19">
        <f t="shared" si="325"/>
        <v>0</v>
      </c>
      <c r="FO98" s="19">
        <f t="shared" si="325"/>
        <v>0</v>
      </c>
      <c r="FP98" s="19">
        <f t="shared" si="325"/>
        <v>516465</v>
      </c>
      <c r="FQ98" s="19">
        <f t="shared" si="325"/>
        <v>225241</v>
      </c>
      <c r="FR98" s="19">
        <f t="shared" si="325"/>
        <v>136029</v>
      </c>
      <c r="FS98" s="19">
        <f t="shared" si="325"/>
        <v>187678</v>
      </c>
      <c r="FT98" s="19">
        <f t="shared" si="325"/>
        <v>6356599.5</v>
      </c>
      <c r="FU98" s="19">
        <f t="shared" si="325"/>
        <v>8490471</v>
      </c>
      <c r="FV98" s="19">
        <f t="shared" si="325"/>
        <v>0</v>
      </c>
      <c r="FW98" s="19">
        <f t="shared" si="325"/>
        <v>0</v>
      </c>
      <c r="FX98" s="19">
        <f t="shared" si="325"/>
        <v>0</v>
      </c>
      <c r="FY98" s="19">
        <f t="shared" si="325"/>
        <v>0</v>
      </c>
      <c r="FZ98" s="19">
        <f t="shared" si="325"/>
        <v>0</v>
      </c>
      <c r="GA98" s="19">
        <f t="shared" si="325"/>
        <v>0</v>
      </c>
      <c r="GB98" s="19">
        <f t="shared" si="325"/>
        <v>0</v>
      </c>
      <c r="GC98" s="19">
        <f t="shared" si="325"/>
        <v>0</v>
      </c>
      <c r="GD98" s="19">
        <f t="shared" si="325"/>
        <v>0</v>
      </c>
      <c r="GE98" s="19">
        <f t="shared" si="325"/>
        <v>0</v>
      </c>
      <c r="GF98" s="19">
        <f t="shared" si="325"/>
        <v>0</v>
      </c>
      <c r="GG98" s="19">
        <f t="shared" si="325"/>
        <v>218622</v>
      </c>
      <c r="GH98" s="19">
        <f t="shared" si="325"/>
        <v>269690.5</v>
      </c>
      <c r="GI98" s="19">
        <f t="shared" si="325"/>
        <v>132302.5</v>
      </c>
      <c r="GJ98" s="19">
        <f t="shared" si="325"/>
        <v>83645.5</v>
      </c>
      <c r="GK98" s="19">
        <f t="shared" si="325"/>
        <v>273950</v>
      </c>
      <c r="GL98" s="19">
        <f t="shared" si="325"/>
        <v>0</v>
      </c>
      <c r="GM98" s="19">
        <f t="shared" si="325"/>
        <v>841196.5</v>
      </c>
      <c r="GN98" s="19">
        <f t="shared" si="325"/>
        <v>1098431</v>
      </c>
      <c r="GO98" s="19">
        <f t="shared" si="325"/>
        <v>484374</v>
      </c>
      <c r="GP98" s="19">
        <f t="shared" si="325"/>
        <v>292153.5</v>
      </c>
      <c r="GQ98" s="19">
        <f t="shared" si="325"/>
        <v>1460350.5</v>
      </c>
      <c r="GR98" s="19">
        <f t="shared" ref="GR98:JC98" si="326">MEDIAN(GR3:GR92)</f>
        <v>0</v>
      </c>
      <c r="GS98" s="19">
        <f t="shared" si="326"/>
        <v>3662224.5</v>
      </c>
      <c r="GT98" s="19">
        <f t="shared" si="326"/>
        <v>462154</v>
      </c>
      <c r="GU98" s="19">
        <f t="shared" si="326"/>
        <v>66798</v>
      </c>
      <c r="GV98" s="19">
        <f t="shared" si="326"/>
        <v>43934.5</v>
      </c>
      <c r="GW98" s="19">
        <f t="shared" si="326"/>
        <v>412883.5</v>
      </c>
      <c r="GX98" s="19">
        <f t="shared" si="326"/>
        <v>135441</v>
      </c>
      <c r="GY98" s="19">
        <f t="shared" si="326"/>
        <v>1257327.5</v>
      </c>
      <c r="GZ98" s="19">
        <f t="shared" si="326"/>
        <v>751010</v>
      </c>
      <c r="HA98" s="19">
        <f t="shared" si="326"/>
        <v>268371</v>
      </c>
      <c r="HB98" s="19">
        <f t="shared" si="326"/>
        <v>130995</v>
      </c>
      <c r="HC98" s="19">
        <f t="shared" si="326"/>
        <v>234538</v>
      </c>
      <c r="HD98" s="19">
        <f t="shared" si="326"/>
        <v>63386.5</v>
      </c>
      <c r="HE98" s="19">
        <f t="shared" si="326"/>
        <v>1757206</v>
      </c>
      <c r="HF98" s="19">
        <f t="shared" si="326"/>
        <v>23371.5</v>
      </c>
      <c r="HG98" s="19">
        <f t="shared" si="326"/>
        <v>6755.5</v>
      </c>
      <c r="HH98" s="19">
        <f t="shared" si="326"/>
        <v>3751</v>
      </c>
      <c r="HI98" s="19">
        <f t="shared" si="326"/>
        <v>16917</v>
      </c>
      <c r="HJ98" s="19">
        <f t="shared" si="326"/>
        <v>781427.5</v>
      </c>
      <c r="HK98" s="19">
        <f t="shared" si="326"/>
        <v>1096301.5</v>
      </c>
      <c r="HL98" s="19">
        <f t="shared" si="326"/>
        <v>0</v>
      </c>
      <c r="HM98" s="19">
        <f t="shared" si="326"/>
        <v>0</v>
      </c>
      <c r="HN98" s="19">
        <f t="shared" si="326"/>
        <v>0</v>
      </c>
      <c r="HO98" s="19">
        <f t="shared" si="326"/>
        <v>0</v>
      </c>
      <c r="HP98" s="19">
        <f t="shared" si="326"/>
        <v>0</v>
      </c>
      <c r="HQ98" s="19">
        <f t="shared" si="326"/>
        <v>5372</v>
      </c>
      <c r="HR98" s="19">
        <f t="shared" si="326"/>
        <v>151452</v>
      </c>
      <c r="HS98" s="19">
        <f t="shared" si="326"/>
        <v>14208.5</v>
      </c>
      <c r="HT98" s="19">
        <f t="shared" si="326"/>
        <v>11089.5</v>
      </c>
      <c r="HU98" s="19">
        <f t="shared" si="326"/>
        <v>144726</v>
      </c>
      <c r="HV98" s="19">
        <f t="shared" si="326"/>
        <v>2981334.5</v>
      </c>
      <c r="HW98" s="19">
        <f t="shared" si="326"/>
        <v>5807213</v>
      </c>
      <c r="HX98" s="19">
        <f t="shared" si="326"/>
        <v>0</v>
      </c>
      <c r="HY98" s="19">
        <f t="shared" si="326"/>
        <v>0</v>
      </c>
      <c r="HZ98" s="19">
        <f t="shared" si="326"/>
        <v>0</v>
      </c>
      <c r="IA98" s="19">
        <f t="shared" si="326"/>
        <v>0</v>
      </c>
      <c r="IB98" s="19">
        <f t="shared" si="326"/>
        <v>105552.5</v>
      </c>
      <c r="IC98" s="19">
        <f t="shared" si="326"/>
        <v>135301.5</v>
      </c>
      <c r="ID98" s="19">
        <f t="shared" si="326"/>
        <v>0</v>
      </c>
      <c r="IE98" s="19">
        <f t="shared" si="326"/>
        <v>0</v>
      </c>
      <c r="IF98" s="19">
        <f t="shared" si="326"/>
        <v>0</v>
      </c>
      <c r="IG98" s="19">
        <f t="shared" si="326"/>
        <v>0</v>
      </c>
      <c r="IH98" s="19">
        <f t="shared" si="326"/>
        <v>0</v>
      </c>
      <c r="II98" s="19">
        <f t="shared" si="326"/>
        <v>12485</v>
      </c>
      <c r="IJ98" s="19">
        <f t="shared" si="326"/>
        <v>5451.5</v>
      </c>
      <c r="IK98" s="19">
        <f t="shared" si="326"/>
        <v>399.5</v>
      </c>
      <c r="IL98" s="19">
        <f t="shared" si="326"/>
        <v>807.5</v>
      </c>
      <c r="IM98" s="19">
        <f t="shared" si="326"/>
        <v>1832</v>
      </c>
      <c r="IN98" s="19">
        <f t="shared" si="326"/>
        <v>431165.5</v>
      </c>
      <c r="IO98" s="19">
        <f t="shared" si="326"/>
        <v>659988.5</v>
      </c>
      <c r="IP98" s="19">
        <f t="shared" si="326"/>
        <v>2127.5</v>
      </c>
      <c r="IQ98" s="19">
        <f t="shared" si="326"/>
        <v>1030</v>
      </c>
      <c r="IR98" s="19">
        <f t="shared" si="326"/>
        <v>935</v>
      </c>
      <c r="IS98" s="19">
        <f t="shared" si="326"/>
        <v>9526.5</v>
      </c>
      <c r="IT98" s="19">
        <f t="shared" si="326"/>
        <v>98655</v>
      </c>
      <c r="IU98" s="19">
        <f t="shared" si="326"/>
        <v>140326</v>
      </c>
      <c r="IV98" s="19">
        <f t="shared" si="326"/>
        <v>425176</v>
      </c>
      <c r="IW98" s="19">
        <f t="shared" si="326"/>
        <v>151469</v>
      </c>
      <c r="IX98" s="19">
        <f t="shared" si="326"/>
        <v>75596.5</v>
      </c>
      <c r="IY98" s="19">
        <f t="shared" si="326"/>
        <v>297382.5</v>
      </c>
      <c r="IZ98" s="19">
        <f t="shared" si="326"/>
        <v>2029503</v>
      </c>
      <c r="JA98" s="19">
        <f t="shared" si="326"/>
        <v>3825384.5</v>
      </c>
      <c r="JB98" s="19">
        <f t="shared" si="326"/>
        <v>14016628.5</v>
      </c>
      <c r="JC98" s="19">
        <f t="shared" si="326"/>
        <v>4516234</v>
      </c>
      <c r="JD98" s="19">
        <f t="shared" ref="JD98:JS98" si="327">MEDIAN(JD3:JD92)</f>
        <v>2414858</v>
      </c>
      <c r="JE98" s="19">
        <f t="shared" si="327"/>
        <v>10452326.5</v>
      </c>
      <c r="JF98" s="19">
        <f t="shared" si="327"/>
        <v>17352106.5</v>
      </c>
      <c r="JG98" s="19">
        <f t="shared" si="327"/>
        <v>55723018</v>
      </c>
      <c r="JH98" s="19">
        <f t="shared" si="327"/>
        <v>0</v>
      </c>
      <c r="JI98" s="19">
        <f t="shared" si="327"/>
        <v>0</v>
      </c>
      <c r="JJ98" s="19">
        <f t="shared" si="327"/>
        <v>0</v>
      </c>
      <c r="JK98" s="19">
        <f t="shared" si="327"/>
        <v>0</v>
      </c>
      <c r="JL98" s="19">
        <f t="shared" si="327"/>
        <v>0</v>
      </c>
      <c r="JM98" s="19">
        <f t="shared" si="327"/>
        <v>0</v>
      </c>
      <c r="JN98" s="19">
        <f t="shared" si="327"/>
        <v>14016628.5</v>
      </c>
      <c r="JO98" s="19">
        <f t="shared" si="327"/>
        <v>4516234</v>
      </c>
      <c r="JP98" s="19">
        <f t="shared" si="327"/>
        <v>2414858</v>
      </c>
      <c r="JQ98" s="19">
        <f t="shared" si="327"/>
        <v>10193382.5</v>
      </c>
      <c r="JR98" s="19">
        <f t="shared" si="327"/>
        <v>17352106.5</v>
      </c>
      <c r="JS98" s="19">
        <f t="shared" si="327"/>
        <v>55723018</v>
      </c>
    </row>
    <row r="99" spans="1:279" x14ac:dyDescent="0.15">
      <c r="A99" s="18" t="s">
        <v>483</v>
      </c>
      <c r="B99" s="4"/>
      <c r="C99" s="4"/>
      <c r="D99" s="4"/>
      <c r="G99" s="19">
        <f>MODE(G3:G92)</f>
        <v>12275</v>
      </c>
      <c r="H99" s="19">
        <f t="shared" ref="H99:BS99" si="328">MODE(H3:H92)</f>
        <v>9093</v>
      </c>
      <c r="I99" s="19" t="e">
        <f t="shared" si="328"/>
        <v>#N/A</v>
      </c>
      <c r="J99" s="19" t="e">
        <f t="shared" si="328"/>
        <v>#N/A</v>
      </c>
      <c r="K99" s="19">
        <f t="shared" si="328"/>
        <v>0</v>
      </c>
      <c r="L99" s="19" t="e">
        <f t="shared" si="328"/>
        <v>#N/A</v>
      </c>
      <c r="M99" s="19" t="e">
        <f t="shared" si="328"/>
        <v>#N/A</v>
      </c>
      <c r="N99" s="19" t="e">
        <f t="shared" si="328"/>
        <v>#N/A</v>
      </c>
      <c r="O99" s="19">
        <f t="shared" si="328"/>
        <v>0</v>
      </c>
      <c r="P99" s="19" t="e">
        <f t="shared" si="328"/>
        <v>#N/A</v>
      </c>
      <c r="Q99" s="19" t="e">
        <f t="shared" si="328"/>
        <v>#N/A</v>
      </c>
      <c r="R99" s="19" t="e">
        <f t="shared" si="328"/>
        <v>#N/A</v>
      </c>
      <c r="S99" s="19" t="e">
        <f t="shared" si="328"/>
        <v>#N/A</v>
      </c>
      <c r="T99" s="19" t="e">
        <f t="shared" si="328"/>
        <v>#N/A</v>
      </c>
      <c r="U99" s="19">
        <f t="shared" si="328"/>
        <v>18800</v>
      </c>
      <c r="V99" s="19" t="e">
        <f t="shared" si="328"/>
        <v>#N/A</v>
      </c>
      <c r="W99" s="19" t="e">
        <f t="shared" si="328"/>
        <v>#N/A</v>
      </c>
      <c r="X99" s="19" t="e">
        <f t="shared" si="328"/>
        <v>#N/A</v>
      </c>
      <c r="Y99" s="19" t="e">
        <f t="shared" si="328"/>
        <v>#N/A</v>
      </c>
      <c r="Z99" s="19" t="e">
        <f t="shared" si="328"/>
        <v>#N/A</v>
      </c>
      <c r="AA99" s="19" t="e">
        <f t="shared" si="328"/>
        <v>#N/A</v>
      </c>
      <c r="AB99" s="19" t="e">
        <f t="shared" si="328"/>
        <v>#N/A</v>
      </c>
      <c r="AC99" s="19">
        <f t="shared" si="328"/>
        <v>9</v>
      </c>
      <c r="AD99" s="19">
        <f t="shared" si="328"/>
        <v>11</v>
      </c>
      <c r="AE99" s="19">
        <f t="shared" si="328"/>
        <v>0</v>
      </c>
      <c r="AF99" s="19" t="e">
        <f t="shared" si="328"/>
        <v>#N/A</v>
      </c>
      <c r="AG99" s="19" t="e">
        <f t="shared" si="328"/>
        <v>#N/A</v>
      </c>
      <c r="AH99" s="19" t="e">
        <f t="shared" si="328"/>
        <v>#N/A</v>
      </c>
      <c r="AI99" s="19" t="e">
        <f t="shared" si="328"/>
        <v>#N/A</v>
      </c>
      <c r="AJ99" s="19" t="e">
        <f t="shared" si="328"/>
        <v>#N/A</v>
      </c>
      <c r="AK99" s="19">
        <f t="shared" si="328"/>
        <v>7</v>
      </c>
      <c r="AL99" s="19" t="e">
        <f t="shared" si="328"/>
        <v>#N/A</v>
      </c>
      <c r="AM99" s="19">
        <f t="shared" si="328"/>
        <v>7</v>
      </c>
      <c r="AN99" s="19" t="e">
        <f t="shared" si="328"/>
        <v>#N/A</v>
      </c>
      <c r="AO99" s="19">
        <f t="shared" si="328"/>
        <v>9</v>
      </c>
      <c r="AP99" s="19" t="e">
        <f t="shared" si="328"/>
        <v>#N/A</v>
      </c>
      <c r="AQ99" s="19">
        <f t="shared" si="328"/>
        <v>9</v>
      </c>
      <c r="AR99" s="19" t="e">
        <f t="shared" si="328"/>
        <v>#N/A</v>
      </c>
      <c r="AS99" s="19">
        <f t="shared" si="328"/>
        <v>20</v>
      </c>
      <c r="AT99" s="19" t="e">
        <f t="shared" si="328"/>
        <v>#N/A</v>
      </c>
      <c r="AU99" s="19">
        <f t="shared" si="328"/>
        <v>21</v>
      </c>
      <c r="AV99" s="19" t="e">
        <f t="shared" si="328"/>
        <v>#N/A</v>
      </c>
      <c r="AW99" s="19">
        <f t="shared" si="328"/>
        <v>17</v>
      </c>
      <c r="AX99" s="19" t="e">
        <f t="shared" si="328"/>
        <v>#N/A</v>
      </c>
      <c r="AY99" s="19">
        <f t="shared" si="328"/>
        <v>20</v>
      </c>
      <c r="AZ99" s="19" t="e">
        <f t="shared" si="328"/>
        <v>#N/A</v>
      </c>
      <c r="BA99" s="19" t="e">
        <f t="shared" si="328"/>
        <v>#N/A</v>
      </c>
      <c r="BB99" s="19" t="e">
        <f t="shared" si="328"/>
        <v>#N/A</v>
      </c>
      <c r="BC99" s="19" t="e">
        <f t="shared" si="328"/>
        <v>#N/A</v>
      </c>
      <c r="BD99" s="19">
        <f t="shared" si="328"/>
        <v>0</v>
      </c>
      <c r="BE99" s="19" t="e">
        <f t="shared" si="328"/>
        <v>#N/A</v>
      </c>
      <c r="BF99" s="19">
        <f t="shared" si="328"/>
        <v>0</v>
      </c>
      <c r="BG99" s="19">
        <f t="shared" si="328"/>
        <v>0</v>
      </c>
      <c r="BH99" s="19">
        <f t="shared" si="328"/>
        <v>0</v>
      </c>
      <c r="BI99" s="19">
        <f t="shared" si="328"/>
        <v>0</v>
      </c>
      <c r="BJ99" s="19">
        <f t="shared" si="328"/>
        <v>0</v>
      </c>
      <c r="BK99" s="19">
        <f t="shared" si="328"/>
        <v>0</v>
      </c>
      <c r="BL99" s="19">
        <f t="shared" si="328"/>
        <v>0</v>
      </c>
      <c r="BM99" s="19">
        <f t="shared" si="328"/>
        <v>0</v>
      </c>
      <c r="BN99" s="19">
        <f t="shared" si="328"/>
        <v>0</v>
      </c>
      <c r="BO99" s="19">
        <f t="shared" si="328"/>
        <v>0</v>
      </c>
      <c r="BP99" s="19">
        <f t="shared" si="328"/>
        <v>0</v>
      </c>
      <c r="BQ99" s="19">
        <f t="shared" si="328"/>
        <v>200000</v>
      </c>
      <c r="BR99" s="19">
        <f t="shared" si="328"/>
        <v>0</v>
      </c>
      <c r="BS99" s="19">
        <f t="shared" si="328"/>
        <v>0</v>
      </c>
      <c r="BT99" s="19">
        <f t="shared" ref="BT99:EE99" si="329">MODE(BT3:BT92)</f>
        <v>0</v>
      </c>
      <c r="BU99" s="19">
        <f t="shared" si="329"/>
        <v>0</v>
      </c>
      <c r="BV99" s="19" t="e">
        <f t="shared" si="329"/>
        <v>#N/A</v>
      </c>
      <c r="BW99" s="19" t="e">
        <f t="shared" si="329"/>
        <v>#N/A</v>
      </c>
      <c r="BX99" s="19">
        <f t="shared" si="329"/>
        <v>0</v>
      </c>
      <c r="BY99" s="19">
        <f t="shared" si="329"/>
        <v>0</v>
      </c>
      <c r="BZ99" s="19">
        <f t="shared" si="329"/>
        <v>0</v>
      </c>
      <c r="CA99" s="19">
        <f t="shared" si="329"/>
        <v>0</v>
      </c>
      <c r="CB99" s="19">
        <f t="shared" si="329"/>
        <v>0</v>
      </c>
      <c r="CC99" s="19">
        <f t="shared" si="329"/>
        <v>0</v>
      </c>
      <c r="CD99" s="19">
        <f t="shared" si="329"/>
        <v>0</v>
      </c>
      <c r="CE99" s="19">
        <f t="shared" si="329"/>
        <v>0</v>
      </c>
      <c r="CF99" s="19">
        <f t="shared" si="329"/>
        <v>0</v>
      </c>
      <c r="CG99" s="19">
        <f t="shared" si="329"/>
        <v>0</v>
      </c>
      <c r="CH99" s="19">
        <f t="shared" si="329"/>
        <v>0</v>
      </c>
      <c r="CI99" s="19">
        <f t="shared" si="329"/>
        <v>0</v>
      </c>
      <c r="CJ99" s="19">
        <f t="shared" si="329"/>
        <v>0</v>
      </c>
      <c r="CK99" s="19">
        <f t="shared" si="329"/>
        <v>0</v>
      </c>
      <c r="CL99" s="19">
        <f t="shared" si="329"/>
        <v>0</v>
      </c>
      <c r="CM99" s="19">
        <f t="shared" si="329"/>
        <v>0</v>
      </c>
      <c r="CN99" s="19">
        <f t="shared" si="329"/>
        <v>0</v>
      </c>
      <c r="CO99" s="19">
        <f t="shared" si="329"/>
        <v>0</v>
      </c>
      <c r="CP99" s="19">
        <f t="shared" si="329"/>
        <v>0</v>
      </c>
      <c r="CQ99" s="19">
        <f t="shared" si="329"/>
        <v>0</v>
      </c>
      <c r="CR99" s="19">
        <f t="shared" si="329"/>
        <v>0</v>
      </c>
      <c r="CS99" s="19">
        <f t="shared" si="329"/>
        <v>0</v>
      </c>
      <c r="CT99" s="19">
        <f t="shared" si="329"/>
        <v>0</v>
      </c>
      <c r="CU99" s="19">
        <f t="shared" si="329"/>
        <v>0</v>
      </c>
      <c r="CV99" s="19">
        <f t="shared" si="329"/>
        <v>0</v>
      </c>
      <c r="CW99" s="19">
        <f t="shared" si="329"/>
        <v>0</v>
      </c>
      <c r="CX99" s="19">
        <f t="shared" si="329"/>
        <v>0</v>
      </c>
      <c r="CY99" s="19">
        <f t="shared" si="329"/>
        <v>0</v>
      </c>
      <c r="CZ99" s="19">
        <f t="shared" si="329"/>
        <v>0</v>
      </c>
      <c r="DA99" s="19" t="e">
        <f t="shared" si="329"/>
        <v>#N/A</v>
      </c>
      <c r="DB99" s="19">
        <f t="shared" si="329"/>
        <v>0</v>
      </c>
      <c r="DC99" s="19">
        <f t="shared" si="329"/>
        <v>0</v>
      </c>
      <c r="DD99" s="19">
        <f t="shared" si="329"/>
        <v>0</v>
      </c>
      <c r="DE99" s="19">
        <f t="shared" si="329"/>
        <v>0</v>
      </c>
      <c r="DF99" s="19">
        <f t="shared" si="329"/>
        <v>0</v>
      </c>
      <c r="DG99" s="19">
        <f t="shared" si="329"/>
        <v>0</v>
      </c>
      <c r="DH99" s="19">
        <f t="shared" si="329"/>
        <v>0</v>
      </c>
      <c r="DI99" s="19">
        <f t="shared" si="329"/>
        <v>0</v>
      </c>
      <c r="DJ99" s="19">
        <f t="shared" si="329"/>
        <v>0</v>
      </c>
      <c r="DK99" s="19">
        <f t="shared" si="329"/>
        <v>0</v>
      </c>
      <c r="DL99" s="19">
        <f t="shared" si="329"/>
        <v>0</v>
      </c>
      <c r="DM99" s="19" t="e">
        <f t="shared" si="329"/>
        <v>#N/A</v>
      </c>
      <c r="DN99" s="19">
        <f t="shared" si="329"/>
        <v>0</v>
      </c>
      <c r="DO99" s="19">
        <f t="shared" si="329"/>
        <v>0</v>
      </c>
      <c r="DP99" s="19">
        <f t="shared" si="329"/>
        <v>0</v>
      </c>
      <c r="DQ99" s="19">
        <f t="shared" si="329"/>
        <v>0</v>
      </c>
      <c r="DR99" s="19">
        <f t="shared" si="329"/>
        <v>0</v>
      </c>
      <c r="DS99" s="19" t="e">
        <f t="shared" si="329"/>
        <v>#N/A</v>
      </c>
      <c r="DT99" s="19">
        <f t="shared" si="329"/>
        <v>0</v>
      </c>
      <c r="DU99" s="19">
        <f t="shared" si="329"/>
        <v>0</v>
      </c>
      <c r="DV99" s="19">
        <f t="shared" si="329"/>
        <v>0</v>
      </c>
      <c r="DW99" s="19">
        <f t="shared" si="329"/>
        <v>0</v>
      </c>
      <c r="DX99" s="19">
        <f t="shared" si="329"/>
        <v>0</v>
      </c>
      <c r="DY99" s="19">
        <f t="shared" si="329"/>
        <v>0</v>
      </c>
      <c r="DZ99" s="19">
        <f t="shared" si="329"/>
        <v>0</v>
      </c>
      <c r="EA99" s="19">
        <f t="shared" si="329"/>
        <v>0</v>
      </c>
      <c r="EB99" s="19">
        <f t="shared" si="329"/>
        <v>0</v>
      </c>
      <c r="EC99" s="19">
        <f t="shared" si="329"/>
        <v>0</v>
      </c>
      <c r="ED99" s="19">
        <f t="shared" si="329"/>
        <v>0</v>
      </c>
      <c r="EE99" s="19">
        <f t="shared" si="329"/>
        <v>0</v>
      </c>
      <c r="EF99" s="19">
        <f t="shared" ref="EF99:GQ99" si="330">MODE(EF3:EF92)</f>
        <v>0</v>
      </c>
      <c r="EG99" s="19">
        <f t="shared" si="330"/>
        <v>0</v>
      </c>
      <c r="EH99" s="19">
        <f t="shared" si="330"/>
        <v>0</v>
      </c>
      <c r="EI99" s="19">
        <f t="shared" si="330"/>
        <v>0</v>
      </c>
      <c r="EJ99" s="19">
        <f t="shared" si="330"/>
        <v>0</v>
      </c>
      <c r="EK99" s="19">
        <f t="shared" si="330"/>
        <v>0</v>
      </c>
      <c r="EL99" s="19" t="e">
        <f t="shared" si="330"/>
        <v>#N/A</v>
      </c>
      <c r="EM99" s="19" t="e">
        <f t="shared" si="330"/>
        <v>#N/A</v>
      </c>
      <c r="EN99" s="19" t="e">
        <f t="shared" si="330"/>
        <v>#N/A</v>
      </c>
      <c r="EO99" s="19" t="e">
        <f t="shared" si="330"/>
        <v>#N/A</v>
      </c>
      <c r="EP99" s="19" t="e">
        <f t="shared" si="330"/>
        <v>#N/A</v>
      </c>
      <c r="EQ99" s="19" t="e">
        <f t="shared" si="330"/>
        <v>#N/A</v>
      </c>
      <c r="ER99" s="19" t="e">
        <f t="shared" si="330"/>
        <v>#N/A</v>
      </c>
      <c r="ES99" s="19" t="e">
        <f t="shared" si="330"/>
        <v>#N/A</v>
      </c>
      <c r="ET99" s="19" t="e">
        <f t="shared" si="330"/>
        <v>#N/A</v>
      </c>
      <c r="EU99" s="19" t="e">
        <f t="shared" si="330"/>
        <v>#N/A</v>
      </c>
      <c r="EV99" s="19">
        <f t="shared" si="330"/>
        <v>0</v>
      </c>
      <c r="EW99" s="19" t="e">
        <f t="shared" si="330"/>
        <v>#N/A</v>
      </c>
      <c r="EX99" s="19">
        <f t="shared" si="330"/>
        <v>450000</v>
      </c>
      <c r="EY99" s="19">
        <f t="shared" si="330"/>
        <v>0</v>
      </c>
      <c r="EZ99" s="19">
        <f t="shared" si="330"/>
        <v>0</v>
      </c>
      <c r="FA99" s="19">
        <f t="shared" si="330"/>
        <v>0</v>
      </c>
      <c r="FB99" s="19">
        <f t="shared" si="330"/>
        <v>0</v>
      </c>
      <c r="FC99" s="19" t="e">
        <f t="shared" si="330"/>
        <v>#N/A</v>
      </c>
      <c r="FD99" s="19" t="e">
        <f t="shared" si="330"/>
        <v>#N/A</v>
      </c>
      <c r="FE99" s="19" t="e">
        <f t="shared" si="330"/>
        <v>#N/A</v>
      </c>
      <c r="FF99" s="19" t="e">
        <f t="shared" si="330"/>
        <v>#N/A</v>
      </c>
      <c r="FG99" s="19" t="e">
        <f t="shared" si="330"/>
        <v>#N/A</v>
      </c>
      <c r="FH99" s="19">
        <f t="shared" si="330"/>
        <v>0</v>
      </c>
      <c r="FI99" s="19" t="e">
        <f t="shared" si="330"/>
        <v>#N/A</v>
      </c>
      <c r="FJ99" s="19">
        <f t="shared" si="330"/>
        <v>0</v>
      </c>
      <c r="FK99" s="19">
        <f t="shared" si="330"/>
        <v>0</v>
      </c>
      <c r="FL99" s="19">
        <f t="shared" si="330"/>
        <v>0</v>
      </c>
      <c r="FM99" s="19">
        <f t="shared" si="330"/>
        <v>0</v>
      </c>
      <c r="FN99" s="19">
        <f t="shared" si="330"/>
        <v>0</v>
      </c>
      <c r="FO99" s="19">
        <f t="shared" si="330"/>
        <v>0</v>
      </c>
      <c r="FP99" s="19">
        <f t="shared" si="330"/>
        <v>0</v>
      </c>
      <c r="FQ99" s="19">
        <f t="shared" si="330"/>
        <v>0</v>
      </c>
      <c r="FR99" s="19">
        <f t="shared" si="330"/>
        <v>0</v>
      </c>
      <c r="FS99" s="19">
        <f t="shared" si="330"/>
        <v>0</v>
      </c>
      <c r="FT99" s="19" t="e">
        <f t="shared" si="330"/>
        <v>#N/A</v>
      </c>
      <c r="FU99" s="19" t="e">
        <f t="shared" si="330"/>
        <v>#N/A</v>
      </c>
      <c r="FV99" s="19">
        <f t="shared" si="330"/>
        <v>0</v>
      </c>
      <c r="FW99" s="19">
        <f t="shared" si="330"/>
        <v>0</v>
      </c>
      <c r="FX99" s="19">
        <f t="shared" si="330"/>
        <v>0</v>
      </c>
      <c r="FY99" s="19">
        <f t="shared" si="330"/>
        <v>0</v>
      </c>
      <c r="FZ99" s="19">
        <f t="shared" si="330"/>
        <v>0</v>
      </c>
      <c r="GA99" s="19">
        <f t="shared" si="330"/>
        <v>0</v>
      </c>
      <c r="GB99" s="19">
        <f t="shared" si="330"/>
        <v>0</v>
      </c>
      <c r="GC99" s="19">
        <f t="shared" si="330"/>
        <v>0</v>
      </c>
      <c r="GD99" s="19">
        <f t="shared" si="330"/>
        <v>0</v>
      </c>
      <c r="GE99" s="19">
        <f t="shared" si="330"/>
        <v>0</v>
      </c>
      <c r="GF99" s="19">
        <f t="shared" si="330"/>
        <v>0</v>
      </c>
      <c r="GG99" s="19">
        <f t="shared" si="330"/>
        <v>0</v>
      </c>
      <c r="GH99" s="19" t="e">
        <f t="shared" si="330"/>
        <v>#N/A</v>
      </c>
      <c r="GI99" s="19" t="e">
        <f t="shared" si="330"/>
        <v>#N/A</v>
      </c>
      <c r="GJ99" s="19" t="e">
        <f t="shared" si="330"/>
        <v>#N/A</v>
      </c>
      <c r="GK99" s="19" t="e">
        <f t="shared" si="330"/>
        <v>#N/A</v>
      </c>
      <c r="GL99" s="19">
        <f t="shared" si="330"/>
        <v>0</v>
      </c>
      <c r="GM99" s="19" t="e">
        <f t="shared" si="330"/>
        <v>#N/A</v>
      </c>
      <c r="GN99" s="19" t="e">
        <f t="shared" si="330"/>
        <v>#N/A</v>
      </c>
      <c r="GO99" s="19" t="e">
        <f t="shared" si="330"/>
        <v>#N/A</v>
      </c>
      <c r="GP99" s="19" t="e">
        <f t="shared" si="330"/>
        <v>#N/A</v>
      </c>
      <c r="GQ99" s="19" t="e">
        <f t="shared" si="330"/>
        <v>#N/A</v>
      </c>
      <c r="GR99" s="19">
        <f t="shared" ref="GR99:JC99" si="331">MODE(GR3:GR92)</f>
        <v>0</v>
      </c>
      <c r="GS99" s="19" t="e">
        <f t="shared" si="331"/>
        <v>#N/A</v>
      </c>
      <c r="GT99" s="19" t="e">
        <f t="shared" si="331"/>
        <v>#N/A</v>
      </c>
      <c r="GU99" s="19" t="e">
        <f t="shared" si="331"/>
        <v>#N/A</v>
      </c>
      <c r="GV99" s="19" t="e">
        <f t="shared" si="331"/>
        <v>#N/A</v>
      </c>
      <c r="GW99" s="19" t="e">
        <f t="shared" si="331"/>
        <v>#N/A</v>
      </c>
      <c r="GX99" s="19">
        <f t="shared" si="331"/>
        <v>0</v>
      </c>
      <c r="GY99" s="19" t="e">
        <f t="shared" si="331"/>
        <v>#N/A</v>
      </c>
      <c r="GZ99" s="19">
        <f t="shared" si="331"/>
        <v>0</v>
      </c>
      <c r="HA99" s="19">
        <f t="shared" si="331"/>
        <v>0</v>
      </c>
      <c r="HB99" s="19">
        <f t="shared" si="331"/>
        <v>0</v>
      </c>
      <c r="HC99" s="19">
        <f t="shared" si="331"/>
        <v>0</v>
      </c>
      <c r="HD99" s="19">
        <f t="shared" si="331"/>
        <v>0</v>
      </c>
      <c r="HE99" s="19" t="e">
        <f t="shared" si="331"/>
        <v>#N/A</v>
      </c>
      <c r="HF99" s="19">
        <f t="shared" si="331"/>
        <v>0</v>
      </c>
      <c r="HG99" s="19">
        <f t="shared" si="331"/>
        <v>0</v>
      </c>
      <c r="HH99" s="19">
        <f t="shared" si="331"/>
        <v>0</v>
      </c>
      <c r="HI99" s="19">
        <f t="shared" si="331"/>
        <v>0</v>
      </c>
      <c r="HJ99" s="19" t="e">
        <f t="shared" si="331"/>
        <v>#N/A</v>
      </c>
      <c r="HK99" s="19" t="e">
        <f t="shared" si="331"/>
        <v>#N/A</v>
      </c>
      <c r="HL99" s="19">
        <f t="shared" si="331"/>
        <v>0</v>
      </c>
      <c r="HM99" s="19">
        <f t="shared" si="331"/>
        <v>0</v>
      </c>
      <c r="HN99" s="19">
        <f t="shared" si="331"/>
        <v>0</v>
      </c>
      <c r="HO99" s="19">
        <f t="shared" si="331"/>
        <v>0</v>
      </c>
      <c r="HP99" s="19">
        <f t="shared" si="331"/>
        <v>0</v>
      </c>
      <c r="HQ99" s="19">
        <f t="shared" si="331"/>
        <v>0</v>
      </c>
      <c r="HR99" s="19">
        <f t="shared" si="331"/>
        <v>0</v>
      </c>
      <c r="HS99" s="19">
        <f t="shared" si="331"/>
        <v>0</v>
      </c>
      <c r="HT99" s="19">
        <f t="shared" si="331"/>
        <v>0</v>
      </c>
      <c r="HU99" s="19">
        <f t="shared" si="331"/>
        <v>0</v>
      </c>
      <c r="HV99" s="19">
        <f t="shared" si="331"/>
        <v>0</v>
      </c>
      <c r="HW99" s="19">
        <f t="shared" si="331"/>
        <v>0</v>
      </c>
      <c r="HX99" s="19">
        <f t="shared" si="331"/>
        <v>0</v>
      </c>
      <c r="HY99" s="19">
        <f t="shared" si="331"/>
        <v>0</v>
      </c>
      <c r="HZ99" s="19">
        <f t="shared" si="331"/>
        <v>0</v>
      </c>
      <c r="IA99" s="19">
        <f t="shared" si="331"/>
        <v>0</v>
      </c>
      <c r="IB99" s="19">
        <f t="shared" si="331"/>
        <v>0</v>
      </c>
      <c r="IC99" s="19">
        <f t="shared" si="331"/>
        <v>0</v>
      </c>
      <c r="ID99" s="19">
        <f t="shared" si="331"/>
        <v>0</v>
      </c>
      <c r="IE99" s="19">
        <f t="shared" si="331"/>
        <v>0</v>
      </c>
      <c r="IF99" s="19">
        <f t="shared" si="331"/>
        <v>0</v>
      </c>
      <c r="IG99" s="19">
        <f t="shared" si="331"/>
        <v>0</v>
      </c>
      <c r="IH99" s="19">
        <f t="shared" si="331"/>
        <v>0</v>
      </c>
      <c r="II99" s="19">
        <f t="shared" si="331"/>
        <v>0</v>
      </c>
      <c r="IJ99" s="19">
        <f t="shared" si="331"/>
        <v>0</v>
      </c>
      <c r="IK99" s="19">
        <f t="shared" si="331"/>
        <v>0</v>
      </c>
      <c r="IL99" s="19">
        <f t="shared" si="331"/>
        <v>0</v>
      </c>
      <c r="IM99" s="19">
        <f t="shared" si="331"/>
        <v>0</v>
      </c>
      <c r="IN99" s="19">
        <f t="shared" si="331"/>
        <v>0</v>
      </c>
      <c r="IO99" s="19" t="e">
        <f t="shared" si="331"/>
        <v>#N/A</v>
      </c>
      <c r="IP99" s="19">
        <f t="shared" si="331"/>
        <v>0</v>
      </c>
      <c r="IQ99" s="19">
        <f t="shared" si="331"/>
        <v>0</v>
      </c>
      <c r="IR99" s="19">
        <f t="shared" si="331"/>
        <v>0</v>
      </c>
      <c r="IS99" s="19">
        <f t="shared" si="331"/>
        <v>0</v>
      </c>
      <c r="IT99" s="19">
        <f t="shared" si="331"/>
        <v>0</v>
      </c>
      <c r="IU99" s="19" t="e">
        <f t="shared" si="331"/>
        <v>#N/A</v>
      </c>
      <c r="IV99" s="19">
        <f t="shared" si="331"/>
        <v>0</v>
      </c>
      <c r="IW99" s="19">
        <f t="shared" si="331"/>
        <v>0</v>
      </c>
      <c r="IX99" s="19">
        <f t="shared" si="331"/>
        <v>0</v>
      </c>
      <c r="IY99" s="19">
        <f t="shared" si="331"/>
        <v>0</v>
      </c>
      <c r="IZ99" s="19" t="e">
        <f t="shared" si="331"/>
        <v>#N/A</v>
      </c>
      <c r="JA99" s="19" t="e">
        <f t="shared" si="331"/>
        <v>#N/A</v>
      </c>
      <c r="JB99" s="19" t="e">
        <f t="shared" si="331"/>
        <v>#N/A</v>
      </c>
      <c r="JC99" s="19" t="e">
        <f t="shared" si="331"/>
        <v>#N/A</v>
      </c>
      <c r="JD99" s="19" t="e">
        <f t="shared" ref="JD99:JS99" si="332">MODE(JD3:JD92)</f>
        <v>#N/A</v>
      </c>
      <c r="JE99" s="19" t="e">
        <f t="shared" si="332"/>
        <v>#N/A</v>
      </c>
      <c r="JF99" s="19" t="e">
        <f t="shared" si="332"/>
        <v>#N/A</v>
      </c>
      <c r="JG99" s="19" t="e">
        <f t="shared" si="332"/>
        <v>#N/A</v>
      </c>
      <c r="JH99" s="19">
        <f t="shared" si="332"/>
        <v>0</v>
      </c>
      <c r="JI99" s="19">
        <f t="shared" si="332"/>
        <v>0</v>
      </c>
      <c r="JJ99" s="19">
        <f t="shared" si="332"/>
        <v>0</v>
      </c>
      <c r="JK99" s="19">
        <f t="shared" si="332"/>
        <v>0</v>
      </c>
      <c r="JL99" s="19">
        <f t="shared" si="332"/>
        <v>0</v>
      </c>
      <c r="JM99" s="19">
        <f t="shared" si="332"/>
        <v>0</v>
      </c>
      <c r="JN99" s="19" t="e">
        <f t="shared" si="332"/>
        <v>#N/A</v>
      </c>
      <c r="JO99" s="19" t="e">
        <f t="shared" si="332"/>
        <v>#N/A</v>
      </c>
      <c r="JP99" s="19" t="e">
        <f t="shared" si="332"/>
        <v>#N/A</v>
      </c>
      <c r="JQ99" s="19" t="e">
        <f t="shared" si="332"/>
        <v>#N/A</v>
      </c>
      <c r="JR99" s="19" t="e">
        <f t="shared" si="332"/>
        <v>#N/A</v>
      </c>
      <c r="JS99" s="19" t="e">
        <f t="shared" si="332"/>
        <v>#N/A</v>
      </c>
    </row>
    <row r="100" spans="1:279" x14ac:dyDescent="0.15">
      <c r="A100" s="39" t="s">
        <v>484</v>
      </c>
      <c r="B100" s="21"/>
      <c r="C100" s="21"/>
      <c r="D100" s="21"/>
      <c r="E100" s="21"/>
      <c r="F100" s="21"/>
      <c r="G100" s="19">
        <f>STDEV(G3:G92)</f>
        <v>4173.9086088199783</v>
      </c>
      <c r="H100" s="19">
        <f t="shared" ref="H100:BS100" si="333">STDEV(H3:H92)</f>
        <v>4209.576521443415</v>
      </c>
      <c r="I100" s="19">
        <f t="shared" si="333"/>
        <v>975095083.40260434</v>
      </c>
      <c r="J100" s="19" t="e">
        <f t="shared" si="333"/>
        <v>#DIV/0!</v>
      </c>
      <c r="K100" s="19">
        <f t="shared" si="333"/>
        <v>4597265.039657983</v>
      </c>
      <c r="L100" s="19" t="e">
        <f t="shared" si="333"/>
        <v>#DIV/0!</v>
      </c>
      <c r="M100" s="19">
        <f t="shared" si="333"/>
        <v>42697383.938730352</v>
      </c>
      <c r="N100" s="19" t="e">
        <f t="shared" si="333"/>
        <v>#DIV/0!</v>
      </c>
      <c r="O100" s="19">
        <f t="shared" si="333"/>
        <v>59910115.010224752</v>
      </c>
      <c r="P100" s="19" t="e">
        <f t="shared" si="333"/>
        <v>#DIV/0!</v>
      </c>
      <c r="Q100" s="19">
        <f t="shared" si="333"/>
        <v>523345500.68620676</v>
      </c>
      <c r="R100" s="19" t="e">
        <f t="shared" si="333"/>
        <v>#DIV/0!</v>
      </c>
      <c r="S100" s="19">
        <f t="shared" si="333"/>
        <v>669365212.97275722</v>
      </c>
      <c r="T100" s="19" t="e">
        <f t="shared" si="333"/>
        <v>#DIV/0!</v>
      </c>
      <c r="U100" s="19">
        <f t="shared" si="333"/>
        <v>3385.1246711643935</v>
      </c>
      <c r="V100" s="19" t="e">
        <f t="shared" si="333"/>
        <v>#DIV/0!</v>
      </c>
      <c r="W100" s="19">
        <f t="shared" si="333"/>
        <v>6449.7195394560003</v>
      </c>
      <c r="X100" s="19" t="e">
        <f t="shared" si="333"/>
        <v>#DIV/0!</v>
      </c>
      <c r="Y100" s="19">
        <f t="shared" si="333"/>
        <v>3095.4206550839494</v>
      </c>
      <c r="Z100" s="19" t="e">
        <f t="shared" si="333"/>
        <v>#DIV/0!</v>
      </c>
      <c r="AA100" s="19">
        <f t="shared" si="333"/>
        <v>6197.8924780780208</v>
      </c>
      <c r="AB100" s="19" t="e">
        <f t="shared" si="333"/>
        <v>#DIV/0!</v>
      </c>
      <c r="AC100" s="19">
        <f t="shared" si="333"/>
        <v>2.098567048438682</v>
      </c>
      <c r="AD100" s="19">
        <f t="shared" si="333"/>
        <v>1.7840514657032291</v>
      </c>
      <c r="AE100" s="19">
        <f t="shared" si="333"/>
        <v>0.33861159769862631</v>
      </c>
      <c r="AF100" s="19">
        <f t="shared" si="333"/>
        <v>1231107.316029272</v>
      </c>
      <c r="AG100" s="19">
        <f t="shared" si="333"/>
        <v>1161069.5023211897</v>
      </c>
      <c r="AH100" s="19">
        <f t="shared" si="333"/>
        <v>333716.33315691759</v>
      </c>
      <c r="AI100" s="19">
        <f t="shared" si="333"/>
        <v>177972.6863794784</v>
      </c>
      <c r="AJ100" s="19">
        <f t="shared" si="333"/>
        <v>970358.28287819889</v>
      </c>
      <c r="AK100" s="19">
        <f t="shared" si="333"/>
        <v>1.9330148801984035</v>
      </c>
      <c r="AL100" s="19">
        <f t="shared" si="333"/>
        <v>330264.936938992</v>
      </c>
      <c r="AM100" s="19">
        <f t="shared" si="333"/>
        <v>1.9054515629728166</v>
      </c>
      <c r="AN100" s="19">
        <f t="shared" si="333"/>
        <v>264038.22038329864</v>
      </c>
      <c r="AO100" s="19">
        <f t="shared" si="333"/>
        <v>1.9629773447953356</v>
      </c>
      <c r="AP100" s="19">
        <f t="shared" si="333"/>
        <v>68463.38005109076</v>
      </c>
      <c r="AQ100" s="19">
        <f t="shared" si="333"/>
        <v>2.7198998058815924</v>
      </c>
      <c r="AR100" s="19">
        <f t="shared" si="333"/>
        <v>166671.55503013168</v>
      </c>
      <c r="AS100" s="19">
        <f t="shared" si="333"/>
        <v>4.1661099682581435</v>
      </c>
      <c r="AT100" s="19">
        <f t="shared" si="333"/>
        <v>60685.423308027188</v>
      </c>
      <c r="AU100" s="19">
        <f t="shared" si="333"/>
        <v>4.6539054079854294</v>
      </c>
      <c r="AV100" s="19">
        <f t="shared" si="333"/>
        <v>48188.790954007934</v>
      </c>
      <c r="AW100" s="19">
        <f t="shared" si="333"/>
        <v>4.2784320279721264</v>
      </c>
      <c r="AX100" s="19">
        <f t="shared" si="333"/>
        <v>28939.029320478126</v>
      </c>
      <c r="AY100" s="19">
        <f t="shared" si="333"/>
        <v>4.9624998231115356</v>
      </c>
      <c r="AZ100" s="19">
        <f t="shared" si="333"/>
        <v>10299108.005996116</v>
      </c>
      <c r="BA100" s="19">
        <f t="shared" si="333"/>
        <v>3044251.6519657434</v>
      </c>
      <c r="BB100" s="19">
        <f t="shared" si="333"/>
        <v>263330.63895294862</v>
      </c>
      <c r="BC100" s="19">
        <f t="shared" si="333"/>
        <v>835866.4479027444</v>
      </c>
      <c r="BD100" s="19">
        <f t="shared" si="333"/>
        <v>2062401.2464392772</v>
      </c>
      <c r="BE100" s="19">
        <f t="shared" si="333"/>
        <v>12813913.419533571</v>
      </c>
      <c r="BF100" s="19">
        <f t="shared" si="333"/>
        <v>1178691.6316707819</v>
      </c>
      <c r="BG100" s="19">
        <f t="shared" si="333"/>
        <v>427833.48536671215</v>
      </c>
      <c r="BH100" s="19">
        <f t="shared" si="333"/>
        <v>406926.32671605831</v>
      </c>
      <c r="BI100" s="19">
        <f t="shared" si="333"/>
        <v>1988370.3959702118</v>
      </c>
      <c r="BJ100" s="19">
        <f t="shared" si="333"/>
        <v>3892311.6082546557</v>
      </c>
      <c r="BK100" s="19">
        <f t="shared" si="333"/>
        <v>4777717.182653808</v>
      </c>
      <c r="BL100" s="19">
        <f t="shared" si="333"/>
        <v>774966.90803735435</v>
      </c>
      <c r="BM100" s="19">
        <f t="shared" si="333"/>
        <v>125723.34666185585</v>
      </c>
      <c r="BN100" s="19">
        <f t="shared" si="333"/>
        <v>10501.369006056939</v>
      </c>
      <c r="BO100" s="19">
        <f t="shared" si="333"/>
        <v>27661.148598447486</v>
      </c>
      <c r="BP100" s="19">
        <f t="shared" si="333"/>
        <v>521128.6350898018</v>
      </c>
      <c r="BQ100" s="19">
        <f t="shared" si="333"/>
        <v>909452.01080115873</v>
      </c>
      <c r="BR100" s="19">
        <f t="shared" si="333"/>
        <v>7858112.1429552501</v>
      </c>
      <c r="BS100" s="19">
        <f t="shared" si="333"/>
        <v>2333536.4496077574</v>
      </c>
      <c r="BT100" s="19">
        <f t="shared" ref="BT100:EE100" si="334">STDEV(BT3:BT92)</f>
        <v>272471.04546680563</v>
      </c>
      <c r="BU100" s="19">
        <f t="shared" si="334"/>
        <v>1856755.0490519842</v>
      </c>
      <c r="BV100" s="19">
        <f t="shared" si="334"/>
        <v>7130129.2629433535</v>
      </c>
      <c r="BW100" s="19">
        <f t="shared" si="334"/>
        <v>12061994.068838891</v>
      </c>
      <c r="BX100" s="19">
        <f t="shared" si="334"/>
        <v>281688.95654423651</v>
      </c>
      <c r="BY100" s="19">
        <f t="shared" si="334"/>
        <v>110822.17977473234</v>
      </c>
      <c r="BZ100" s="19">
        <f t="shared" si="334"/>
        <v>47313.847877987566</v>
      </c>
      <c r="CA100" s="19">
        <f t="shared" si="334"/>
        <v>77167.623357834658</v>
      </c>
      <c r="CB100" s="19">
        <f t="shared" si="334"/>
        <v>24890.765756655303</v>
      </c>
      <c r="CC100" s="19">
        <f t="shared" si="334"/>
        <v>478711.88034704741</v>
      </c>
      <c r="CD100" s="19">
        <f t="shared" si="334"/>
        <v>73411.844929583196</v>
      </c>
      <c r="CE100" s="19">
        <f t="shared" si="334"/>
        <v>40529.59509373425</v>
      </c>
      <c r="CF100" s="19">
        <f t="shared" si="334"/>
        <v>32674.702346071488</v>
      </c>
      <c r="CG100" s="19">
        <f t="shared" si="334"/>
        <v>149059.26965923971</v>
      </c>
      <c r="CH100" s="19">
        <f t="shared" si="334"/>
        <v>987103.06615714962</v>
      </c>
      <c r="CI100" s="19">
        <f t="shared" si="334"/>
        <v>1061836.7326387847</v>
      </c>
      <c r="CJ100" s="19">
        <f t="shared" si="334"/>
        <v>898574.42118579918</v>
      </c>
      <c r="CK100" s="19">
        <f t="shared" si="334"/>
        <v>316000.23179636552</v>
      </c>
      <c r="CL100" s="19">
        <f t="shared" si="334"/>
        <v>349715.78191256791</v>
      </c>
      <c r="CM100" s="19">
        <f t="shared" si="334"/>
        <v>1812470.2624734966</v>
      </c>
      <c r="CN100" s="19">
        <f t="shared" si="334"/>
        <v>4054946.655293378</v>
      </c>
      <c r="CO100" s="19">
        <f t="shared" si="334"/>
        <v>5029187.0267839637</v>
      </c>
      <c r="CP100" s="19">
        <f t="shared" si="334"/>
        <v>240354.63701883319</v>
      </c>
      <c r="CQ100" s="19">
        <f t="shared" si="334"/>
        <v>78882.004221213647</v>
      </c>
      <c r="CR100" s="19">
        <f t="shared" si="334"/>
        <v>56521.561596764317</v>
      </c>
      <c r="CS100" s="19">
        <f t="shared" si="334"/>
        <v>239363.20488048322</v>
      </c>
      <c r="CT100" s="19">
        <f t="shared" si="334"/>
        <v>1733117.7958616803</v>
      </c>
      <c r="CU100" s="19">
        <f t="shared" si="334"/>
        <v>1833708.6282889417</v>
      </c>
      <c r="CV100" s="19">
        <f t="shared" si="334"/>
        <v>6128256.6646941565</v>
      </c>
      <c r="CW100" s="19">
        <f t="shared" si="334"/>
        <v>2749056.0143555892</v>
      </c>
      <c r="CX100" s="19">
        <f t="shared" si="334"/>
        <v>119732.77775252932</v>
      </c>
      <c r="CY100" s="19">
        <f t="shared" si="334"/>
        <v>329638.93185737159</v>
      </c>
      <c r="CZ100" s="19">
        <f t="shared" si="334"/>
        <v>2358716.283927022</v>
      </c>
      <c r="DA100" s="19">
        <f t="shared" si="334"/>
        <v>9210376.083888445</v>
      </c>
      <c r="DB100" s="19">
        <f t="shared" si="334"/>
        <v>1578901.0329053665</v>
      </c>
      <c r="DC100" s="19">
        <f t="shared" si="334"/>
        <v>965270.54128619295</v>
      </c>
      <c r="DD100" s="19">
        <f t="shared" si="334"/>
        <v>139817.36590775623</v>
      </c>
      <c r="DE100" s="19">
        <f t="shared" si="334"/>
        <v>50903.897093678846</v>
      </c>
      <c r="DF100" s="19">
        <f t="shared" si="334"/>
        <v>1748473.4928225987</v>
      </c>
      <c r="DG100" s="19">
        <f t="shared" si="334"/>
        <v>2820666.7474051826</v>
      </c>
      <c r="DH100" s="19">
        <f t="shared" si="334"/>
        <v>820743.29598095454</v>
      </c>
      <c r="DI100" s="19">
        <f t="shared" si="334"/>
        <v>262115.45522903942</v>
      </c>
      <c r="DJ100" s="19">
        <f t="shared" si="334"/>
        <v>41028.694407546966</v>
      </c>
      <c r="DK100" s="19">
        <f t="shared" si="334"/>
        <v>132081.93601432093</v>
      </c>
      <c r="DL100" s="19">
        <f t="shared" si="334"/>
        <v>1051817.31724674</v>
      </c>
      <c r="DM100" s="19">
        <f t="shared" si="334"/>
        <v>1830266.2524367557</v>
      </c>
      <c r="DN100" s="19">
        <f t="shared" si="334"/>
        <v>2687121.0611274391</v>
      </c>
      <c r="DO100" s="19">
        <f t="shared" si="334"/>
        <v>595811.53055953316</v>
      </c>
      <c r="DP100" s="19">
        <f t="shared" si="334"/>
        <v>96867.114357946353</v>
      </c>
      <c r="DQ100" s="19">
        <f t="shared" si="334"/>
        <v>399455.30301754101</v>
      </c>
      <c r="DR100" s="19">
        <f t="shared" si="334"/>
        <v>3859741.3060384206</v>
      </c>
      <c r="DS100" s="19">
        <f t="shared" si="334"/>
        <v>4918843.5339072756</v>
      </c>
      <c r="DT100" s="19">
        <f t="shared" si="334"/>
        <v>112278.61899356049</v>
      </c>
      <c r="DU100" s="19">
        <f t="shared" si="334"/>
        <v>117013.31388905922</v>
      </c>
      <c r="DV100" s="19">
        <f t="shared" si="334"/>
        <v>49278.934393000032</v>
      </c>
      <c r="DW100" s="19">
        <f t="shared" si="334"/>
        <v>660875.25557435316</v>
      </c>
      <c r="DX100" s="19">
        <f t="shared" si="334"/>
        <v>153876.00811703058</v>
      </c>
      <c r="DY100" s="19">
        <f t="shared" si="334"/>
        <v>901006.82229105709</v>
      </c>
      <c r="DZ100" s="19">
        <f t="shared" si="334"/>
        <v>270772.43462540815</v>
      </c>
      <c r="EA100" s="19">
        <f t="shared" si="334"/>
        <v>62612.319702331835</v>
      </c>
      <c r="EB100" s="19">
        <f t="shared" si="334"/>
        <v>41623.8800041297</v>
      </c>
      <c r="EC100" s="19">
        <f t="shared" si="334"/>
        <v>497082.00674729008</v>
      </c>
      <c r="ED100" s="19">
        <f t="shared" si="334"/>
        <v>739045.45255131973</v>
      </c>
      <c r="EE100" s="19">
        <f t="shared" si="334"/>
        <v>1198508.8801315394</v>
      </c>
      <c r="EF100" s="19">
        <f t="shared" ref="EF100:GQ100" si="335">STDEV(EF3:EF92)</f>
        <v>880284.05991844623</v>
      </c>
      <c r="EG100" s="19">
        <f t="shared" si="335"/>
        <v>257456.88519352139</v>
      </c>
      <c r="EH100" s="19">
        <f t="shared" si="335"/>
        <v>23431.635300540871</v>
      </c>
      <c r="EI100" s="19">
        <f t="shared" si="335"/>
        <v>180231.95224767452</v>
      </c>
      <c r="EJ100" s="19">
        <f t="shared" si="335"/>
        <v>2803519.887899912</v>
      </c>
      <c r="EK100" s="19">
        <f t="shared" si="335"/>
        <v>3002843.0213835575</v>
      </c>
      <c r="EL100" s="19">
        <f t="shared" si="335"/>
        <v>23592096.070501938</v>
      </c>
      <c r="EM100" s="19">
        <f t="shared" si="335"/>
        <v>6982412.507464312</v>
      </c>
      <c r="EN100" s="19">
        <f t="shared" si="335"/>
        <v>815462.06901829562</v>
      </c>
      <c r="EO100" s="19">
        <f t="shared" si="335"/>
        <v>4513218.9843215086</v>
      </c>
      <c r="EP100" s="19">
        <f t="shared" si="335"/>
        <v>11531955.177186735</v>
      </c>
      <c r="EQ100" s="19">
        <f t="shared" si="335"/>
        <v>34294148.386179306</v>
      </c>
      <c r="ER100" s="19">
        <f t="shared" si="335"/>
        <v>650279.65909379255</v>
      </c>
      <c r="ES100" s="19">
        <f t="shared" si="335"/>
        <v>92754.753263450213</v>
      </c>
      <c r="ET100" s="19">
        <f t="shared" si="335"/>
        <v>101356.35293421002</v>
      </c>
      <c r="EU100" s="19">
        <f t="shared" si="335"/>
        <v>1865462.6363486517</v>
      </c>
      <c r="EV100" s="19">
        <f t="shared" si="335"/>
        <v>616266.87258497754</v>
      </c>
      <c r="EW100" s="19">
        <f t="shared" si="335"/>
        <v>2565114.7041888791</v>
      </c>
      <c r="EX100" s="19">
        <f t="shared" si="335"/>
        <v>931252.31997496099</v>
      </c>
      <c r="EY100" s="19">
        <f t="shared" si="335"/>
        <v>297821.75242095767</v>
      </c>
      <c r="EZ100" s="19">
        <f t="shared" si="335"/>
        <v>46540.435767709721</v>
      </c>
      <c r="FA100" s="19">
        <f t="shared" si="335"/>
        <v>56054.231240448826</v>
      </c>
      <c r="FB100" s="19">
        <f t="shared" si="335"/>
        <v>72321.860630878655</v>
      </c>
      <c r="FC100" s="19">
        <f t="shared" si="335"/>
        <v>1161628.711943503</v>
      </c>
      <c r="FD100" s="19">
        <f t="shared" si="335"/>
        <v>2399656.4332686434</v>
      </c>
      <c r="FE100" s="19">
        <f t="shared" si="335"/>
        <v>1324624.0408741471</v>
      </c>
      <c r="FF100" s="19">
        <f t="shared" si="335"/>
        <v>449953.79989719525</v>
      </c>
      <c r="FG100" s="19">
        <f t="shared" si="335"/>
        <v>1837470.5293877183</v>
      </c>
      <c r="FH100" s="19">
        <f t="shared" si="335"/>
        <v>51681.091860922199</v>
      </c>
      <c r="FI100" s="19">
        <f t="shared" si="335"/>
        <v>5216488.8790801447</v>
      </c>
      <c r="FJ100" s="19">
        <f t="shared" si="335"/>
        <v>281042.05062381405</v>
      </c>
      <c r="FK100" s="19">
        <f t="shared" si="335"/>
        <v>110792.84581598948</v>
      </c>
      <c r="FL100" s="19">
        <f t="shared" si="335"/>
        <v>46843.765180546034</v>
      </c>
      <c r="FM100" s="19">
        <f t="shared" si="335"/>
        <v>74314.422756134809</v>
      </c>
      <c r="FN100" s="19">
        <f t="shared" si="335"/>
        <v>463.80072349136231</v>
      </c>
      <c r="FO100" s="19">
        <f t="shared" si="335"/>
        <v>463305.14916465158</v>
      </c>
      <c r="FP100" s="19">
        <f t="shared" si="335"/>
        <v>623621.49080211844</v>
      </c>
      <c r="FQ100" s="19">
        <f t="shared" si="335"/>
        <v>216295.75384726102</v>
      </c>
      <c r="FR100" s="19">
        <f t="shared" si="335"/>
        <v>114273.89169836997</v>
      </c>
      <c r="FS100" s="19">
        <f t="shared" si="335"/>
        <v>988723.86482952873</v>
      </c>
      <c r="FT100" s="19">
        <f t="shared" si="335"/>
        <v>5052028.8574237647</v>
      </c>
      <c r="FU100" s="19">
        <f t="shared" si="335"/>
        <v>5851580.1639714018</v>
      </c>
      <c r="FV100" s="19">
        <f t="shared" si="335"/>
        <v>4821.8832760230216</v>
      </c>
      <c r="FW100" s="19">
        <f t="shared" si="335"/>
        <v>1519.1087583896483</v>
      </c>
      <c r="FX100" s="19">
        <f t="shared" si="335"/>
        <v>1137.2399072937833</v>
      </c>
      <c r="FY100" s="19">
        <f t="shared" si="335"/>
        <v>4227.2670593435705</v>
      </c>
      <c r="FZ100" s="19">
        <f t="shared" si="335"/>
        <v>24858.885229600037</v>
      </c>
      <c r="GA100" s="19">
        <f t="shared" si="335"/>
        <v>31208.911245277453</v>
      </c>
      <c r="GB100" s="19">
        <f t="shared" si="335"/>
        <v>1024097.083261871</v>
      </c>
      <c r="GC100" s="19">
        <f t="shared" si="335"/>
        <v>436928.03152297199</v>
      </c>
      <c r="GD100" s="19">
        <f t="shared" si="335"/>
        <v>113433.58195195966</v>
      </c>
      <c r="GE100" s="19">
        <f t="shared" si="335"/>
        <v>95893.994535972</v>
      </c>
      <c r="GF100" s="19">
        <f t="shared" si="335"/>
        <v>310127.45141637733</v>
      </c>
      <c r="GG100" s="19">
        <f t="shared" si="335"/>
        <v>1161262.2404277504</v>
      </c>
      <c r="GH100" s="19">
        <f t="shared" si="335"/>
        <v>204065.63770277167</v>
      </c>
      <c r="GI100" s="19">
        <f t="shared" si="335"/>
        <v>98462.679855620197</v>
      </c>
      <c r="GJ100" s="19">
        <f t="shared" si="335"/>
        <v>44461.6928335271</v>
      </c>
      <c r="GK100" s="19">
        <f t="shared" si="335"/>
        <v>178994.47791679951</v>
      </c>
      <c r="GL100" s="19">
        <f t="shared" si="335"/>
        <v>15310.362925967378</v>
      </c>
      <c r="GM100" s="19">
        <f t="shared" si="335"/>
        <v>470766.53448870603</v>
      </c>
      <c r="GN100" s="19">
        <f t="shared" si="335"/>
        <v>643786.02857184783</v>
      </c>
      <c r="GO100" s="19">
        <f t="shared" si="335"/>
        <v>340825.52880245773</v>
      </c>
      <c r="GP100" s="19">
        <f t="shared" si="335"/>
        <v>215878.68972164893</v>
      </c>
      <c r="GQ100" s="19">
        <f t="shared" si="335"/>
        <v>885773.95642574003</v>
      </c>
      <c r="GR100" s="19">
        <f t="shared" ref="GR100:JC100" si="336">STDEV(GR3:GR92)</f>
        <v>159913.66733719915</v>
      </c>
      <c r="GS100" s="19">
        <f t="shared" si="336"/>
        <v>1796196.2105534545</v>
      </c>
      <c r="GT100" s="19">
        <f t="shared" si="336"/>
        <v>331980.48742626049</v>
      </c>
      <c r="GU100" s="19">
        <f t="shared" si="336"/>
        <v>97374.359595267815</v>
      </c>
      <c r="GV100" s="19">
        <f t="shared" si="336"/>
        <v>46472.195780989801</v>
      </c>
      <c r="GW100" s="19">
        <f t="shared" si="336"/>
        <v>425558.31118864403</v>
      </c>
      <c r="GX100" s="19">
        <f t="shared" si="336"/>
        <v>472015.55893710704</v>
      </c>
      <c r="GY100" s="19">
        <f t="shared" si="336"/>
        <v>988788.52307231561</v>
      </c>
      <c r="GZ100" s="19">
        <f t="shared" si="336"/>
        <v>1415363.5439809642</v>
      </c>
      <c r="HA100" s="19">
        <f t="shared" si="336"/>
        <v>341042.94875395478</v>
      </c>
      <c r="HB100" s="19">
        <f t="shared" si="336"/>
        <v>152443.97222222851</v>
      </c>
      <c r="HC100" s="19">
        <f t="shared" si="336"/>
        <v>340709.81184204662</v>
      </c>
      <c r="HD100" s="19">
        <f t="shared" si="336"/>
        <v>1746362.2357228613</v>
      </c>
      <c r="HE100" s="19">
        <f t="shared" si="336"/>
        <v>2991341.494038112</v>
      </c>
      <c r="HF100" s="19">
        <f t="shared" si="336"/>
        <v>648611.27003269014</v>
      </c>
      <c r="HG100" s="19">
        <f t="shared" si="336"/>
        <v>97022.995036914348</v>
      </c>
      <c r="HH100" s="19">
        <f t="shared" si="336"/>
        <v>33806.908333551946</v>
      </c>
      <c r="HI100" s="19">
        <f t="shared" si="336"/>
        <v>107723.44330986857</v>
      </c>
      <c r="HJ100" s="19">
        <f t="shared" si="336"/>
        <v>1028482.5891203723</v>
      </c>
      <c r="HK100" s="19">
        <f t="shared" si="336"/>
        <v>1295901.1339858596</v>
      </c>
      <c r="HL100" s="19">
        <f t="shared" si="336"/>
        <v>75886.275189689695</v>
      </c>
      <c r="HM100" s="19">
        <f t="shared" si="336"/>
        <v>77454.23967017018</v>
      </c>
      <c r="HN100" s="19">
        <f t="shared" si="336"/>
        <v>45750.230799596786</v>
      </c>
      <c r="HO100" s="19">
        <f t="shared" si="336"/>
        <v>403664.7001831315</v>
      </c>
      <c r="HP100" s="19">
        <f t="shared" si="336"/>
        <v>107601.58301438436</v>
      </c>
      <c r="HQ100" s="19">
        <f t="shared" si="336"/>
        <v>573632.69352834637</v>
      </c>
      <c r="HR100" s="19">
        <f t="shared" si="336"/>
        <v>1938331.3699296555</v>
      </c>
      <c r="HS100" s="19">
        <f t="shared" si="336"/>
        <v>529657.50538417976</v>
      </c>
      <c r="HT100" s="19">
        <f t="shared" si="336"/>
        <v>261094.18692753164</v>
      </c>
      <c r="HU100" s="19">
        <f t="shared" si="336"/>
        <v>1764189.0294310746</v>
      </c>
      <c r="HV100" s="19">
        <f t="shared" si="336"/>
        <v>7080547.7281642584</v>
      </c>
      <c r="HW100" s="19">
        <f t="shared" si="336"/>
        <v>7921828.6699036285</v>
      </c>
      <c r="HX100" s="19">
        <f t="shared" si="336"/>
        <v>170973.5657964432</v>
      </c>
      <c r="HY100" s="19">
        <f t="shared" si="336"/>
        <v>26807.326081962787</v>
      </c>
      <c r="HZ100" s="19">
        <f t="shared" si="336"/>
        <v>23641.935575405383</v>
      </c>
      <c r="IA100" s="19">
        <f t="shared" si="336"/>
        <v>19737.366300606944</v>
      </c>
      <c r="IB100" s="19">
        <f t="shared" si="336"/>
        <v>227973.32468925088</v>
      </c>
      <c r="IC100" s="19">
        <f t="shared" si="336"/>
        <v>287444.13386963867</v>
      </c>
      <c r="ID100" s="19">
        <f t="shared" si="336"/>
        <v>241186.43926951071</v>
      </c>
      <c r="IE100" s="19">
        <f t="shared" si="336"/>
        <v>78834.420689867868</v>
      </c>
      <c r="IF100" s="19">
        <f t="shared" si="336"/>
        <v>56801.778043077626</v>
      </c>
      <c r="IG100" s="19">
        <f t="shared" si="336"/>
        <v>248849.08534879872</v>
      </c>
      <c r="IH100" s="19">
        <f t="shared" si="336"/>
        <v>1745702.0735366256</v>
      </c>
      <c r="II100" s="19">
        <f t="shared" si="336"/>
        <v>1846586.502846123</v>
      </c>
      <c r="IJ100" s="19">
        <f t="shared" si="336"/>
        <v>181645.78448551649</v>
      </c>
      <c r="IK100" s="19">
        <f t="shared" si="336"/>
        <v>17795.041119242171</v>
      </c>
      <c r="IL100" s="19">
        <f t="shared" si="336"/>
        <v>18478.097413045536</v>
      </c>
      <c r="IM100" s="19">
        <f t="shared" si="336"/>
        <v>284918.05234187032</v>
      </c>
      <c r="IN100" s="19">
        <f t="shared" si="336"/>
        <v>458564.40236874874</v>
      </c>
      <c r="IO100" s="19">
        <f t="shared" si="336"/>
        <v>536550.01738298044</v>
      </c>
      <c r="IP100" s="19">
        <f t="shared" si="336"/>
        <v>27254.115396316342</v>
      </c>
      <c r="IQ100" s="19">
        <f t="shared" si="336"/>
        <v>17440.878395427004</v>
      </c>
      <c r="IR100" s="19">
        <f t="shared" si="336"/>
        <v>4452.7671649221729</v>
      </c>
      <c r="IS100" s="19">
        <f t="shared" si="336"/>
        <v>23456.082444361982</v>
      </c>
      <c r="IT100" s="19">
        <f t="shared" si="336"/>
        <v>394936.65536453668</v>
      </c>
      <c r="IU100" s="19">
        <f t="shared" si="336"/>
        <v>391363.17898329819</v>
      </c>
      <c r="IV100" s="19">
        <f t="shared" si="336"/>
        <v>1502993.0566807089</v>
      </c>
      <c r="IW100" s="19">
        <f t="shared" si="336"/>
        <v>1011406.5472121696</v>
      </c>
      <c r="IX100" s="19">
        <f t="shared" si="336"/>
        <v>103379.4090126446</v>
      </c>
      <c r="IY100" s="19">
        <f t="shared" si="336"/>
        <v>803542.44811763742</v>
      </c>
      <c r="IZ100" s="19">
        <f t="shared" si="336"/>
        <v>4356807.4613291258</v>
      </c>
      <c r="JA100" s="19">
        <f t="shared" si="336"/>
        <v>6001722.8152796524</v>
      </c>
      <c r="JB100" s="19">
        <f t="shared" si="336"/>
        <v>7851021.2051697932</v>
      </c>
      <c r="JC100" s="19">
        <f t="shared" si="336"/>
        <v>3110765.4157981589</v>
      </c>
      <c r="JD100" s="19">
        <f t="shared" ref="JD100:JS100" si="337">STDEV(JD3:JD92)</f>
        <v>1140579.1742388688</v>
      </c>
      <c r="JE100" s="19">
        <f t="shared" si="337"/>
        <v>7502610.707114514</v>
      </c>
      <c r="JF100" s="19">
        <f t="shared" si="337"/>
        <v>15099429.654890552</v>
      </c>
      <c r="JG100" s="19">
        <f t="shared" si="337"/>
        <v>30258081.401655667</v>
      </c>
      <c r="JH100" s="19">
        <f t="shared" si="337"/>
        <v>173568.41083797219</v>
      </c>
      <c r="JI100" s="19">
        <f t="shared" si="337"/>
        <v>60615.017030851668</v>
      </c>
      <c r="JJ100" s="19">
        <f t="shared" si="337"/>
        <v>4785.5801923881472</v>
      </c>
      <c r="JK100" s="19">
        <f t="shared" si="337"/>
        <v>17477.046794876049</v>
      </c>
      <c r="JL100" s="19">
        <f t="shared" si="337"/>
        <v>1665233.1348878413</v>
      </c>
      <c r="JM100" s="19">
        <f t="shared" si="337"/>
        <v>1680422.5515954639</v>
      </c>
      <c r="JN100" s="19">
        <f t="shared" si="337"/>
        <v>7864183.0714085465</v>
      </c>
      <c r="JO100" s="19">
        <f t="shared" si="337"/>
        <v>3120104.8539034352</v>
      </c>
      <c r="JP100" s="19">
        <f t="shared" si="337"/>
        <v>1136617.6934634352</v>
      </c>
      <c r="JQ100" s="19">
        <f t="shared" si="337"/>
        <v>7525416.0627201479</v>
      </c>
      <c r="JR100" s="19">
        <f t="shared" si="337"/>
        <v>16080153.071430584</v>
      </c>
      <c r="JS100" s="19">
        <f t="shared" si="337"/>
        <v>31292355.04025092</v>
      </c>
    </row>
    <row r="101" spans="1:279" x14ac:dyDescent="0.15">
      <c r="A101" s="18" t="s">
        <v>485</v>
      </c>
      <c r="B101" s="4"/>
      <c r="C101" s="4"/>
      <c r="D101" s="4"/>
      <c r="G101" s="40">
        <f>COUNTIF(G3:G92,"="&amp;0)</f>
        <v>0</v>
      </c>
      <c r="H101" s="40">
        <f t="shared" ref="H101:BS101" si="338">COUNTIF(H3:H92,"="&amp;0)</f>
        <v>0</v>
      </c>
      <c r="I101" s="40">
        <f t="shared" si="338"/>
        <v>0</v>
      </c>
      <c r="J101" s="40">
        <f t="shared" si="338"/>
        <v>0</v>
      </c>
      <c r="K101" s="40">
        <f t="shared" si="338"/>
        <v>9</v>
      </c>
      <c r="L101" s="40">
        <f t="shared" si="338"/>
        <v>0</v>
      </c>
      <c r="M101" s="40">
        <f t="shared" si="338"/>
        <v>1</v>
      </c>
      <c r="N101" s="40">
        <f t="shared" si="338"/>
        <v>0</v>
      </c>
      <c r="O101" s="40">
        <f t="shared" si="338"/>
        <v>10</v>
      </c>
      <c r="P101" s="40">
        <f t="shared" si="338"/>
        <v>0</v>
      </c>
      <c r="Q101" s="40">
        <f t="shared" si="338"/>
        <v>0</v>
      </c>
      <c r="R101" s="40">
        <f t="shared" si="338"/>
        <v>0</v>
      </c>
      <c r="S101" s="40">
        <f t="shared" si="338"/>
        <v>0</v>
      </c>
      <c r="T101" s="40">
        <f t="shared" si="338"/>
        <v>0</v>
      </c>
      <c r="U101" s="40">
        <f t="shared" si="338"/>
        <v>0</v>
      </c>
      <c r="V101" s="40">
        <f t="shared" si="338"/>
        <v>0</v>
      </c>
      <c r="W101" s="40">
        <f t="shared" si="338"/>
        <v>0</v>
      </c>
      <c r="X101" s="40">
        <f t="shared" si="338"/>
        <v>0</v>
      </c>
      <c r="Y101" s="40">
        <f t="shared" si="338"/>
        <v>0</v>
      </c>
      <c r="Z101" s="40">
        <f t="shared" si="338"/>
        <v>0</v>
      </c>
      <c r="AA101" s="40">
        <f t="shared" si="338"/>
        <v>0</v>
      </c>
      <c r="AB101" s="40">
        <f t="shared" si="338"/>
        <v>0</v>
      </c>
      <c r="AC101" s="40">
        <f t="shared" si="338"/>
        <v>0</v>
      </c>
      <c r="AD101" s="40">
        <f t="shared" si="338"/>
        <v>0</v>
      </c>
      <c r="AE101" s="40">
        <f t="shared" si="338"/>
        <v>81</v>
      </c>
      <c r="AF101" s="40">
        <f t="shared" si="338"/>
        <v>0</v>
      </c>
      <c r="AG101" s="40">
        <f t="shared" si="338"/>
        <v>0</v>
      </c>
      <c r="AH101" s="40">
        <f t="shared" si="338"/>
        <v>0</v>
      </c>
      <c r="AI101" s="40">
        <f t="shared" si="338"/>
        <v>0</v>
      </c>
      <c r="AJ101" s="40">
        <f t="shared" si="338"/>
        <v>0</v>
      </c>
      <c r="AK101" s="40">
        <f t="shared" si="338"/>
        <v>0</v>
      </c>
      <c r="AL101" s="40">
        <f t="shared" si="338"/>
        <v>0</v>
      </c>
      <c r="AM101" s="40">
        <f t="shared" si="338"/>
        <v>0</v>
      </c>
      <c r="AN101" s="40">
        <f t="shared" si="338"/>
        <v>0</v>
      </c>
      <c r="AO101" s="40">
        <f t="shared" si="338"/>
        <v>0</v>
      </c>
      <c r="AP101" s="40">
        <f t="shared" si="338"/>
        <v>0</v>
      </c>
      <c r="AQ101" s="40">
        <f t="shared" si="338"/>
        <v>0</v>
      </c>
      <c r="AR101" s="40">
        <f t="shared" si="338"/>
        <v>0</v>
      </c>
      <c r="AS101" s="40">
        <f t="shared" si="338"/>
        <v>0</v>
      </c>
      <c r="AT101" s="40">
        <f t="shared" si="338"/>
        <v>0</v>
      </c>
      <c r="AU101" s="40">
        <f t="shared" si="338"/>
        <v>0</v>
      </c>
      <c r="AV101" s="40">
        <f t="shared" si="338"/>
        <v>0</v>
      </c>
      <c r="AW101" s="40">
        <f t="shared" si="338"/>
        <v>0</v>
      </c>
      <c r="AX101" s="40">
        <f t="shared" si="338"/>
        <v>0</v>
      </c>
      <c r="AY101" s="40">
        <f t="shared" si="338"/>
        <v>0</v>
      </c>
      <c r="AZ101" s="40">
        <f t="shared" si="338"/>
        <v>0</v>
      </c>
      <c r="BA101" s="40">
        <f t="shared" si="338"/>
        <v>0</v>
      </c>
      <c r="BB101" s="40">
        <f t="shared" si="338"/>
        <v>1</v>
      </c>
      <c r="BC101" s="40">
        <f t="shared" si="338"/>
        <v>1</v>
      </c>
      <c r="BD101" s="40">
        <f t="shared" si="338"/>
        <v>46</v>
      </c>
      <c r="BE101" s="40">
        <f t="shared" si="338"/>
        <v>0</v>
      </c>
      <c r="BF101" s="40">
        <f t="shared" si="338"/>
        <v>72</v>
      </c>
      <c r="BG101" s="40">
        <f t="shared" si="338"/>
        <v>72</v>
      </c>
      <c r="BH101" s="40">
        <f t="shared" si="338"/>
        <v>70</v>
      </c>
      <c r="BI101" s="40">
        <f t="shared" si="338"/>
        <v>69</v>
      </c>
      <c r="BJ101" s="40">
        <f t="shared" si="338"/>
        <v>37</v>
      </c>
      <c r="BK101" s="40">
        <f t="shared" si="338"/>
        <v>22</v>
      </c>
      <c r="BL101" s="40">
        <f t="shared" si="338"/>
        <v>8</v>
      </c>
      <c r="BM101" s="40">
        <f t="shared" si="338"/>
        <v>24</v>
      </c>
      <c r="BN101" s="40">
        <f t="shared" si="338"/>
        <v>58</v>
      </c>
      <c r="BO101" s="40">
        <f t="shared" si="338"/>
        <v>18</v>
      </c>
      <c r="BP101" s="40">
        <f t="shared" si="338"/>
        <v>88</v>
      </c>
      <c r="BQ101" s="40">
        <f t="shared" si="338"/>
        <v>1</v>
      </c>
      <c r="BR101" s="40">
        <f t="shared" si="338"/>
        <v>5</v>
      </c>
      <c r="BS101" s="40">
        <f t="shared" si="338"/>
        <v>3</v>
      </c>
      <c r="BT101" s="40">
        <f t="shared" ref="BT101:EE101" si="339">COUNTIF(BT3:BT92,"="&amp;0)</f>
        <v>12</v>
      </c>
      <c r="BU101" s="40">
        <f t="shared" si="339"/>
        <v>4</v>
      </c>
      <c r="BV101" s="40">
        <f t="shared" si="339"/>
        <v>0</v>
      </c>
      <c r="BW101" s="40">
        <f t="shared" si="339"/>
        <v>0</v>
      </c>
      <c r="BX101" s="40">
        <f t="shared" si="339"/>
        <v>65</v>
      </c>
      <c r="BY101" s="40">
        <f t="shared" si="339"/>
        <v>68</v>
      </c>
      <c r="BZ101" s="40">
        <f t="shared" si="339"/>
        <v>72</v>
      </c>
      <c r="CA101" s="40">
        <f t="shared" si="339"/>
        <v>69</v>
      </c>
      <c r="CB101" s="40">
        <f t="shared" si="339"/>
        <v>75</v>
      </c>
      <c r="CC101" s="40">
        <f t="shared" si="339"/>
        <v>64</v>
      </c>
      <c r="CD101" s="40">
        <f t="shared" si="339"/>
        <v>86</v>
      </c>
      <c r="CE101" s="40">
        <f t="shared" si="339"/>
        <v>87</v>
      </c>
      <c r="CF101" s="40">
        <f t="shared" si="339"/>
        <v>88</v>
      </c>
      <c r="CG101" s="40">
        <f t="shared" si="339"/>
        <v>86</v>
      </c>
      <c r="CH101" s="40">
        <f t="shared" si="339"/>
        <v>74</v>
      </c>
      <c r="CI101" s="40">
        <f t="shared" si="339"/>
        <v>74</v>
      </c>
      <c r="CJ101" s="40">
        <f t="shared" si="339"/>
        <v>55</v>
      </c>
      <c r="CK101" s="40">
        <f t="shared" si="339"/>
        <v>58</v>
      </c>
      <c r="CL101" s="40">
        <f t="shared" si="339"/>
        <v>53</v>
      </c>
      <c r="CM101" s="40">
        <f t="shared" si="339"/>
        <v>52</v>
      </c>
      <c r="CN101" s="40">
        <f t="shared" si="339"/>
        <v>25</v>
      </c>
      <c r="CO101" s="40">
        <f t="shared" si="339"/>
        <v>21</v>
      </c>
      <c r="CP101" s="40">
        <f t="shared" si="339"/>
        <v>80</v>
      </c>
      <c r="CQ101" s="40">
        <f t="shared" si="339"/>
        <v>80</v>
      </c>
      <c r="CR101" s="40">
        <f t="shared" si="339"/>
        <v>81</v>
      </c>
      <c r="CS101" s="40">
        <f t="shared" si="339"/>
        <v>80</v>
      </c>
      <c r="CT101" s="40">
        <f t="shared" si="339"/>
        <v>47</v>
      </c>
      <c r="CU101" s="40">
        <f t="shared" si="339"/>
        <v>45</v>
      </c>
      <c r="CV101" s="40">
        <f t="shared" si="339"/>
        <v>20</v>
      </c>
      <c r="CW101" s="40">
        <f t="shared" si="339"/>
        <v>16</v>
      </c>
      <c r="CX101" s="40">
        <f t="shared" si="339"/>
        <v>42</v>
      </c>
      <c r="CY101" s="40">
        <f t="shared" si="339"/>
        <v>31</v>
      </c>
      <c r="CZ101" s="40">
        <f t="shared" si="339"/>
        <v>5</v>
      </c>
      <c r="DA101" s="40">
        <f t="shared" si="339"/>
        <v>0</v>
      </c>
      <c r="DB101" s="40">
        <f t="shared" si="339"/>
        <v>63</v>
      </c>
      <c r="DC101" s="40">
        <f t="shared" si="339"/>
        <v>64</v>
      </c>
      <c r="DD101" s="40">
        <f t="shared" si="339"/>
        <v>80</v>
      </c>
      <c r="DE101" s="40">
        <f t="shared" si="339"/>
        <v>83</v>
      </c>
      <c r="DF101" s="40">
        <f t="shared" si="339"/>
        <v>58</v>
      </c>
      <c r="DG101" s="40">
        <f t="shared" si="339"/>
        <v>39</v>
      </c>
      <c r="DH101" s="40">
        <f t="shared" si="339"/>
        <v>9</v>
      </c>
      <c r="DI101" s="40">
        <f t="shared" si="339"/>
        <v>14</v>
      </c>
      <c r="DJ101" s="40">
        <f t="shared" si="339"/>
        <v>27</v>
      </c>
      <c r="DK101" s="40">
        <f t="shared" si="339"/>
        <v>17</v>
      </c>
      <c r="DL101" s="40">
        <f t="shared" si="339"/>
        <v>13</v>
      </c>
      <c r="DM101" s="40">
        <f t="shared" si="339"/>
        <v>0</v>
      </c>
      <c r="DN101" s="40">
        <f t="shared" si="339"/>
        <v>43</v>
      </c>
      <c r="DO101" s="40">
        <f t="shared" si="339"/>
        <v>50</v>
      </c>
      <c r="DP101" s="40">
        <f t="shared" si="339"/>
        <v>57</v>
      </c>
      <c r="DQ101" s="40">
        <f t="shared" si="339"/>
        <v>50</v>
      </c>
      <c r="DR101" s="40">
        <f t="shared" si="339"/>
        <v>5</v>
      </c>
      <c r="DS101" s="40">
        <f t="shared" si="339"/>
        <v>0</v>
      </c>
      <c r="DT101" s="40">
        <f t="shared" si="339"/>
        <v>43</v>
      </c>
      <c r="DU101" s="40">
        <f t="shared" si="339"/>
        <v>46</v>
      </c>
      <c r="DV101" s="40">
        <f t="shared" si="339"/>
        <v>48</v>
      </c>
      <c r="DW101" s="40">
        <f t="shared" si="339"/>
        <v>44</v>
      </c>
      <c r="DX101" s="40">
        <f t="shared" si="339"/>
        <v>58</v>
      </c>
      <c r="DY101" s="40">
        <f t="shared" si="339"/>
        <v>36</v>
      </c>
      <c r="DZ101" s="40">
        <f t="shared" si="339"/>
        <v>45</v>
      </c>
      <c r="EA101" s="40">
        <f t="shared" si="339"/>
        <v>50</v>
      </c>
      <c r="EB101" s="40">
        <f t="shared" si="339"/>
        <v>50</v>
      </c>
      <c r="EC101" s="40">
        <f t="shared" si="339"/>
        <v>41</v>
      </c>
      <c r="ED101" s="40">
        <f t="shared" si="339"/>
        <v>15</v>
      </c>
      <c r="EE101" s="40">
        <f t="shared" si="339"/>
        <v>11</v>
      </c>
      <c r="EF101" s="40">
        <f t="shared" ref="EF101:GQ101" si="340">COUNTIF(EF3:EF92,"="&amp;0)</f>
        <v>26</v>
      </c>
      <c r="EG101" s="40">
        <f t="shared" si="340"/>
        <v>46</v>
      </c>
      <c r="EH101" s="40">
        <f t="shared" si="340"/>
        <v>45</v>
      </c>
      <c r="EI101" s="40">
        <f t="shared" si="340"/>
        <v>17</v>
      </c>
      <c r="EJ101" s="40">
        <f t="shared" si="340"/>
        <v>3</v>
      </c>
      <c r="EK101" s="40">
        <f t="shared" si="340"/>
        <v>2</v>
      </c>
      <c r="EL101" s="40">
        <f t="shared" si="340"/>
        <v>0</v>
      </c>
      <c r="EM101" s="40">
        <f t="shared" si="340"/>
        <v>0</v>
      </c>
      <c r="EN101" s="40">
        <f t="shared" si="340"/>
        <v>0</v>
      </c>
      <c r="EO101" s="40">
        <f t="shared" si="340"/>
        <v>0</v>
      </c>
      <c r="EP101" s="40">
        <f t="shared" si="340"/>
        <v>0</v>
      </c>
      <c r="EQ101" s="40">
        <f t="shared" si="340"/>
        <v>0</v>
      </c>
      <c r="ER101" s="40">
        <f t="shared" si="340"/>
        <v>0</v>
      </c>
      <c r="ES101" s="40">
        <f t="shared" si="340"/>
        <v>0</v>
      </c>
      <c r="ET101" s="40">
        <f t="shared" si="340"/>
        <v>0</v>
      </c>
      <c r="EU101" s="40">
        <f t="shared" si="340"/>
        <v>0</v>
      </c>
      <c r="EV101" s="40">
        <f t="shared" si="340"/>
        <v>12</v>
      </c>
      <c r="EW101" s="40">
        <f t="shared" si="340"/>
        <v>0</v>
      </c>
      <c r="EX101" s="40">
        <f t="shared" si="340"/>
        <v>0</v>
      </c>
      <c r="EY101" s="40">
        <f t="shared" si="340"/>
        <v>4</v>
      </c>
      <c r="EZ101" s="40">
        <f t="shared" si="340"/>
        <v>6</v>
      </c>
      <c r="FA101" s="40">
        <f t="shared" si="340"/>
        <v>7</v>
      </c>
      <c r="FB101" s="40">
        <f t="shared" si="340"/>
        <v>83</v>
      </c>
      <c r="FC101" s="40">
        <f t="shared" si="340"/>
        <v>0</v>
      </c>
      <c r="FD101" s="40">
        <f t="shared" si="340"/>
        <v>0</v>
      </c>
      <c r="FE101" s="40">
        <f t="shared" si="340"/>
        <v>0</v>
      </c>
      <c r="FF101" s="40">
        <f t="shared" si="340"/>
        <v>0</v>
      </c>
      <c r="FG101" s="40">
        <f t="shared" si="340"/>
        <v>0</v>
      </c>
      <c r="FH101" s="40">
        <f t="shared" si="340"/>
        <v>85</v>
      </c>
      <c r="FI101" s="40">
        <f t="shared" si="340"/>
        <v>0</v>
      </c>
      <c r="FJ101" s="40">
        <f t="shared" si="340"/>
        <v>65</v>
      </c>
      <c r="FK101" s="40">
        <f t="shared" si="340"/>
        <v>68</v>
      </c>
      <c r="FL101" s="40">
        <f t="shared" si="340"/>
        <v>72</v>
      </c>
      <c r="FM101" s="40">
        <f t="shared" si="340"/>
        <v>69</v>
      </c>
      <c r="FN101" s="40">
        <f t="shared" si="340"/>
        <v>89</v>
      </c>
      <c r="FO101" s="40">
        <f t="shared" si="340"/>
        <v>64</v>
      </c>
      <c r="FP101" s="40">
        <f t="shared" si="340"/>
        <v>4</v>
      </c>
      <c r="FQ101" s="40">
        <f t="shared" si="340"/>
        <v>6</v>
      </c>
      <c r="FR101" s="40">
        <f t="shared" si="340"/>
        <v>9</v>
      </c>
      <c r="FS101" s="40">
        <f t="shared" si="340"/>
        <v>13</v>
      </c>
      <c r="FT101" s="40">
        <f t="shared" si="340"/>
        <v>0</v>
      </c>
      <c r="FU101" s="40">
        <f t="shared" si="340"/>
        <v>0</v>
      </c>
      <c r="FV101" s="40">
        <f t="shared" si="340"/>
        <v>81</v>
      </c>
      <c r="FW101" s="40">
        <f t="shared" si="340"/>
        <v>84</v>
      </c>
      <c r="FX101" s="40">
        <f t="shared" si="340"/>
        <v>86</v>
      </c>
      <c r="FY101" s="40">
        <f t="shared" si="340"/>
        <v>85</v>
      </c>
      <c r="FZ101" s="40">
        <f t="shared" si="340"/>
        <v>76</v>
      </c>
      <c r="GA101" s="40">
        <f t="shared" si="340"/>
        <v>75</v>
      </c>
      <c r="GB101" s="40">
        <f t="shared" si="340"/>
        <v>55</v>
      </c>
      <c r="GC101" s="40">
        <f t="shared" si="340"/>
        <v>71</v>
      </c>
      <c r="GD101" s="40">
        <f t="shared" si="340"/>
        <v>75</v>
      </c>
      <c r="GE101" s="40">
        <f t="shared" si="340"/>
        <v>61</v>
      </c>
      <c r="GF101" s="40">
        <f t="shared" si="340"/>
        <v>68</v>
      </c>
      <c r="GG101" s="40">
        <f t="shared" si="340"/>
        <v>32</v>
      </c>
      <c r="GH101" s="40">
        <f t="shared" si="340"/>
        <v>1</v>
      </c>
      <c r="GI101" s="40">
        <f t="shared" si="340"/>
        <v>1</v>
      </c>
      <c r="GJ101" s="40">
        <f t="shared" si="340"/>
        <v>1</v>
      </c>
      <c r="GK101" s="40">
        <f t="shared" si="340"/>
        <v>1</v>
      </c>
      <c r="GL101" s="40">
        <f t="shared" si="340"/>
        <v>60</v>
      </c>
      <c r="GM101" s="40">
        <f t="shared" si="340"/>
        <v>1</v>
      </c>
      <c r="GN101" s="40">
        <f t="shared" si="340"/>
        <v>0</v>
      </c>
      <c r="GO101" s="40">
        <f t="shared" si="340"/>
        <v>0</v>
      </c>
      <c r="GP101" s="40">
        <f t="shared" si="340"/>
        <v>0</v>
      </c>
      <c r="GQ101" s="40">
        <f t="shared" si="340"/>
        <v>0</v>
      </c>
      <c r="GR101" s="40">
        <f t="shared" ref="GR101:JC101" si="341">COUNTIF(GR3:GR92,"="&amp;0)</f>
        <v>46</v>
      </c>
      <c r="GS101" s="40">
        <f t="shared" si="341"/>
        <v>0</v>
      </c>
      <c r="GT101" s="40">
        <f t="shared" si="341"/>
        <v>0</v>
      </c>
      <c r="GU101" s="40">
        <f t="shared" si="341"/>
        <v>0</v>
      </c>
      <c r="GV101" s="40">
        <f t="shared" si="341"/>
        <v>0</v>
      </c>
      <c r="GW101" s="40">
        <f t="shared" si="341"/>
        <v>0</v>
      </c>
      <c r="GX101" s="40">
        <f t="shared" si="341"/>
        <v>20</v>
      </c>
      <c r="GY101" s="40">
        <f t="shared" si="341"/>
        <v>0</v>
      </c>
      <c r="GZ101" s="40">
        <f t="shared" si="341"/>
        <v>2</v>
      </c>
      <c r="HA101" s="40">
        <f t="shared" si="341"/>
        <v>3</v>
      </c>
      <c r="HB101" s="40">
        <f t="shared" si="341"/>
        <v>3</v>
      </c>
      <c r="HC101" s="40">
        <f t="shared" si="341"/>
        <v>3</v>
      </c>
      <c r="HD101" s="40">
        <f t="shared" si="341"/>
        <v>26</v>
      </c>
      <c r="HE101" s="40">
        <f t="shared" si="341"/>
        <v>0</v>
      </c>
      <c r="HF101" s="40">
        <f t="shared" si="341"/>
        <v>28</v>
      </c>
      <c r="HG101" s="40">
        <f t="shared" si="341"/>
        <v>30</v>
      </c>
      <c r="HH101" s="40">
        <f t="shared" si="341"/>
        <v>33</v>
      </c>
      <c r="HI101" s="40">
        <f t="shared" si="341"/>
        <v>25</v>
      </c>
      <c r="HJ101" s="40">
        <f t="shared" si="341"/>
        <v>1</v>
      </c>
      <c r="HK101" s="40">
        <f t="shared" si="341"/>
        <v>0</v>
      </c>
      <c r="HL101" s="40">
        <f t="shared" si="341"/>
        <v>49</v>
      </c>
      <c r="HM101" s="40">
        <f t="shared" si="341"/>
        <v>51</v>
      </c>
      <c r="HN101" s="40">
        <f t="shared" si="341"/>
        <v>52</v>
      </c>
      <c r="HO101" s="40">
        <f t="shared" si="341"/>
        <v>50</v>
      </c>
      <c r="HP101" s="40">
        <f t="shared" si="341"/>
        <v>65</v>
      </c>
      <c r="HQ101" s="40">
        <f t="shared" si="341"/>
        <v>43</v>
      </c>
      <c r="HR101" s="40">
        <f t="shared" si="341"/>
        <v>9</v>
      </c>
      <c r="HS101" s="40">
        <f t="shared" si="341"/>
        <v>19</v>
      </c>
      <c r="HT101" s="40">
        <f t="shared" si="341"/>
        <v>21</v>
      </c>
      <c r="HU101" s="40">
        <f t="shared" si="341"/>
        <v>9</v>
      </c>
      <c r="HV101" s="40">
        <f t="shared" si="341"/>
        <v>6</v>
      </c>
      <c r="HW101" s="40">
        <f t="shared" si="341"/>
        <v>2</v>
      </c>
      <c r="HX101" s="40">
        <f t="shared" si="341"/>
        <v>72</v>
      </c>
      <c r="HY101" s="40">
        <f t="shared" si="341"/>
        <v>76</v>
      </c>
      <c r="HZ101" s="40">
        <f t="shared" si="341"/>
        <v>77</v>
      </c>
      <c r="IA101" s="40">
        <f t="shared" si="341"/>
        <v>80</v>
      </c>
      <c r="IB101" s="40">
        <f t="shared" si="341"/>
        <v>15</v>
      </c>
      <c r="IC101" s="40">
        <f t="shared" si="341"/>
        <v>8</v>
      </c>
      <c r="ID101" s="40">
        <f t="shared" si="341"/>
        <v>78</v>
      </c>
      <c r="IE101" s="40">
        <f t="shared" si="341"/>
        <v>79</v>
      </c>
      <c r="IF101" s="40">
        <f t="shared" si="341"/>
        <v>80</v>
      </c>
      <c r="IG101" s="40">
        <f t="shared" si="341"/>
        <v>78</v>
      </c>
      <c r="IH101" s="40">
        <f t="shared" si="341"/>
        <v>48</v>
      </c>
      <c r="II101" s="40">
        <f t="shared" si="341"/>
        <v>45</v>
      </c>
      <c r="IJ101" s="40">
        <f t="shared" si="341"/>
        <v>39</v>
      </c>
      <c r="IK101" s="40">
        <f t="shared" si="341"/>
        <v>43</v>
      </c>
      <c r="IL101" s="40">
        <f t="shared" si="341"/>
        <v>43</v>
      </c>
      <c r="IM101" s="40">
        <f t="shared" si="341"/>
        <v>36</v>
      </c>
      <c r="IN101" s="40">
        <f t="shared" si="341"/>
        <v>7</v>
      </c>
      <c r="IO101" s="40">
        <f t="shared" si="341"/>
        <v>0</v>
      </c>
      <c r="IP101" s="40">
        <f t="shared" si="341"/>
        <v>15</v>
      </c>
      <c r="IQ101" s="40">
        <f t="shared" si="341"/>
        <v>12</v>
      </c>
      <c r="IR101" s="40">
        <f t="shared" si="341"/>
        <v>15</v>
      </c>
      <c r="IS101" s="40">
        <f t="shared" si="341"/>
        <v>6</v>
      </c>
      <c r="IT101" s="40">
        <f t="shared" si="341"/>
        <v>5</v>
      </c>
      <c r="IU101" s="40">
        <f t="shared" si="341"/>
        <v>0</v>
      </c>
      <c r="IV101" s="40">
        <f t="shared" si="341"/>
        <v>5</v>
      </c>
      <c r="IW101" s="40">
        <f t="shared" si="341"/>
        <v>6</v>
      </c>
      <c r="IX101" s="40">
        <f t="shared" si="341"/>
        <v>7</v>
      </c>
      <c r="IY101" s="40">
        <f t="shared" si="341"/>
        <v>6</v>
      </c>
      <c r="IZ101" s="40">
        <f t="shared" si="341"/>
        <v>1</v>
      </c>
      <c r="JA101" s="40">
        <f t="shared" si="341"/>
        <v>0</v>
      </c>
      <c r="JB101" s="40">
        <f t="shared" si="341"/>
        <v>0</v>
      </c>
      <c r="JC101" s="40">
        <f t="shared" si="341"/>
        <v>0</v>
      </c>
      <c r="JD101" s="40">
        <f t="shared" ref="JD101:JS101" si="342">COUNTIF(JD3:JD92,"="&amp;0)</f>
        <v>0</v>
      </c>
      <c r="JE101" s="40">
        <f t="shared" si="342"/>
        <v>0</v>
      </c>
      <c r="JF101" s="40">
        <f t="shared" si="342"/>
        <v>0</v>
      </c>
      <c r="JG101" s="40">
        <f t="shared" si="342"/>
        <v>0</v>
      </c>
      <c r="JH101" s="40">
        <f t="shared" si="342"/>
        <v>86</v>
      </c>
      <c r="JI101" s="40">
        <f t="shared" si="342"/>
        <v>88</v>
      </c>
      <c r="JJ101" s="40">
        <f t="shared" si="342"/>
        <v>89</v>
      </c>
      <c r="JK101" s="40">
        <f t="shared" si="342"/>
        <v>88</v>
      </c>
      <c r="JL101" s="40">
        <f t="shared" si="342"/>
        <v>64</v>
      </c>
      <c r="JM101" s="40">
        <f t="shared" si="342"/>
        <v>65</v>
      </c>
      <c r="JN101" s="40">
        <f t="shared" si="342"/>
        <v>0</v>
      </c>
      <c r="JO101" s="40">
        <f t="shared" si="342"/>
        <v>0</v>
      </c>
      <c r="JP101" s="40">
        <f t="shared" si="342"/>
        <v>0</v>
      </c>
      <c r="JQ101" s="40">
        <f t="shared" si="342"/>
        <v>0</v>
      </c>
      <c r="JR101" s="40">
        <f t="shared" si="342"/>
        <v>0</v>
      </c>
      <c r="JS101" s="40">
        <f t="shared" si="342"/>
        <v>0</v>
      </c>
    </row>
    <row r="102" spans="1:279" x14ac:dyDescent="0.15">
      <c r="JS102" s="22"/>
    </row>
  </sheetData>
  <sortState ref="A3:JS92">
    <sortCondition ref="A3:A92"/>
  </sortState>
  <conditionalFormatting sqref="GZ71">
    <cfRule type="cellIs" dxfId="0" priority="1" stopIfTrue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6"/>
  <sheetViews>
    <sheetView workbookViewId="0">
      <selection activeCell="L19" sqref="L19"/>
    </sheetView>
  </sheetViews>
  <sheetFormatPr baseColWidth="10" defaultRowHeight="16" x14ac:dyDescent="0.2"/>
  <cols>
    <col min="1" max="1" width="19.1640625" customWidth="1"/>
    <col min="3" max="3" width="19.33203125" customWidth="1"/>
    <col min="5" max="5" width="23.83203125" bestFit="1" customWidth="1"/>
    <col min="7" max="7" width="8.5" customWidth="1"/>
    <col min="8" max="8" width="8.83203125" customWidth="1"/>
    <col min="9" max="9" width="9.83203125" customWidth="1"/>
    <col min="10" max="10" width="23.33203125" customWidth="1"/>
  </cols>
  <sheetData>
    <row r="1" spans="1:12" x14ac:dyDescent="0.2">
      <c r="A1" t="s">
        <v>467</v>
      </c>
    </row>
    <row r="2" spans="1:12" x14ac:dyDescent="0.2">
      <c r="A2" t="s">
        <v>404</v>
      </c>
      <c r="B2" t="s">
        <v>408</v>
      </c>
      <c r="H2" t="s">
        <v>497</v>
      </c>
    </row>
    <row r="3" spans="1:12" x14ac:dyDescent="0.2">
      <c r="A3" t="s">
        <v>1</v>
      </c>
      <c r="B3" t="s">
        <v>409</v>
      </c>
      <c r="H3" t="s">
        <v>456</v>
      </c>
    </row>
    <row r="4" spans="1:12" x14ac:dyDescent="0.2">
      <c r="A4" t="s">
        <v>2</v>
      </c>
      <c r="B4" t="s">
        <v>410</v>
      </c>
    </row>
    <row r="5" spans="1:12" x14ac:dyDescent="0.2">
      <c r="A5" t="s">
        <v>3</v>
      </c>
      <c r="B5" t="s">
        <v>411</v>
      </c>
    </row>
    <row r="6" spans="1:12" x14ac:dyDescent="0.2">
      <c r="A6" t="s">
        <v>4</v>
      </c>
      <c r="B6">
        <v>1</v>
      </c>
      <c r="C6" t="s">
        <v>299</v>
      </c>
      <c r="H6" s="3"/>
    </row>
    <row r="7" spans="1:12" x14ac:dyDescent="0.2">
      <c r="B7">
        <v>2</v>
      </c>
      <c r="C7" t="s">
        <v>412</v>
      </c>
    </row>
    <row r="8" spans="1:12" x14ac:dyDescent="0.2">
      <c r="B8">
        <v>3</v>
      </c>
      <c r="C8" t="s">
        <v>307</v>
      </c>
    </row>
    <row r="9" spans="1:12" x14ac:dyDescent="0.2">
      <c r="B9">
        <v>4</v>
      </c>
      <c r="C9" t="s">
        <v>302</v>
      </c>
    </row>
    <row r="10" spans="1:12" x14ac:dyDescent="0.2">
      <c r="B10">
        <v>5</v>
      </c>
      <c r="C10" t="s">
        <v>399</v>
      </c>
    </row>
    <row r="11" spans="1:12" x14ac:dyDescent="0.2">
      <c r="B11">
        <v>6</v>
      </c>
      <c r="C11" t="s">
        <v>426</v>
      </c>
    </row>
    <row r="12" spans="1:12" x14ac:dyDescent="0.2">
      <c r="B12">
        <v>7</v>
      </c>
      <c r="C12" t="s">
        <v>413</v>
      </c>
    </row>
    <row r="13" spans="1:12" x14ac:dyDescent="0.2">
      <c r="B13">
        <v>8</v>
      </c>
      <c r="C13" t="s">
        <v>398</v>
      </c>
    </row>
    <row r="14" spans="1:12" x14ac:dyDescent="0.2">
      <c r="B14">
        <v>9</v>
      </c>
      <c r="C14" t="s">
        <v>401</v>
      </c>
      <c r="L14" s="32" t="s">
        <v>499</v>
      </c>
    </row>
    <row r="15" spans="1:12" x14ac:dyDescent="0.2">
      <c r="B15">
        <v>10</v>
      </c>
      <c r="C15" t="s">
        <v>400</v>
      </c>
      <c r="L15" t="s">
        <v>433</v>
      </c>
    </row>
    <row r="16" spans="1:12" x14ac:dyDescent="0.2">
      <c r="B16">
        <v>11</v>
      </c>
      <c r="C16" t="s">
        <v>304</v>
      </c>
      <c r="L16" t="s">
        <v>470</v>
      </c>
    </row>
    <row r="17" spans="1:16" x14ac:dyDescent="0.2">
      <c r="B17">
        <v>12</v>
      </c>
      <c r="C17" t="s">
        <v>465</v>
      </c>
      <c r="L17" s="32" t="s">
        <v>440</v>
      </c>
    </row>
    <row r="18" spans="1:16" x14ac:dyDescent="0.2">
      <c r="A18" t="s">
        <v>414</v>
      </c>
      <c r="L18" t="s">
        <v>443</v>
      </c>
    </row>
    <row r="19" spans="1:16" x14ac:dyDescent="0.2">
      <c r="L19" t="s">
        <v>449</v>
      </c>
    </row>
    <row r="20" spans="1:16" x14ac:dyDescent="0.2">
      <c r="A20" t="s">
        <v>468</v>
      </c>
      <c r="E20" s="17"/>
      <c r="L20" t="s">
        <v>506</v>
      </c>
    </row>
    <row r="21" spans="1:16" x14ac:dyDescent="0.2">
      <c r="A21" t="s">
        <v>469</v>
      </c>
      <c r="B21" s="2"/>
      <c r="C21" t="s">
        <v>460</v>
      </c>
      <c r="L21" s="32" t="s">
        <v>455</v>
      </c>
      <c r="P21" s="37"/>
    </row>
    <row r="22" spans="1:16" x14ac:dyDescent="0.2">
      <c r="B22" s="17"/>
    </row>
    <row r="23" spans="1:16" x14ac:dyDescent="0.2">
      <c r="B23" s="17"/>
      <c r="G23" s="150"/>
      <c r="H23" s="150" t="s">
        <v>486</v>
      </c>
      <c r="I23" s="150"/>
    </row>
    <row r="24" spans="1:16" x14ac:dyDescent="0.2">
      <c r="A24" s="3"/>
      <c r="B24" s="3"/>
      <c r="C24" s="3"/>
      <c r="D24" s="3"/>
      <c r="G24" s="150" t="s">
        <v>487</v>
      </c>
      <c r="H24" s="150" t="s">
        <v>496</v>
      </c>
      <c r="I24" s="150" t="s">
        <v>488</v>
      </c>
    </row>
    <row r="25" spans="1:16" x14ac:dyDescent="0.2">
      <c r="A25" s="34" t="s">
        <v>415</v>
      </c>
      <c r="B25" s="151" t="s">
        <v>400</v>
      </c>
      <c r="C25" s="32" t="s">
        <v>284</v>
      </c>
      <c r="D25" s="32" t="s">
        <v>401</v>
      </c>
      <c r="E25" s="161" t="s">
        <v>284</v>
      </c>
      <c r="F25" s="17">
        <v>9</v>
      </c>
      <c r="G25" s="144"/>
      <c r="H25" s="145"/>
      <c r="I25" s="146"/>
      <c r="J25" s="36"/>
      <c r="K25" s="34"/>
      <c r="N25" s="34"/>
    </row>
    <row r="26" spans="1:16" x14ac:dyDescent="0.2">
      <c r="A26" s="34" t="s">
        <v>284</v>
      </c>
      <c r="B26" s="151" t="s">
        <v>401</v>
      </c>
      <c r="C26" s="32" t="s">
        <v>416</v>
      </c>
      <c r="D26" s="32" t="s">
        <v>399</v>
      </c>
      <c r="E26" s="160" t="s">
        <v>416</v>
      </c>
      <c r="F26" s="17">
        <v>5</v>
      </c>
      <c r="G26" s="144"/>
      <c r="H26" s="144"/>
      <c r="I26" s="144"/>
      <c r="J26" s="1"/>
      <c r="K26" s="34"/>
    </row>
    <row r="27" spans="1:16" x14ac:dyDescent="0.2">
      <c r="A27" s="34" t="s">
        <v>416</v>
      </c>
      <c r="B27" s="151" t="s">
        <v>399</v>
      </c>
      <c r="C27" s="32" t="s">
        <v>498</v>
      </c>
      <c r="D27" s="32" t="s">
        <v>398</v>
      </c>
      <c r="E27" s="161" t="s">
        <v>498</v>
      </c>
      <c r="F27" s="17">
        <v>8</v>
      </c>
      <c r="G27" s="144"/>
      <c r="H27" s="144"/>
      <c r="I27" s="144"/>
      <c r="J27" s="36"/>
      <c r="K27" s="34"/>
    </row>
    <row r="28" spans="1:16" x14ac:dyDescent="0.2">
      <c r="A28" s="34" t="s">
        <v>498</v>
      </c>
      <c r="B28" s="151" t="s">
        <v>398</v>
      </c>
      <c r="C28" s="32" t="s">
        <v>285</v>
      </c>
      <c r="D28" s="32" t="s">
        <v>418</v>
      </c>
      <c r="E28" s="162" t="s">
        <v>285</v>
      </c>
      <c r="F28" s="17">
        <v>4</v>
      </c>
      <c r="G28" s="144"/>
      <c r="H28" s="145"/>
      <c r="I28" s="146"/>
      <c r="J28" s="36"/>
      <c r="K28" s="34"/>
    </row>
    <row r="29" spans="1:16" x14ac:dyDescent="0.2">
      <c r="A29" s="34" t="s">
        <v>285</v>
      </c>
      <c r="B29" s="151" t="s">
        <v>418</v>
      </c>
      <c r="C29" s="32" t="s">
        <v>286</v>
      </c>
      <c r="D29" s="32" t="s">
        <v>418</v>
      </c>
      <c r="E29" s="160" t="s">
        <v>286</v>
      </c>
      <c r="F29" s="17">
        <v>4</v>
      </c>
      <c r="G29" s="144"/>
      <c r="H29" s="144"/>
      <c r="I29" s="144"/>
      <c r="J29" s="1"/>
      <c r="K29" s="34"/>
      <c r="N29" s="34"/>
    </row>
    <row r="30" spans="1:16" x14ac:dyDescent="0.2">
      <c r="A30" s="34" t="s">
        <v>286</v>
      </c>
      <c r="B30" s="151" t="s">
        <v>418</v>
      </c>
      <c r="C30" s="32" t="s">
        <v>287</v>
      </c>
      <c r="D30" s="32" t="s">
        <v>399</v>
      </c>
      <c r="E30" s="162" t="s">
        <v>287</v>
      </c>
      <c r="F30" s="17">
        <v>5</v>
      </c>
      <c r="G30" s="144"/>
      <c r="H30" s="145"/>
      <c r="I30" s="146"/>
      <c r="J30" s="36"/>
      <c r="K30" s="34"/>
    </row>
    <row r="31" spans="1:16" x14ac:dyDescent="0.2">
      <c r="A31" s="34" t="s">
        <v>287</v>
      </c>
      <c r="B31" s="151" t="s">
        <v>399</v>
      </c>
      <c r="C31" s="32" t="s">
        <v>288</v>
      </c>
      <c r="D31" s="32" t="s">
        <v>417</v>
      </c>
      <c r="E31" s="162" t="s">
        <v>288</v>
      </c>
      <c r="F31" s="17">
        <v>11</v>
      </c>
      <c r="G31" s="144"/>
      <c r="H31" s="144"/>
      <c r="I31" s="144"/>
      <c r="J31" s="36"/>
      <c r="K31" s="34"/>
      <c r="N31" s="152"/>
    </row>
    <row r="32" spans="1:16" x14ac:dyDescent="0.2">
      <c r="A32" s="34" t="s">
        <v>288</v>
      </c>
      <c r="B32" s="151" t="s">
        <v>417</v>
      </c>
      <c r="C32" s="32" t="s">
        <v>289</v>
      </c>
      <c r="D32" s="32" t="s">
        <v>399</v>
      </c>
      <c r="E32" s="160" t="s">
        <v>289</v>
      </c>
      <c r="F32" s="17">
        <v>5</v>
      </c>
      <c r="G32" s="144"/>
      <c r="H32" s="144"/>
      <c r="I32" s="144"/>
      <c r="J32" s="1"/>
      <c r="K32" s="34"/>
      <c r="N32" s="34"/>
    </row>
    <row r="33" spans="1:14" x14ac:dyDescent="0.2">
      <c r="A33" s="34" t="s">
        <v>419</v>
      </c>
      <c r="B33" s="151" t="s">
        <v>420</v>
      </c>
      <c r="C33" s="32" t="s">
        <v>290</v>
      </c>
      <c r="D33" s="32" t="s">
        <v>401</v>
      </c>
      <c r="E33" s="161" t="s">
        <v>290</v>
      </c>
      <c r="F33" s="17">
        <v>9</v>
      </c>
      <c r="G33" s="144"/>
      <c r="H33" s="144"/>
      <c r="I33" s="144"/>
      <c r="J33" s="36"/>
      <c r="K33" s="34"/>
    </row>
    <row r="34" spans="1:14" x14ac:dyDescent="0.2">
      <c r="A34" s="34" t="s">
        <v>289</v>
      </c>
      <c r="B34" s="151" t="s">
        <v>399</v>
      </c>
      <c r="C34" s="35" t="s">
        <v>291</v>
      </c>
      <c r="D34" s="35" t="s">
        <v>400</v>
      </c>
      <c r="E34" s="162" t="s">
        <v>291</v>
      </c>
      <c r="F34" s="17">
        <v>10</v>
      </c>
      <c r="G34" s="144"/>
      <c r="H34" s="144"/>
      <c r="I34" s="144"/>
      <c r="J34" s="36"/>
      <c r="K34" s="34"/>
      <c r="N34" s="34"/>
    </row>
    <row r="35" spans="1:14" x14ac:dyDescent="0.2">
      <c r="A35" s="34" t="s">
        <v>290</v>
      </c>
      <c r="B35" s="151" t="s">
        <v>401</v>
      </c>
      <c r="C35" s="32" t="s">
        <v>292</v>
      </c>
      <c r="D35" s="32" t="s">
        <v>401</v>
      </c>
      <c r="E35" s="162" t="s">
        <v>292</v>
      </c>
      <c r="F35" s="17">
        <v>9</v>
      </c>
      <c r="G35" s="144"/>
      <c r="H35" s="144"/>
      <c r="I35" s="144"/>
      <c r="J35" s="36"/>
      <c r="K35" s="34"/>
      <c r="N35" s="34"/>
    </row>
    <row r="36" spans="1:14" x14ac:dyDescent="0.2">
      <c r="A36" s="152" t="s">
        <v>421</v>
      </c>
      <c r="B36" s="151" t="s">
        <v>422</v>
      </c>
      <c r="C36" s="32" t="s">
        <v>293</v>
      </c>
      <c r="D36" s="32" t="s">
        <v>401</v>
      </c>
      <c r="E36" s="162" t="s">
        <v>293</v>
      </c>
      <c r="F36" s="17">
        <v>9</v>
      </c>
      <c r="G36" s="144"/>
      <c r="H36" s="144"/>
      <c r="I36" s="144"/>
      <c r="J36" s="36"/>
      <c r="K36" s="34"/>
      <c r="N36" s="34"/>
    </row>
    <row r="37" spans="1:14" x14ac:dyDescent="0.2">
      <c r="A37" s="34" t="s">
        <v>291</v>
      </c>
      <c r="B37" s="151" t="s">
        <v>400</v>
      </c>
      <c r="C37" s="32" t="s">
        <v>294</v>
      </c>
      <c r="D37" s="32" t="s">
        <v>418</v>
      </c>
      <c r="E37" s="162" t="s">
        <v>294</v>
      </c>
      <c r="F37" s="17">
        <v>4</v>
      </c>
      <c r="G37" s="144"/>
      <c r="H37" s="145"/>
      <c r="I37" s="146"/>
      <c r="J37" s="36"/>
      <c r="K37" s="152"/>
    </row>
    <row r="38" spans="1:14" x14ac:dyDescent="0.2">
      <c r="A38" s="34" t="s">
        <v>423</v>
      </c>
      <c r="B38" s="151" t="s">
        <v>299</v>
      </c>
      <c r="C38" s="32" t="s">
        <v>277</v>
      </c>
      <c r="D38" s="32" t="s">
        <v>401</v>
      </c>
      <c r="E38" s="163" t="s">
        <v>277</v>
      </c>
      <c r="F38" s="17">
        <v>9</v>
      </c>
      <c r="G38" s="144" t="s">
        <v>489</v>
      </c>
      <c r="H38" s="145"/>
      <c r="I38" s="146"/>
      <c r="J38" s="36" t="s">
        <v>472</v>
      </c>
      <c r="K38" s="34"/>
    </row>
    <row r="39" spans="1:14" x14ac:dyDescent="0.2">
      <c r="A39" s="34" t="s">
        <v>292</v>
      </c>
      <c r="B39" s="151" t="s">
        <v>401</v>
      </c>
      <c r="C39" s="32" t="s">
        <v>278</v>
      </c>
      <c r="D39" s="32" t="s">
        <v>299</v>
      </c>
      <c r="E39" s="161" t="s">
        <v>278</v>
      </c>
      <c r="F39" s="17">
        <v>1</v>
      </c>
      <c r="G39" s="144"/>
      <c r="H39" s="145"/>
      <c r="I39" s="146"/>
      <c r="J39" s="38" t="s">
        <v>473</v>
      </c>
      <c r="K39" s="34"/>
    </row>
    <row r="40" spans="1:14" x14ac:dyDescent="0.2">
      <c r="A40" s="34" t="s">
        <v>293</v>
      </c>
      <c r="B40" s="151" t="s">
        <v>401</v>
      </c>
      <c r="C40" s="165" t="s">
        <v>279</v>
      </c>
      <c r="D40" s="32" t="s">
        <v>418</v>
      </c>
      <c r="E40" s="36" t="s">
        <v>279</v>
      </c>
      <c r="F40" s="17">
        <v>4</v>
      </c>
      <c r="G40" s="144"/>
      <c r="H40" s="145"/>
      <c r="I40" s="146"/>
      <c r="J40" s="36"/>
      <c r="K40" s="34"/>
      <c r="N40" s="34"/>
    </row>
    <row r="41" spans="1:14" x14ac:dyDescent="0.2">
      <c r="A41" s="34" t="s">
        <v>424</v>
      </c>
      <c r="B41" s="151" t="s">
        <v>420</v>
      </c>
      <c r="C41" s="32" t="s">
        <v>280</v>
      </c>
      <c r="D41" s="32" t="s">
        <v>400</v>
      </c>
      <c r="E41" s="161" t="s">
        <v>280</v>
      </c>
      <c r="F41" s="17">
        <v>10</v>
      </c>
      <c r="G41" s="144"/>
      <c r="H41" s="145"/>
      <c r="I41" s="146"/>
      <c r="J41" s="36"/>
      <c r="K41" s="34"/>
    </row>
    <row r="42" spans="1:14" x14ac:dyDescent="0.2">
      <c r="A42" s="34" t="s">
        <v>294</v>
      </c>
      <c r="B42" s="151" t="s">
        <v>418</v>
      </c>
      <c r="C42" s="32" t="s">
        <v>281</v>
      </c>
      <c r="D42" s="32" t="s">
        <v>464</v>
      </c>
      <c r="E42" s="162" t="s">
        <v>281</v>
      </c>
      <c r="F42" s="17">
        <v>7</v>
      </c>
      <c r="G42" s="144"/>
      <c r="H42" s="145"/>
      <c r="I42" s="146"/>
      <c r="J42" s="36"/>
      <c r="K42" s="34"/>
    </row>
    <row r="43" spans="1:14" x14ac:dyDescent="0.2">
      <c r="A43" s="34" t="s">
        <v>499</v>
      </c>
      <c r="B43" s="151" t="s">
        <v>398</v>
      </c>
      <c r="C43" s="32" t="s">
        <v>428</v>
      </c>
      <c r="D43" s="32" t="s">
        <v>398</v>
      </c>
      <c r="E43" s="164" t="s">
        <v>428</v>
      </c>
      <c r="F43" s="17">
        <v>8</v>
      </c>
      <c r="G43" s="147" t="s">
        <v>494</v>
      </c>
      <c r="H43" s="145"/>
      <c r="I43" s="146"/>
      <c r="J43" s="38" t="s">
        <v>493</v>
      </c>
      <c r="K43" s="34"/>
    </row>
    <row r="44" spans="1:14" x14ac:dyDescent="0.2">
      <c r="A44" s="34" t="s">
        <v>277</v>
      </c>
      <c r="B44" s="151" t="s">
        <v>401</v>
      </c>
      <c r="C44" s="32" t="s">
        <v>429</v>
      </c>
      <c r="D44" s="32" t="s">
        <v>401</v>
      </c>
      <c r="E44" s="160" t="s">
        <v>429</v>
      </c>
      <c r="F44" s="17">
        <v>9</v>
      </c>
      <c r="G44" s="144"/>
      <c r="H44" s="145"/>
      <c r="I44" s="146"/>
      <c r="J44" s="1"/>
      <c r="K44" s="34"/>
    </row>
    <row r="45" spans="1:14" x14ac:dyDescent="0.2">
      <c r="A45" s="34" t="s">
        <v>425</v>
      </c>
      <c r="B45" s="151" t="s">
        <v>464</v>
      </c>
      <c r="C45" s="32" t="s">
        <v>430</v>
      </c>
      <c r="D45" s="32" t="s">
        <v>399</v>
      </c>
      <c r="E45" s="160" t="s">
        <v>430</v>
      </c>
      <c r="F45" s="17">
        <v>5</v>
      </c>
      <c r="G45" s="144"/>
      <c r="H45" s="145"/>
      <c r="I45" s="146"/>
      <c r="J45" s="1"/>
      <c r="K45" s="34"/>
    </row>
    <row r="46" spans="1:14" x14ac:dyDescent="0.2">
      <c r="A46" s="34" t="s">
        <v>278</v>
      </c>
      <c r="B46" s="151" t="s">
        <v>299</v>
      </c>
      <c r="C46" s="32" t="s">
        <v>431</v>
      </c>
      <c r="D46" s="32" t="s">
        <v>417</v>
      </c>
      <c r="E46" s="162" t="s">
        <v>431</v>
      </c>
      <c r="F46" s="17">
        <v>11</v>
      </c>
      <c r="G46" s="144"/>
      <c r="H46" s="145"/>
      <c r="I46" s="146"/>
      <c r="J46" s="36"/>
      <c r="K46" s="34"/>
    </row>
    <row r="47" spans="1:14" x14ac:dyDescent="0.2">
      <c r="A47" s="152" t="s">
        <v>279</v>
      </c>
      <c r="B47" s="151" t="s">
        <v>418</v>
      </c>
      <c r="C47" s="32" t="s">
        <v>500</v>
      </c>
      <c r="D47" s="32" t="s">
        <v>417</v>
      </c>
      <c r="E47" s="161" t="s">
        <v>500</v>
      </c>
      <c r="F47" s="17">
        <v>11</v>
      </c>
      <c r="G47" s="144"/>
      <c r="H47" s="145"/>
      <c r="I47" s="146"/>
      <c r="J47" s="36"/>
      <c r="K47" s="34"/>
    </row>
    <row r="48" spans="1:14" x14ac:dyDescent="0.2">
      <c r="A48" s="34" t="s">
        <v>280</v>
      </c>
      <c r="B48" s="151" t="s">
        <v>400</v>
      </c>
      <c r="C48" s="32" t="s">
        <v>282</v>
      </c>
      <c r="D48" s="32" t="s">
        <v>299</v>
      </c>
      <c r="E48" s="160" t="s">
        <v>282</v>
      </c>
      <c r="F48" s="17">
        <v>1</v>
      </c>
      <c r="G48" s="144"/>
      <c r="H48" s="145"/>
      <c r="I48" s="146"/>
      <c r="J48" s="1"/>
      <c r="K48" s="34"/>
    </row>
    <row r="49" spans="1:14" x14ac:dyDescent="0.2">
      <c r="A49" s="34" t="s">
        <v>281</v>
      </c>
      <c r="B49" s="151" t="s">
        <v>464</v>
      </c>
      <c r="C49" s="32" t="s">
        <v>283</v>
      </c>
      <c r="D49" s="32" t="s">
        <v>400</v>
      </c>
      <c r="E49" s="161" t="s">
        <v>283</v>
      </c>
      <c r="F49" s="17">
        <v>10</v>
      </c>
      <c r="G49" s="144"/>
      <c r="H49" s="145"/>
      <c r="I49" s="146"/>
      <c r="J49" s="36"/>
      <c r="K49" s="34"/>
    </row>
    <row r="50" spans="1:14" x14ac:dyDescent="0.2">
      <c r="A50" s="34" t="s">
        <v>427</v>
      </c>
      <c r="B50" s="151" t="s">
        <v>299</v>
      </c>
      <c r="C50" s="32" t="s">
        <v>309</v>
      </c>
      <c r="D50" s="32" t="s">
        <v>399</v>
      </c>
      <c r="E50" s="160" t="s">
        <v>309</v>
      </c>
      <c r="F50" s="17">
        <v>5</v>
      </c>
      <c r="G50" s="144"/>
      <c r="H50" s="145"/>
      <c r="I50" s="146"/>
      <c r="J50" s="1"/>
      <c r="K50" s="153"/>
    </row>
    <row r="51" spans="1:14" x14ac:dyDescent="0.2">
      <c r="A51" s="34" t="s">
        <v>428</v>
      </c>
      <c r="B51" s="151" t="s">
        <v>398</v>
      </c>
      <c r="C51" s="32" t="s">
        <v>310</v>
      </c>
      <c r="D51" s="32" t="s">
        <v>299</v>
      </c>
      <c r="E51" s="162" t="s">
        <v>310</v>
      </c>
      <c r="F51" s="17">
        <v>1</v>
      </c>
      <c r="G51" s="144"/>
      <c r="H51" s="145"/>
      <c r="I51" s="146"/>
      <c r="J51" s="36"/>
      <c r="K51" s="153"/>
    </row>
    <row r="52" spans="1:14" x14ac:dyDescent="0.2">
      <c r="A52" s="34" t="s">
        <v>429</v>
      </c>
      <c r="B52" s="151" t="s">
        <v>401</v>
      </c>
      <c r="C52" s="32" t="s">
        <v>311</v>
      </c>
      <c r="D52" s="32" t="s">
        <v>400</v>
      </c>
      <c r="E52" s="163" t="s">
        <v>311</v>
      </c>
      <c r="F52" s="17">
        <v>10</v>
      </c>
      <c r="G52" s="144"/>
      <c r="H52" s="145" t="s">
        <v>489</v>
      </c>
      <c r="I52" s="146" t="s">
        <v>489</v>
      </c>
      <c r="J52" s="36" t="s">
        <v>474</v>
      </c>
      <c r="K52" s="153"/>
    </row>
    <row r="53" spans="1:14" x14ac:dyDescent="0.2">
      <c r="A53" s="34" t="s">
        <v>430</v>
      </c>
      <c r="B53" s="151" t="s">
        <v>399</v>
      </c>
      <c r="C53" s="32" t="s">
        <v>312</v>
      </c>
      <c r="D53" s="32" t="s">
        <v>398</v>
      </c>
      <c r="E53" s="160" t="s">
        <v>312</v>
      </c>
      <c r="F53" s="17">
        <v>8</v>
      </c>
      <c r="G53" s="144"/>
      <c r="H53" s="145"/>
      <c r="I53" s="146"/>
      <c r="J53" s="1"/>
      <c r="K53" s="152"/>
    </row>
    <row r="54" spans="1:14" x14ac:dyDescent="0.2">
      <c r="A54" s="34" t="s">
        <v>431</v>
      </c>
      <c r="B54" s="151" t="s">
        <v>417</v>
      </c>
      <c r="C54" s="32" t="s">
        <v>313</v>
      </c>
      <c r="D54" s="32" t="s">
        <v>465</v>
      </c>
      <c r="E54" s="161" t="s">
        <v>313</v>
      </c>
      <c r="F54" s="17">
        <v>12</v>
      </c>
      <c r="G54" s="144"/>
      <c r="H54" s="145"/>
      <c r="I54" s="146"/>
      <c r="J54" s="36"/>
      <c r="K54" s="152"/>
    </row>
    <row r="55" spans="1:14" x14ac:dyDescent="0.2">
      <c r="A55" s="34" t="s">
        <v>500</v>
      </c>
      <c r="B55" s="151" t="s">
        <v>417</v>
      </c>
      <c r="C55" s="32" t="s">
        <v>314</v>
      </c>
      <c r="D55" s="32" t="s">
        <v>432</v>
      </c>
      <c r="E55" s="161" t="s">
        <v>314</v>
      </c>
      <c r="F55" s="17">
        <v>3</v>
      </c>
      <c r="G55" s="144"/>
      <c r="H55" s="144"/>
      <c r="I55" s="146"/>
      <c r="J55" s="36"/>
      <c r="K55" s="152"/>
      <c r="N55" s="152"/>
    </row>
    <row r="56" spans="1:14" x14ac:dyDescent="0.2">
      <c r="A56" s="34" t="s">
        <v>282</v>
      </c>
      <c r="B56" s="151" t="s">
        <v>299</v>
      </c>
      <c r="C56" s="32" t="s">
        <v>315</v>
      </c>
      <c r="D56" s="32" t="s">
        <v>432</v>
      </c>
      <c r="E56" s="162" t="s">
        <v>315</v>
      </c>
      <c r="F56" s="17">
        <v>3</v>
      </c>
      <c r="G56" s="144"/>
      <c r="H56" s="144"/>
      <c r="I56" s="146"/>
      <c r="J56" s="36"/>
      <c r="K56" s="34"/>
    </row>
    <row r="57" spans="1:14" x14ac:dyDescent="0.2">
      <c r="A57" s="34" t="s">
        <v>283</v>
      </c>
      <c r="B57" s="151" t="s">
        <v>400</v>
      </c>
      <c r="C57" s="32" t="s">
        <v>316</v>
      </c>
      <c r="D57" s="32" t="s">
        <v>432</v>
      </c>
      <c r="E57" s="161" t="s">
        <v>316</v>
      </c>
      <c r="F57" s="17">
        <v>3</v>
      </c>
      <c r="G57" s="144"/>
      <c r="H57" s="144"/>
      <c r="I57" s="146"/>
      <c r="J57" s="36"/>
      <c r="K57" s="34"/>
    </row>
    <row r="58" spans="1:14" x14ac:dyDescent="0.2">
      <c r="A58" s="34" t="s">
        <v>309</v>
      </c>
      <c r="B58" s="151" t="s">
        <v>399</v>
      </c>
      <c r="C58" s="165" t="s">
        <v>317</v>
      </c>
      <c r="D58" s="32" t="s">
        <v>422</v>
      </c>
      <c r="E58" s="37" t="s">
        <v>317</v>
      </c>
      <c r="F58" s="17">
        <v>2</v>
      </c>
      <c r="G58" s="144"/>
      <c r="H58" s="144"/>
      <c r="I58" s="146"/>
      <c r="J58" s="36"/>
      <c r="K58" s="34"/>
      <c r="N58" s="34"/>
    </row>
    <row r="59" spans="1:14" x14ac:dyDescent="0.2">
      <c r="A59" s="34" t="s">
        <v>310</v>
      </c>
      <c r="B59" s="151" t="s">
        <v>299</v>
      </c>
      <c r="C59" s="165" t="s">
        <v>318</v>
      </c>
      <c r="D59" s="32" t="s">
        <v>422</v>
      </c>
      <c r="E59" s="1" t="s">
        <v>318</v>
      </c>
      <c r="F59" s="17">
        <v>2</v>
      </c>
      <c r="G59" s="144"/>
      <c r="H59" s="144"/>
      <c r="I59" s="146"/>
      <c r="J59" s="1"/>
      <c r="K59" s="34"/>
    </row>
    <row r="60" spans="1:14" x14ac:dyDescent="0.2">
      <c r="A60" s="34" t="s">
        <v>311</v>
      </c>
      <c r="B60" s="151" t="s">
        <v>400</v>
      </c>
      <c r="C60" s="165" t="s">
        <v>319</v>
      </c>
      <c r="D60" s="32" t="s">
        <v>401</v>
      </c>
      <c r="E60" s="1" t="s">
        <v>319</v>
      </c>
      <c r="F60" s="17">
        <v>9</v>
      </c>
      <c r="G60" s="144"/>
      <c r="H60" s="144"/>
      <c r="I60" s="146"/>
      <c r="J60" s="1"/>
      <c r="K60" s="34"/>
    </row>
    <row r="61" spans="1:14" x14ac:dyDescent="0.2">
      <c r="A61" s="34" t="s">
        <v>312</v>
      </c>
      <c r="B61" s="151" t="s">
        <v>398</v>
      </c>
      <c r="C61" s="32" t="s">
        <v>330</v>
      </c>
      <c r="D61" s="32" t="s">
        <v>399</v>
      </c>
      <c r="E61" s="162" t="s">
        <v>330</v>
      </c>
      <c r="F61" s="17">
        <v>5</v>
      </c>
      <c r="G61" s="144"/>
      <c r="H61" s="144"/>
      <c r="I61" s="146"/>
      <c r="J61" s="36"/>
      <c r="K61" s="34"/>
    </row>
    <row r="62" spans="1:14" x14ac:dyDescent="0.2">
      <c r="A62" s="34" t="s">
        <v>313</v>
      </c>
      <c r="B62" s="151" t="s">
        <v>465</v>
      </c>
      <c r="C62" s="32" t="s">
        <v>434</v>
      </c>
      <c r="D62" s="32" t="s">
        <v>417</v>
      </c>
      <c r="E62" s="160" t="s">
        <v>434</v>
      </c>
      <c r="F62" s="17">
        <v>11</v>
      </c>
      <c r="G62" s="144"/>
      <c r="H62" s="144"/>
      <c r="I62" s="146"/>
      <c r="J62" s="1"/>
      <c r="K62" s="34"/>
    </row>
    <row r="63" spans="1:14" x14ac:dyDescent="0.2">
      <c r="A63" s="153" t="s">
        <v>314</v>
      </c>
      <c r="B63" s="151" t="s">
        <v>432</v>
      </c>
      <c r="C63" s="32" t="s">
        <v>331</v>
      </c>
      <c r="D63" s="32" t="s">
        <v>465</v>
      </c>
      <c r="E63" s="162" t="s">
        <v>331</v>
      </c>
      <c r="F63" s="17">
        <v>12</v>
      </c>
      <c r="G63" s="144"/>
      <c r="H63" s="145"/>
      <c r="I63" s="146"/>
      <c r="J63" s="36"/>
      <c r="K63" s="34"/>
      <c r="N63" s="34"/>
    </row>
    <row r="64" spans="1:14" x14ac:dyDescent="0.2">
      <c r="A64" s="153" t="s">
        <v>315</v>
      </c>
      <c r="B64" s="151" t="s">
        <v>432</v>
      </c>
      <c r="C64" s="32" t="s">
        <v>332</v>
      </c>
      <c r="D64" s="32" t="s">
        <v>464</v>
      </c>
      <c r="E64" s="160" t="s">
        <v>332</v>
      </c>
      <c r="F64" s="17">
        <v>7</v>
      </c>
      <c r="G64" s="144"/>
      <c r="H64" s="145"/>
      <c r="I64" s="146"/>
      <c r="J64" s="1"/>
      <c r="K64" s="34"/>
      <c r="N64" s="34"/>
    </row>
    <row r="65" spans="1:14" x14ac:dyDescent="0.2">
      <c r="A65" s="153" t="s">
        <v>316</v>
      </c>
      <c r="B65" s="151" t="s">
        <v>432</v>
      </c>
      <c r="C65" s="32" t="s">
        <v>436</v>
      </c>
      <c r="D65" s="32" t="s">
        <v>399</v>
      </c>
      <c r="E65" s="161" t="s">
        <v>436</v>
      </c>
      <c r="F65" s="17">
        <v>5</v>
      </c>
      <c r="G65" s="144"/>
      <c r="H65" s="145"/>
      <c r="I65" s="146"/>
      <c r="J65" s="36"/>
      <c r="K65" s="153"/>
    </row>
    <row r="66" spans="1:14" x14ac:dyDescent="0.2">
      <c r="A66" s="152" t="s">
        <v>317</v>
      </c>
      <c r="B66" s="151" t="s">
        <v>422</v>
      </c>
      <c r="C66" s="32" t="s">
        <v>333</v>
      </c>
      <c r="D66" s="32" t="s">
        <v>398</v>
      </c>
      <c r="E66" s="160" t="s">
        <v>333</v>
      </c>
      <c r="F66" s="17">
        <v>8</v>
      </c>
      <c r="G66" s="144"/>
      <c r="H66" s="145"/>
      <c r="I66" s="146"/>
      <c r="J66" s="1"/>
      <c r="K66" s="153"/>
    </row>
    <row r="67" spans="1:14" x14ac:dyDescent="0.2">
      <c r="A67" s="152" t="s">
        <v>318</v>
      </c>
      <c r="B67" s="151" t="s">
        <v>422</v>
      </c>
      <c r="C67" s="32" t="s">
        <v>334</v>
      </c>
      <c r="D67" s="32" t="s">
        <v>299</v>
      </c>
      <c r="E67" s="162" t="s">
        <v>334</v>
      </c>
      <c r="F67" s="17">
        <v>1</v>
      </c>
      <c r="G67" s="144"/>
      <c r="H67" s="145"/>
      <c r="I67" s="146"/>
      <c r="J67" s="36" t="s">
        <v>476</v>
      </c>
      <c r="K67" s="34"/>
    </row>
    <row r="68" spans="1:14" x14ac:dyDescent="0.2">
      <c r="A68" s="152" t="s">
        <v>433</v>
      </c>
      <c r="B68" s="151" t="s">
        <v>422</v>
      </c>
      <c r="C68" s="32" t="s">
        <v>335</v>
      </c>
      <c r="D68" s="32" t="s">
        <v>398</v>
      </c>
      <c r="E68" s="161" t="s">
        <v>335</v>
      </c>
      <c r="F68" s="17">
        <v>8</v>
      </c>
      <c r="G68" s="144"/>
      <c r="H68" s="145"/>
      <c r="I68" s="146"/>
      <c r="J68" s="36"/>
      <c r="K68" s="153"/>
    </row>
    <row r="69" spans="1:14" x14ac:dyDescent="0.2">
      <c r="A69" s="152" t="s">
        <v>319</v>
      </c>
      <c r="B69" s="151" t="s">
        <v>401</v>
      </c>
      <c r="C69" s="32" t="s">
        <v>336</v>
      </c>
      <c r="D69" s="32" t="s">
        <v>401</v>
      </c>
      <c r="E69" s="164" t="s">
        <v>336</v>
      </c>
      <c r="F69" s="17">
        <v>9</v>
      </c>
      <c r="G69" s="147" t="s">
        <v>489</v>
      </c>
      <c r="H69" s="145"/>
      <c r="I69" s="146"/>
      <c r="J69" s="38" t="s">
        <v>472</v>
      </c>
      <c r="K69" s="34"/>
    </row>
    <row r="70" spans="1:14" x14ac:dyDescent="0.2">
      <c r="A70" s="34" t="s">
        <v>330</v>
      </c>
      <c r="B70" s="151" t="s">
        <v>399</v>
      </c>
      <c r="C70" s="32" t="s">
        <v>337</v>
      </c>
      <c r="D70" s="32" t="s">
        <v>432</v>
      </c>
      <c r="E70" s="160" t="s">
        <v>337</v>
      </c>
      <c r="F70" s="17">
        <v>3</v>
      </c>
      <c r="G70" s="144"/>
      <c r="H70" s="145"/>
      <c r="I70" s="146"/>
      <c r="J70" s="1"/>
      <c r="K70" s="34"/>
    </row>
    <row r="71" spans="1:14" x14ac:dyDescent="0.2">
      <c r="A71" s="34" t="s">
        <v>434</v>
      </c>
      <c r="B71" s="151" t="s">
        <v>417</v>
      </c>
      <c r="C71" s="32" t="s">
        <v>338</v>
      </c>
      <c r="D71" s="32" t="s">
        <v>432</v>
      </c>
      <c r="E71" s="162" t="s">
        <v>338</v>
      </c>
      <c r="F71" s="17">
        <v>3</v>
      </c>
      <c r="G71" s="144"/>
      <c r="H71" s="145"/>
      <c r="I71" s="146"/>
      <c r="J71" s="36"/>
      <c r="K71" s="152"/>
    </row>
    <row r="72" spans="1:14" x14ac:dyDescent="0.2">
      <c r="A72" s="34" t="s">
        <v>435</v>
      </c>
      <c r="B72" s="151" t="s">
        <v>417</v>
      </c>
      <c r="C72" s="32" t="s">
        <v>503</v>
      </c>
      <c r="D72" s="32" t="s">
        <v>417</v>
      </c>
      <c r="E72" s="160" t="s">
        <v>503</v>
      </c>
      <c r="F72" s="17">
        <v>11</v>
      </c>
      <c r="G72" s="144"/>
      <c r="H72" s="145"/>
      <c r="I72" s="146"/>
      <c r="J72" s="1"/>
      <c r="K72" s="152"/>
      <c r="N72" s="34"/>
    </row>
    <row r="73" spans="1:14" x14ac:dyDescent="0.2">
      <c r="A73" s="34" t="s">
        <v>331</v>
      </c>
      <c r="B73" s="151" t="s">
        <v>465</v>
      </c>
      <c r="C73" s="32" t="s">
        <v>320</v>
      </c>
      <c r="D73" s="32" t="s">
        <v>432</v>
      </c>
      <c r="E73" s="162" t="s">
        <v>320</v>
      </c>
      <c r="F73" s="17">
        <v>3</v>
      </c>
      <c r="G73" s="144"/>
      <c r="H73" s="145"/>
      <c r="I73" s="146"/>
      <c r="J73" s="36"/>
      <c r="K73" s="34"/>
    </row>
    <row r="74" spans="1:14" x14ac:dyDescent="0.2">
      <c r="A74" s="34" t="s">
        <v>332</v>
      </c>
      <c r="B74" s="151" t="s">
        <v>464</v>
      </c>
      <c r="C74" s="32" t="s">
        <v>504</v>
      </c>
      <c r="D74" s="32" t="s">
        <v>399</v>
      </c>
      <c r="E74" s="161" t="s">
        <v>504</v>
      </c>
      <c r="F74" s="17">
        <v>5</v>
      </c>
      <c r="G74" s="144"/>
      <c r="H74" s="145"/>
      <c r="I74" s="146"/>
      <c r="J74" s="36"/>
      <c r="K74" s="34"/>
    </row>
    <row r="75" spans="1:14" x14ac:dyDescent="0.2">
      <c r="A75" s="34" t="s">
        <v>436</v>
      </c>
      <c r="B75" s="151" t="s">
        <v>399</v>
      </c>
      <c r="C75" s="32" t="s">
        <v>321</v>
      </c>
      <c r="D75" s="32" t="s">
        <v>399</v>
      </c>
      <c r="E75" s="161" t="s">
        <v>321</v>
      </c>
      <c r="F75" s="17">
        <v>5</v>
      </c>
      <c r="G75" s="144"/>
      <c r="H75" s="145"/>
      <c r="I75" s="146"/>
      <c r="J75" s="36"/>
      <c r="K75" s="34"/>
    </row>
    <row r="76" spans="1:14" x14ac:dyDescent="0.2">
      <c r="A76" s="34" t="s">
        <v>333</v>
      </c>
      <c r="B76" s="151" t="s">
        <v>398</v>
      </c>
      <c r="C76" s="165" t="s">
        <v>322</v>
      </c>
      <c r="D76" s="32" t="s">
        <v>399</v>
      </c>
      <c r="E76" s="142" t="s">
        <v>322</v>
      </c>
      <c r="F76" s="17">
        <v>5</v>
      </c>
      <c r="G76" s="147" t="s">
        <v>489</v>
      </c>
      <c r="H76" s="145"/>
      <c r="I76" s="146"/>
      <c r="J76" s="36" t="s">
        <v>472</v>
      </c>
      <c r="K76" s="34"/>
    </row>
    <row r="77" spans="1:14" x14ac:dyDescent="0.2">
      <c r="A77" s="34" t="s">
        <v>334</v>
      </c>
      <c r="B77" s="151" t="s">
        <v>299</v>
      </c>
      <c r="C77" s="165" t="s">
        <v>323</v>
      </c>
      <c r="D77" s="32" t="s">
        <v>432</v>
      </c>
      <c r="E77" s="37" t="s">
        <v>323</v>
      </c>
      <c r="F77" s="17">
        <v>3</v>
      </c>
      <c r="G77" s="144"/>
      <c r="H77" s="145"/>
      <c r="I77" s="146"/>
      <c r="J77" s="36"/>
      <c r="K77" s="34"/>
    </row>
    <row r="78" spans="1:14" x14ac:dyDescent="0.2">
      <c r="A78" s="34" t="s">
        <v>501</v>
      </c>
      <c r="B78" s="151" t="s">
        <v>401</v>
      </c>
      <c r="C78" s="32" t="s">
        <v>324</v>
      </c>
      <c r="D78" s="32" t="s">
        <v>400</v>
      </c>
      <c r="E78" s="161" t="s">
        <v>324</v>
      </c>
      <c r="F78" s="17">
        <v>10</v>
      </c>
      <c r="G78" s="144"/>
      <c r="H78" s="145"/>
      <c r="I78" s="146"/>
      <c r="J78" s="36"/>
      <c r="K78" s="34"/>
    </row>
    <row r="79" spans="1:14" x14ac:dyDescent="0.2">
      <c r="A79" s="34" t="s">
        <v>335</v>
      </c>
      <c r="B79" s="151" t="s">
        <v>398</v>
      </c>
      <c r="C79" s="32" t="s">
        <v>325</v>
      </c>
      <c r="D79" s="32" t="s">
        <v>400</v>
      </c>
      <c r="E79" s="164" t="s">
        <v>325</v>
      </c>
      <c r="F79" s="17">
        <v>10</v>
      </c>
      <c r="G79" s="147" t="s">
        <v>489</v>
      </c>
      <c r="H79" s="145"/>
      <c r="I79" s="146"/>
      <c r="J79" s="1" t="s">
        <v>490</v>
      </c>
      <c r="K79" s="34"/>
    </row>
    <row r="80" spans="1:14" x14ac:dyDescent="0.2">
      <c r="A80" s="34" t="s">
        <v>502</v>
      </c>
      <c r="B80" s="151" t="s">
        <v>299</v>
      </c>
      <c r="C80" s="32" t="s">
        <v>326</v>
      </c>
      <c r="D80" s="32" t="s">
        <v>465</v>
      </c>
      <c r="E80" s="160" t="s">
        <v>326</v>
      </c>
      <c r="F80" s="17">
        <v>12</v>
      </c>
      <c r="G80" s="144"/>
      <c r="H80" s="145"/>
      <c r="I80" s="146"/>
      <c r="J80" s="1"/>
      <c r="K80" s="34"/>
      <c r="N80" s="153"/>
    </row>
    <row r="81" spans="1:14" x14ac:dyDescent="0.2">
      <c r="A81" s="34" t="s">
        <v>336</v>
      </c>
      <c r="B81" s="151" t="s">
        <v>401</v>
      </c>
      <c r="C81" s="32" t="s">
        <v>327</v>
      </c>
      <c r="D81" s="32" t="s">
        <v>299</v>
      </c>
      <c r="E81" s="162" t="s">
        <v>327</v>
      </c>
      <c r="F81" s="17">
        <v>1</v>
      </c>
      <c r="G81" s="144"/>
      <c r="H81" s="145"/>
      <c r="I81" s="146"/>
      <c r="J81" s="36" t="s">
        <v>477</v>
      </c>
      <c r="K81" s="153"/>
      <c r="N81" s="34"/>
    </row>
    <row r="82" spans="1:14" x14ac:dyDescent="0.2">
      <c r="A82" s="153" t="s">
        <v>337</v>
      </c>
      <c r="B82" s="151" t="s">
        <v>432</v>
      </c>
      <c r="C82" s="32" t="s">
        <v>328</v>
      </c>
      <c r="D82" s="32" t="s">
        <v>299</v>
      </c>
      <c r="E82" s="162" t="s">
        <v>328</v>
      </c>
      <c r="F82" s="17">
        <v>1</v>
      </c>
      <c r="G82" s="144"/>
      <c r="H82" s="145"/>
      <c r="I82" s="146"/>
      <c r="J82" s="36"/>
      <c r="K82" s="34"/>
    </row>
    <row r="83" spans="1:14" x14ac:dyDescent="0.2">
      <c r="A83" s="153" t="s">
        <v>338</v>
      </c>
      <c r="B83" s="151" t="s">
        <v>432</v>
      </c>
      <c r="C83" s="32" t="s">
        <v>339</v>
      </c>
      <c r="D83" s="32" t="s">
        <v>417</v>
      </c>
      <c r="E83" s="162" t="s">
        <v>339</v>
      </c>
      <c r="F83" s="17">
        <v>11</v>
      </c>
      <c r="G83" s="144"/>
      <c r="H83" s="145"/>
      <c r="I83" s="146"/>
      <c r="J83" s="36"/>
      <c r="K83" s="34"/>
    </row>
    <row r="84" spans="1:14" x14ac:dyDescent="0.2">
      <c r="A84" s="34" t="s">
        <v>503</v>
      </c>
      <c r="B84" s="151" t="s">
        <v>417</v>
      </c>
      <c r="C84" s="32" t="s">
        <v>329</v>
      </c>
      <c r="D84" s="32" t="s">
        <v>401</v>
      </c>
      <c r="E84" s="164" t="s">
        <v>329</v>
      </c>
      <c r="F84" s="17">
        <v>9</v>
      </c>
      <c r="G84" s="144"/>
      <c r="H84" s="145"/>
      <c r="I84" s="146" t="s">
        <v>489</v>
      </c>
      <c r="J84" s="1" t="s">
        <v>478</v>
      </c>
      <c r="K84" s="34"/>
    </row>
    <row r="85" spans="1:14" x14ac:dyDescent="0.2">
      <c r="A85" s="153" t="s">
        <v>320</v>
      </c>
      <c r="B85" s="151" t="s">
        <v>432</v>
      </c>
      <c r="C85" s="32" t="s">
        <v>340</v>
      </c>
      <c r="D85" s="32" t="s">
        <v>401</v>
      </c>
      <c r="E85" s="162" t="s">
        <v>340</v>
      </c>
      <c r="F85" s="17">
        <v>9</v>
      </c>
      <c r="G85" s="144"/>
      <c r="H85" s="145"/>
      <c r="I85" s="146"/>
      <c r="J85" s="36"/>
      <c r="K85" s="153"/>
      <c r="N85" s="153"/>
    </row>
    <row r="86" spans="1:14" x14ac:dyDescent="0.2">
      <c r="A86" s="34" t="s">
        <v>504</v>
      </c>
      <c r="B86" s="151" t="s">
        <v>399</v>
      </c>
      <c r="C86" s="32" t="s">
        <v>341</v>
      </c>
      <c r="D86" s="32" t="s">
        <v>432</v>
      </c>
      <c r="E86" s="162" t="s">
        <v>341</v>
      </c>
      <c r="F86" s="17">
        <v>3</v>
      </c>
      <c r="G86" s="144"/>
      <c r="H86" s="145"/>
      <c r="I86" s="146"/>
      <c r="J86" s="36"/>
      <c r="K86" s="34"/>
      <c r="N86" s="34"/>
    </row>
    <row r="87" spans="1:14" x14ac:dyDescent="0.2">
      <c r="A87" s="34" t="s">
        <v>321</v>
      </c>
      <c r="B87" s="151" t="s">
        <v>399</v>
      </c>
      <c r="C87" s="165" t="s">
        <v>342</v>
      </c>
      <c r="D87" s="32" t="s">
        <v>422</v>
      </c>
      <c r="E87" s="36" t="s">
        <v>342</v>
      </c>
      <c r="F87" s="17">
        <v>2</v>
      </c>
      <c r="G87" s="144"/>
      <c r="H87" s="145"/>
      <c r="I87" s="146"/>
      <c r="J87" s="36"/>
      <c r="K87" s="34"/>
      <c r="N87" s="34"/>
    </row>
    <row r="88" spans="1:14" x14ac:dyDescent="0.2">
      <c r="A88" s="152" t="s">
        <v>322</v>
      </c>
      <c r="B88" s="151" t="s">
        <v>399</v>
      </c>
      <c r="C88" s="32" t="s">
        <v>343</v>
      </c>
      <c r="D88" s="32" t="s">
        <v>422</v>
      </c>
      <c r="E88" s="163" t="s">
        <v>343</v>
      </c>
      <c r="F88" s="17">
        <v>2</v>
      </c>
      <c r="G88" s="147" t="s">
        <v>489</v>
      </c>
      <c r="H88" s="145"/>
      <c r="I88" s="146"/>
      <c r="J88" s="36" t="s">
        <v>491</v>
      </c>
      <c r="K88" s="152"/>
      <c r="N88" s="34"/>
    </row>
    <row r="89" spans="1:14" x14ac:dyDescent="0.2">
      <c r="A89" s="34" t="s">
        <v>437</v>
      </c>
      <c r="B89" s="151" t="s">
        <v>420</v>
      </c>
      <c r="C89" s="32" t="s">
        <v>344</v>
      </c>
      <c r="D89" s="32" t="s">
        <v>418</v>
      </c>
      <c r="E89" s="160" t="s">
        <v>344</v>
      </c>
      <c r="F89" s="17">
        <v>4</v>
      </c>
      <c r="G89" s="144"/>
      <c r="H89" s="145"/>
      <c r="I89" s="146"/>
      <c r="J89" s="1"/>
      <c r="K89" s="152"/>
      <c r="N89" s="34"/>
    </row>
    <row r="90" spans="1:14" x14ac:dyDescent="0.2">
      <c r="A90" s="152" t="s">
        <v>323</v>
      </c>
      <c r="B90" s="151" t="s">
        <v>432</v>
      </c>
      <c r="C90" s="32" t="s">
        <v>345</v>
      </c>
      <c r="D90" s="32" t="s">
        <v>418</v>
      </c>
      <c r="E90" s="161" t="s">
        <v>345</v>
      </c>
      <c r="F90" s="17">
        <v>4</v>
      </c>
      <c r="G90" s="144"/>
      <c r="H90" s="145"/>
      <c r="I90" s="146"/>
      <c r="J90" s="36"/>
      <c r="K90" s="152"/>
      <c r="N90" s="34"/>
    </row>
    <row r="91" spans="1:14" x14ac:dyDescent="0.2">
      <c r="A91" s="34" t="s">
        <v>324</v>
      </c>
      <c r="B91" s="151" t="s">
        <v>400</v>
      </c>
      <c r="C91" s="32" t="s">
        <v>346</v>
      </c>
      <c r="D91" s="32" t="s">
        <v>432</v>
      </c>
      <c r="E91" s="160" t="s">
        <v>346</v>
      </c>
      <c r="F91" s="17">
        <v>3</v>
      </c>
      <c r="G91" s="144"/>
      <c r="H91" s="145"/>
      <c r="I91" s="146"/>
      <c r="J91" s="1"/>
      <c r="K91" s="152"/>
    </row>
    <row r="92" spans="1:14" x14ac:dyDescent="0.2">
      <c r="A92" s="34" t="s">
        <v>325</v>
      </c>
      <c r="B92" s="151" t="s">
        <v>400</v>
      </c>
      <c r="C92" s="32" t="s">
        <v>347</v>
      </c>
      <c r="D92" s="32" t="s">
        <v>464</v>
      </c>
      <c r="E92" s="164" t="s">
        <v>347</v>
      </c>
      <c r="F92" s="17">
        <v>7</v>
      </c>
      <c r="G92" s="147" t="s">
        <v>489</v>
      </c>
      <c r="H92" s="145"/>
      <c r="I92" s="146"/>
      <c r="J92" s="1" t="s">
        <v>492</v>
      </c>
      <c r="K92" s="34"/>
    </row>
    <row r="93" spans="1:14" x14ac:dyDescent="0.2">
      <c r="A93" s="34" t="s">
        <v>326</v>
      </c>
      <c r="B93" s="151" t="s">
        <v>465</v>
      </c>
      <c r="C93" s="32" t="s">
        <v>459</v>
      </c>
      <c r="D93" s="32" t="s">
        <v>465</v>
      </c>
      <c r="E93" s="160" t="s">
        <v>459</v>
      </c>
      <c r="F93" s="17">
        <v>12</v>
      </c>
      <c r="G93" s="144"/>
      <c r="H93" s="145"/>
      <c r="I93" s="146"/>
      <c r="J93" s="1"/>
      <c r="K93" s="34"/>
    </row>
    <row r="94" spans="1:14" x14ac:dyDescent="0.2">
      <c r="A94" s="34" t="s">
        <v>327</v>
      </c>
      <c r="B94" s="151" t="s">
        <v>299</v>
      </c>
      <c r="C94" s="165" t="s">
        <v>348</v>
      </c>
      <c r="D94" s="32" t="s">
        <v>399</v>
      </c>
      <c r="E94" s="37" t="s">
        <v>348</v>
      </c>
      <c r="F94" s="17">
        <v>5</v>
      </c>
      <c r="G94" s="144"/>
      <c r="H94" s="145"/>
      <c r="I94" s="146"/>
      <c r="J94" s="36"/>
      <c r="K94" s="34"/>
      <c r="N94" s="34"/>
    </row>
    <row r="95" spans="1:14" x14ac:dyDescent="0.2">
      <c r="A95" s="34" t="s">
        <v>328</v>
      </c>
      <c r="B95" s="151" t="s">
        <v>299</v>
      </c>
      <c r="C95" s="32" t="s">
        <v>350</v>
      </c>
      <c r="D95" s="32" t="s">
        <v>464</v>
      </c>
      <c r="E95" s="160" t="s">
        <v>350</v>
      </c>
      <c r="F95" s="17">
        <v>7</v>
      </c>
      <c r="G95" s="144"/>
      <c r="H95" s="145"/>
      <c r="I95" s="146"/>
      <c r="J95" s="1"/>
      <c r="K95" s="34"/>
      <c r="N95" s="34"/>
    </row>
    <row r="96" spans="1:14" x14ac:dyDescent="0.2">
      <c r="A96" s="34" t="s">
        <v>339</v>
      </c>
      <c r="B96" s="151" t="s">
        <v>417</v>
      </c>
      <c r="C96" s="32" t="s">
        <v>349</v>
      </c>
      <c r="D96" s="32" t="s">
        <v>398</v>
      </c>
      <c r="E96" s="161" t="s">
        <v>349</v>
      </c>
      <c r="F96" s="17">
        <v>8</v>
      </c>
      <c r="G96" s="144"/>
      <c r="H96" s="145"/>
      <c r="I96" s="146"/>
      <c r="J96" s="36"/>
      <c r="K96" s="34"/>
      <c r="N96" s="34"/>
    </row>
    <row r="97" spans="1:16" x14ac:dyDescent="0.2">
      <c r="A97" s="34" t="s">
        <v>329</v>
      </c>
      <c r="B97" s="151" t="s">
        <v>401</v>
      </c>
      <c r="C97" s="165" t="s">
        <v>351</v>
      </c>
      <c r="D97" s="32" t="s">
        <v>422</v>
      </c>
      <c r="E97" s="36" t="s">
        <v>351</v>
      </c>
      <c r="F97" s="17">
        <v>2</v>
      </c>
      <c r="G97" s="144"/>
      <c r="H97" s="145"/>
      <c r="I97" s="146"/>
      <c r="J97" s="36"/>
      <c r="K97" s="34"/>
      <c r="N97" s="34"/>
    </row>
    <row r="98" spans="1:16" x14ac:dyDescent="0.2">
      <c r="A98" s="153" t="s">
        <v>438</v>
      </c>
      <c r="B98" s="151" t="s">
        <v>432</v>
      </c>
      <c r="C98" s="165" t="s">
        <v>352</v>
      </c>
      <c r="D98" s="32" t="s">
        <v>399</v>
      </c>
      <c r="E98" s="37" t="s">
        <v>352</v>
      </c>
      <c r="F98" s="17">
        <v>5</v>
      </c>
      <c r="G98" s="144"/>
      <c r="H98" s="145"/>
      <c r="I98" s="146"/>
      <c r="J98" s="36" t="s">
        <v>475</v>
      </c>
      <c r="K98" s="34"/>
      <c r="N98" s="34"/>
    </row>
    <row r="99" spans="1:16" x14ac:dyDescent="0.2">
      <c r="A99" s="34" t="s">
        <v>439</v>
      </c>
      <c r="B99" s="151" t="s">
        <v>420</v>
      </c>
      <c r="C99" s="165" t="s">
        <v>353</v>
      </c>
      <c r="D99" s="32" t="s">
        <v>422</v>
      </c>
      <c r="E99" s="143" t="s">
        <v>353</v>
      </c>
      <c r="F99" s="17">
        <v>2</v>
      </c>
      <c r="G99" s="147" t="s">
        <v>489</v>
      </c>
      <c r="H99" s="145"/>
      <c r="I99" s="146"/>
      <c r="J99" s="36" t="s">
        <v>493</v>
      </c>
      <c r="K99" s="34"/>
    </row>
    <row r="100" spans="1:16" x14ac:dyDescent="0.2">
      <c r="A100" s="34" t="s">
        <v>340</v>
      </c>
      <c r="B100" s="151" t="s">
        <v>401</v>
      </c>
      <c r="C100" s="32" t="s">
        <v>354</v>
      </c>
      <c r="D100" s="32" t="s">
        <v>401</v>
      </c>
      <c r="E100" s="163" t="s">
        <v>354</v>
      </c>
      <c r="F100" s="17">
        <v>9</v>
      </c>
      <c r="G100" s="147" t="s">
        <v>489</v>
      </c>
      <c r="H100" s="145"/>
      <c r="I100" s="146"/>
      <c r="J100" s="1" t="s">
        <v>490</v>
      </c>
      <c r="K100" s="152"/>
      <c r="N100" s="34"/>
    </row>
    <row r="101" spans="1:16" x14ac:dyDescent="0.2">
      <c r="A101" s="153" t="s">
        <v>341</v>
      </c>
      <c r="B101" s="151" t="s">
        <v>432</v>
      </c>
      <c r="C101" s="32" t="s">
        <v>355</v>
      </c>
      <c r="D101" s="32" t="s">
        <v>417</v>
      </c>
      <c r="E101" s="160" t="s">
        <v>355</v>
      </c>
      <c r="F101" s="17">
        <v>11</v>
      </c>
      <c r="G101" s="144"/>
      <c r="H101" s="145"/>
      <c r="I101" s="146"/>
      <c r="J101" s="1"/>
      <c r="K101" s="34"/>
      <c r="N101" s="34"/>
    </row>
    <row r="102" spans="1:16" x14ac:dyDescent="0.2">
      <c r="A102" s="152" t="s">
        <v>342</v>
      </c>
      <c r="B102" s="151" t="s">
        <v>422</v>
      </c>
      <c r="C102" s="32" t="s">
        <v>356</v>
      </c>
      <c r="D102" s="32" t="s">
        <v>418</v>
      </c>
      <c r="E102" s="160" t="s">
        <v>356</v>
      </c>
      <c r="F102" s="17">
        <v>4</v>
      </c>
      <c r="G102" s="144"/>
      <c r="H102" s="145"/>
      <c r="I102" s="146"/>
      <c r="J102" s="1"/>
      <c r="K102" s="34"/>
      <c r="N102" s="34"/>
    </row>
    <row r="103" spans="1:16" x14ac:dyDescent="0.2">
      <c r="A103" s="34" t="s">
        <v>343</v>
      </c>
      <c r="B103" s="151" t="s">
        <v>422</v>
      </c>
      <c r="C103" s="32" t="s">
        <v>357</v>
      </c>
      <c r="D103" s="32" t="s">
        <v>400</v>
      </c>
      <c r="E103" s="162" t="s">
        <v>357</v>
      </c>
      <c r="F103" s="17">
        <v>10</v>
      </c>
      <c r="G103" s="144"/>
      <c r="H103" s="145"/>
      <c r="I103" s="146"/>
      <c r="J103" s="36"/>
      <c r="K103" s="34"/>
      <c r="N103" s="34"/>
    </row>
    <row r="104" spans="1:16" x14ac:dyDescent="0.2">
      <c r="A104" s="34" t="s">
        <v>344</v>
      </c>
      <c r="B104" s="151" t="s">
        <v>418</v>
      </c>
      <c r="C104" s="32" t="s">
        <v>295</v>
      </c>
      <c r="D104" s="32" t="s">
        <v>418</v>
      </c>
      <c r="E104" s="163" t="s">
        <v>295</v>
      </c>
      <c r="F104" s="17">
        <v>4</v>
      </c>
      <c r="G104" s="147" t="s">
        <v>489</v>
      </c>
      <c r="H104" s="148" t="s">
        <v>489</v>
      </c>
      <c r="I104" s="146"/>
      <c r="J104" s="36" t="s">
        <v>495</v>
      </c>
      <c r="K104" s="34"/>
    </row>
    <row r="105" spans="1:16" x14ac:dyDescent="0.2">
      <c r="A105" s="34" t="s">
        <v>345</v>
      </c>
      <c r="B105" s="151" t="s">
        <v>418</v>
      </c>
      <c r="C105" s="32" t="s">
        <v>296</v>
      </c>
      <c r="D105" s="32" t="s">
        <v>465</v>
      </c>
      <c r="E105" s="160" t="s">
        <v>296</v>
      </c>
      <c r="F105" s="17">
        <v>12</v>
      </c>
      <c r="G105" s="144"/>
      <c r="H105" s="145"/>
      <c r="I105" s="146"/>
      <c r="J105" s="36"/>
      <c r="K105" s="34"/>
      <c r="N105" s="34"/>
    </row>
    <row r="106" spans="1:16" x14ac:dyDescent="0.2">
      <c r="A106" s="153" t="s">
        <v>440</v>
      </c>
      <c r="B106" s="151" t="s">
        <v>432</v>
      </c>
      <c r="C106" s="32" t="s">
        <v>297</v>
      </c>
      <c r="D106" s="32" t="s">
        <v>398</v>
      </c>
      <c r="E106" s="162" t="s">
        <v>297</v>
      </c>
      <c r="F106" s="17">
        <v>8</v>
      </c>
      <c r="G106" s="144"/>
      <c r="H106" s="145"/>
      <c r="I106" s="146"/>
      <c r="J106" s="1"/>
      <c r="K106" s="34"/>
    </row>
    <row r="107" spans="1:16" x14ac:dyDescent="0.2">
      <c r="A107" s="34" t="s">
        <v>441</v>
      </c>
      <c r="B107" s="151" t="s">
        <v>464</v>
      </c>
      <c r="C107" s="32" t="s">
        <v>298</v>
      </c>
      <c r="D107" s="32" t="s">
        <v>299</v>
      </c>
      <c r="E107" s="160" t="s">
        <v>298</v>
      </c>
      <c r="F107" s="17">
        <v>1</v>
      </c>
      <c r="G107" s="144"/>
      <c r="H107" s="145"/>
      <c r="I107" s="146"/>
      <c r="J107" s="36"/>
      <c r="K107" s="34"/>
      <c r="N107" s="34"/>
    </row>
    <row r="108" spans="1:16" x14ac:dyDescent="0.2">
      <c r="A108" s="153" t="s">
        <v>346</v>
      </c>
      <c r="B108" s="151" t="s">
        <v>432</v>
      </c>
      <c r="C108" s="32" t="s">
        <v>300</v>
      </c>
      <c r="D108" s="32" t="s">
        <v>299</v>
      </c>
      <c r="E108" s="162" t="s">
        <v>300</v>
      </c>
      <c r="F108" s="17">
        <v>1</v>
      </c>
      <c r="G108" s="144"/>
      <c r="H108" s="145"/>
      <c r="I108" s="146"/>
      <c r="J108" s="1"/>
      <c r="K108" s="34"/>
    </row>
    <row r="109" spans="1:16" x14ac:dyDescent="0.2">
      <c r="A109" s="34" t="s">
        <v>442</v>
      </c>
      <c r="B109" s="151" t="s">
        <v>398</v>
      </c>
      <c r="C109" s="32" t="s">
        <v>301</v>
      </c>
      <c r="D109" s="32" t="s">
        <v>418</v>
      </c>
      <c r="E109" s="160" t="s">
        <v>301</v>
      </c>
      <c r="F109" s="17">
        <v>4</v>
      </c>
      <c r="G109" s="144"/>
      <c r="H109" s="145"/>
      <c r="I109" s="146"/>
      <c r="J109" s="36"/>
      <c r="K109" s="34"/>
      <c r="N109" s="34"/>
    </row>
    <row r="110" spans="1:16" x14ac:dyDescent="0.2">
      <c r="A110" s="34" t="s">
        <v>347</v>
      </c>
      <c r="B110" s="151" t="s">
        <v>464</v>
      </c>
      <c r="C110" s="32" t="s">
        <v>403</v>
      </c>
      <c r="D110" s="32" t="s">
        <v>418</v>
      </c>
      <c r="E110" s="161" t="s">
        <v>403</v>
      </c>
      <c r="F110" s="17">
        <v>4</v>
      </c>
      <c r="G110" s="144"/>
      <c r="H110" s="145"/>
      <c r="I110" s="146"/>
      <c r="J110" s="1"/>
      <c r="K110" s="34"/>
    </row>
    <row r="111" spans="1:16" x14ac:dyDescent="0.2">
      <c r="A111" s="34" t="s">
        <v>443</v>
      </c>
      <c r="B111" s="151" t="s">
        <v>400</v>
      </c>
      <c r="C111" s="32" t="s">
        <v>303</v>
      </c>
      <c r="D111" s="32" t="s">
        <v>417</v>
      </c>
      <c r="E111" s="160" t="s">
        <v>303</v>
      </c>
      <c r="F111" s="17">
        <v>11</v>
      </c>
      <c r="G111" s="144"/>
      <c r="H111" s="145"/>
      <c r="I111" s="146"/>
      <c r="J111" s="36"/>
      <c r="K111" s="34"/>
      <c r="N111" s="34"/>
    </row>
    <row r="112" spans="1:16" x14ac:dyDescent="0.2">
      <c r="A112" s="34" t="s">
        <v>459</v>
      </c>
      <c r="B112" s="151" t="s">
        <v>465</v>
      </c>
      <c r="C112" s="32" t="s">
        <v>305</v>
      </c>
      <c r="D112" s="32" t="s">
        <v>401</v>
      </c>
      <c r="E112" s="162" t="s">
        <v>305</v>
      </c>
      <c r="F112" s="17">
        <v>9</v>
      </c>
      <c r="G112" s="144"/>
      <c r="H112" s="145"/>
      <c r="I112" s="146"/>
      <c r="J112" s="1"/>
      <c r="K112" s="34"/>
      <c r="L112" s="17"/>
      <c r="M112" s="17"/>
      <c r="N112" s="17"/>
      <c r="O112" s="34"/>
      <c r="P112" s="34"/>
    </row>
    <row r="113" spans="1:16" x14ac:dyDescent="0.2">
      <c r="A113" s="34" t="s">
        <v>444</v>
      </c>
      <c r="B113" s="151" t="s">
        <v>398</v>
      </c>
      <c r="C113" s="165" t="s">
        <v>306</v>
      </c>
      <c r="D113" s="32" t="s">
        <v>432</v>
      </c>
      <c r="E113" s="1" t="s">
        <v>306</v>
      </c>
      <c r="F113" s="17">
        <v>3</v>
      </c>
      <c r="G113" s="144"/>
      <c r="H113" s="145"/>
      <c r="I113" s="146"/>
      <c r="J113" s="36"/>
      <c r="K113" s="154"/>
      <c r="L113" s="17"/>
      <c r="M113" s="17"/>
      <c r="N113" s="17"/>
      <c r="O113" s="34"/>
      <c r="P113" s="34"/>
    </row>
    <row r="114" spans="1:16" x14ac:dyDescent="0.2">
      <c r="A114" s="34" t="s">
        <v>505</v>
      </c>
      <c r="B114" s="151" t="s">
        <v>417</v>
      </c>
      <c r="C114" s="32" t="s">
        <v>308</v>
      </c>
      <c r="D114" s="32" t="s">
        <v>400</v>
      </c>
      <c r="E114" s="162" t="s">
        <v>308</v>
      </c>
      <c r="F114" s="17">
        <v>10</v>
      </c>
      <c r="G114" s="144"/>
      <c r="H114" s="145"/>
      <c r="I114" s="149"/>
      <c r="J114" s="3"/>
      <c r="K114" s="34"/>
      <c r="L114" s="17"/>
      <c r="M114" s="17"/>
      <c r="N114" s="17"/>
      <c r="O114" s="34"/>
      <c r="P114" s="34"/>
    </row>
    <row r="115" spans="1:16" x14ac:dyDescent="0.2">
      <c r="A115" s="152" t="s">
        <v>348</v>
      </c>
      <c r="B115" s="151" t="s">
        <v>399</v>
      </c>
      <c r="C115" s="33"/>
      <c r="D115" s="33"/>
      <c r="E115" s="37">
        <f>COUNTA(E25:E114)</f>
        <v>90</v>
      </c>
      <c r="F115" s="1"/>
      <c r="G115" s="3">
        <f>$E$115-COUNTA(G25:G114)</f>
        <v>80</v>
      </c>
      <c r="H115" s="3">
        <f>$E$115-COUNTA(H25:H114)</f>
        <v>88</v>
      </c>
      <c r="I115" s="3">
        <f t="shared" ref="I115" si="0">$E$115-COUNTA(I25:I114)</f>
        <v>88</v>
      </c>
      <c r="J115" s="3"/>
      <c r="L115" s="17"/>
      <c r="M115" s="17"/>
      <c r="N115" s="17"/>
      <c r="O115" s="34"/>
      <c r="P115" s="34"/>
    </row>
    <row r="116" spans="1:16" x14ac:dyDescent="0.2">
      <c r="A116" s="34" t="s">
        <v>350</v>
      </c>
      <c r="B116" s="151" t="s">
        <v>464</v>
      </c>
      <c r="C116" s="33"/>
      <c r="D116" s="33"/>
      <c r="F116" s="1"/>
      <c r="G116" s="3"/>
      <c r="H116" s="17"/>
      <c r="I116" s="1"/>
      <c r="J116" s="3"/>
      <c r="K116" s="17"/>
      <c r="L116" s="17"/>
      <c r="M116" s="17"/>
      <c r="N116" s="17"/>
      <c r="O116" s="34"/>
      <c r="P116" s="34"/>
    </row>
    <row r="117" spans="1:16" x14ac:dyDescent="0.2">
      <c r="A117" s="34" t="s">
        <v>349</v>
      </c>
      <c r="B117" s="151" t="s">
        <v>398</v>
      </c>
      <c r="C117" s="33"/>
      <c r="D117" s="33"/>
      <c r="F117" s="1"/>
      <c r="G117" s="3"/>
      <c r="H117" s="17"/>
      <c r="I117" s="1"/>
      <c r="J117" s="3"/>
      <c r="K117" s="17"/>
      <c r="L117" s="17"/>
      <c r="M117" s="17"/>
      <c r="N117" s="17"/>
      <c r="O117" s="34"/>
      <c r="P117" s="34"/>
    </row>
    <row r="118" spans="1:16" x14ac:dyDescent="0.2">
      <c r="A118" s="34" t="s">
        <v>445</v>
      </c>
      <c r="B118" s="151" t="s">
        <v>418</v>
      </c>
      <c r="C118" s="33"/>
      <c r="D118" s="33"/>
      <c r="F118" s="1"/>
      <c r="G118" s="3"/>
      <c r="H118" s="17"/>
      <c r="I118" s="1"/>
      <c r="J118" s="3"/>
      <c r="K118" s="17"/>
      <c r="L118" s="17"/>
      <c r="M118" s="17"/>
      <c r="N118" s="17"/>
      <c r="O118" s="34"/>
      <c r="P118" s="34"/>
    </row>
    <row r="119" spans="1:16" x14ac:dyDescent="0.2">
      <c r="A119" s="34" t="s">
        <v>446</v>
      </c>
      <c r="B119" s="151" t="s">
        <v>464</v>
      </c>
      <c r="C119" s="33"/>
      <c r="D119" s="33"/>
      <c r="E119" s="17"/>
      <c r="F119" s="1"/>
      <c r="G119" s="3"/>
      <c r="H119" s="17"/>
      <c r="I119" s="1"/>
      <c r="J119" s="3"/>
      <c r="K119" s="17"/>
      <c r="L119" s="17"/>
      <c r="M119" s="17"/>
      <c r="N119" s="17"/>
      <c r="O119" s="34"/>
      <c r="P119" s="34"/>
    </row>
    <row r="120" spans="1:16" x14ac:dyDescent="0.2">
      <c r="A120" s="34" t="s">
        <v>447</v>
      </c>
      <c r="B120" s="151" t="s">
        <v>422</v>
      </c>
      <c r="C120" s="33"/>
      <c r="D120" s="33"/>
      <c r="F120" s="1"/>
      <c r="G120" s="3"/>
      <c r="H120" s="17"/>
      <c r="I120" s="1"/>
      <c r="J120" s="3"/>
      <c r="K120" s="17"/>
      <c r="L120" s="17"/>
      <c r="M120" s="17"/>
      <c r="N120" s="17"/>
      <c r="O120" s="34"/>
      <c r="P120" s="34"/>
    </row>
    <row r="121" spans="1:16" x14ac:dyDescent="0.2">
      <c r="A121" s="34" t="s">
        <v>448</v>
      </c>
      <c r="B121" s="151" t="s">
        <v>464</v>
      </c>
      <c r="C121" s="33"/>
      <c r="D121" s="33"/>
      <c r="F121" s="1"/>
      <c r="G121" s="3"/>
      <c r="H121" s="17"/>
      <c r="I121" s="1"/>
      <c r="J121" s="3"/>
      <c r="K121" s="17"/>
      <c r="L121" s="17"/>
      <c r="M121" s="17"/>
      <c r="N121" s="17"/>
      <c r="O121" s="34"/>
      <c r="P121" s="34"/>
    </row>
    <row r="122" spans="1:16" x14ac:dyDescent="0.2">
      <c r="A122" s="34" t="s">
        <v>449</v>
      </c>
      <c r="B122" s="151" t="s">
        <v>399</v>
      </c>
      <c r="C122" s="33"/>
      <c r="D122" s="33"/>
      <c r="F122" s="1"/>
      <c r="G122" s="3"/>
      <c r="H122" s="17"/>
      <c r="I122" s="1"/>
      <c r="J122" s="3"/>
      <c r="K122" s="17"/>
      <c r="L122" s="17"/>
      <c r="M122" s="17"/>
      <c r="N122" s="17"/>
      <c r="O122" s="34"/>
      <c r="P122" s="34"/>
    </row>
    <row r="123" spans="1:16" x14ac:dyDescent="0.2">
      <c r="A123" s="152" t="s">
        <v>351</v>
      </c>
      <c r="B123" s="151" t="s">
        <v>422</v>
      </c>
      <c r="C123" s="33"/>
      <c r="D123" s="33"/>
      <c r="F123" s="1"/>
      <c r="G123" s="3"/>
      <c r="H123" s="17"/>
      <c r="I123" s="1"/>
      <c r="J123" s="3"/>
      <c r="K123" s="17"/>
      <c r="L123" s="17"/>
      <c r="M123" s="17"/>
      <c r="N123" s="17"/>
      <c r="O123" s="34"/>
      <c r="P123" s="34"/>
    </row>
    <row r="124" spans="1:16" x14ac:dyDescent="0.2">
      <c r="A124" s="152" t="s">
        <v>352</v>
      </c>
      <c r="B124" s="151" t="s">
        <v>399</v>
      </c>
      <c r="C124" s="33"/>
      <c r="D124" s="33"/>
      <c r="F124" s="1"/>
      <c r="G124" s="3"/>
      <c r="H124" s="17"/>
      <c r="I124" s="1"/>
      <c r="J124" s="3"/>
      <c r="K124" s="17"/>
      <c r="L124" s="17"/>
      <c r="M124" s="17"/>
      <c r="N124" s="17"/>
      <c r="O124" s="34"/>
      <c r="P124" s="34"/>
    </row>
    <row r="125" spans="1:16" x14ac:dyDescent="0.2">
      <c r="A125" s="34" t="s">
        <v>506</v>
      </c>
      <c r="B125" s="151" t="s">
        <v>465</v>
      </c>
      <c r="C125" s="33"/>
      <c r="D125" s="33"/>
      <c r="F125" s="1"/>
      <c r="G125" s="3"/>
      <c r="H125" s="17"/>
      <c r="I125" s="1"/>
      <c r="J125" s="3"/>
      <c r="K125" s="17"/>
      <c r="L125" s="17"/>
      <c r="M125" s="17"/>
      <c r="N125" s="17"/>
      <c r="O125" s="34"/>
      <c r="P125" s="34"/>
    </row>
    <row r="126" spans="1:16" x14ac:dyDescent="0.2">
      <c r="A126" s="34" t="s">
        <v>507</v>
      </c>
      <c r="B126" s="151" t="s">
        <v>465</v>
      </c>
      <c r="C126" s="33"/>
      <c r="D126" s="33"/>
      <c r="F126" s="1"/>
      <c r="G126" s="3"/>
      <c r="H126" s="17"/>
      <c r="I126" s="1"/>
      <c r="J126" s="3"/>
      <c r="K126" s="17"/>
      <c r="L126" s="17"/>
      <c r="M126" s="17"/>
      <c r="N126" s="17"/>
      <c r="O126" s="34"/>
      <c r="P126" s="34"/>
    </row>
    <row r="127" spans="1:16" x14ac:dyDescent="0.2">
      <c r="A127" s="152" t="s">
        <v>353</v>
      </c>
      <c r="B127" s="151" t="s">
        <v>422</v>
      </c>
      <c r="C127" s="33"/>
      <c r="D127" s="33"/>
      <c r="F127" s="1"/>
      <c r="G127" s="3"/>
      <c r="H127" s="17"/>
      <c r="I127" s="1"/>
      <c r="J127" s="3"/>
      <c r="K127" s="17"/>
      <c r="L127" s="17"/>
      <c r="M127" s="17"/>
      <c r="N127" s="17"/>
      <c r="O127" s="34"/>
      <c r="P127" s="34"/>
    </row>
    <row r="128" spans="1:16" x14ac:dyDescent="0.2">
      <c r="A128" s="34" t="s">
        <v>354</v>
      </c>
      <c r="B128" s="151" t="s">
        <v>401</v>
      </c>
      <c r="C128" s="33"/>
      <c r="D128" s="33"/>
      <c r="F128" s="17"/>
      <c r="G128" s="3"/>
      <c r="H128" s="17"/>
      <c r="I128" s="1"/>
      <c r="J128" s="3"/>
      <c r="K128" s="17"/>
      <c r="L128" s="17"/>
      <c r="M128" s="17"/>
      <c r="N128" s="17"/>
      <c r="O128" s="34"/>
      <c r="P128" s="34"/>
    </row>
    <row r="129" spans="1:16" x14ac:dyDescent="0.2">
      <c r="A129" s="34" t="s">
        <v>355</v>
      </c>
      <c r="B129" s="151" t="s">
        <v>417</v>
      </c>
      <c r="C129" s="33"/>
      <c r="D129" s="33"/>
      <c r="F129" s="1"/>
      <c r="G129" s="3"/>
      <c r="H129" s="17"/>
      <c r="I129" s="1"/>
      <c r="J129" s="3"/>
      <c r="K129" s="17"/>
      <c r="L129" s="17"/>
      <c r="M129" s="17"/>
      <c r="N129" s="17"/>
      <c r="O129" s="34"/>
      <c r="P129" s="34"/>
    </row>
    <row r="130" spans="1:16" x14ac:dyDescent="0.2">
      <c r="A130" s="34" t="s">
        <v>450</v>
      </c>
      <c r="B130" s="151" t="s">
        <v>398</v>
      </c>
      <c r="C130" s="33"/>
      <c r="D130" s="33"/>
      <c r="F130" s="1"/>
      <c r="G130" s="3"/>
      <c r="H130" s="17"/>
      <c r="I130" s="1"/>
      <c r="J130" s="3"/>
      <c r="K130" s="17"/>
      <c r="L130" s="17"/>
      <c r="M130" s="17"/>
      <c r="N130" s="17"/>
      <c r="O130" s="34"/>
      <c r="P130" s="34"/>
    </row>
    <row r="131" spans="1:16" x14ac:dyDescent="0.2">
      <c r="A131" s="34" t="s">
        <v>451</v>
      </c>
      <c r="B131" s="151" t="s">
        <v>398</v>
      </c>
      <c r="C131" s="33"/>
      <c r="D131" s="33"/>
      <c r="F131" s="1"/>
      <c r="G131" s="3"/>
      <c r="H131" s="17"/>
      <c r="I131" s="1"/>
      <c r="J131" s="3"/>
      <c r="K131" s="17"/>
      <c r="L131" s="17"/>
      <c r="M131" s="17"/>
      <c r="N131" s="17"/>
      <c r="O131" s="34"/>
      <c r="P131" s="34"/>
    </row>
    <row r="132" spans="1:16" x14ac:dyDescent="0.2">
      <c r="A132" s="34" t="s">
        <v>356</v>
      </c>
      <c r="B132" s="151" t="s">
        <v>418</v>
      </c>
      <c r="C132" s="33"/>
      <c r="D132" s="33"/>
      <c r="F132" s="1"/>
      <c r="G132" s="3"/>
      <c r="H132" s="17"/>
      <c r="I132" s="1"/>
      <c r="J132" s="3"/>
      <c r="K132" s="17"/>
      <c r="L132" s="17"/>
      <c r="M132" s="17"/>
      <c r="N132" s="17"/>
      <c r="O132" s="34"/>
      <c r="P132" s="34"/>
    </row>
    <row r="133" spans="1:16" x14ac:dyDescent="0.2">
      <c r="A133" s="34" t="s">
        <v>357</v>
      </c>
      <c r="B133" s="151" t="s">
        <v>400</v>
      </c>
      <c r="C133" s="33"/>
      <c r="D133" s="33"/>
      <c r="F133" s="1"/>
      <c r="G133" s="3"/>
      <c r="H133" s="17"/>
      <c r="I133" s="1"/>
      <c r="J133" s="3"/>
      <c r="K133" s="17"/>
      <c r="L133" s="17"/>
      <c r="M133" s="17"/>
      <c r="N133" s="17"/>
      <c r="O133" s="34"/>
      <c r="P133" s="34"/>
    </row>
    <row r="134" spans="1:16" x14ac:dyDescent="0.2">
      <c r="A134" s="34" t="s">
        <v>452</v>
      </c>
      <c r="B134" s="151" t="s">
        <v>418</v>
      </c>
      <c r="C134" s="33"/>
      <c r="D134" s="33"/>
      <c r="F134" s="1"/>
      <c r="G134" s="3"/>
      <c r="H134" s="17"/>
      <c r="I134" s="1"/>
      <c r="J134" s="3"/>
      <c r="K134" s="17"/>
      <c r="L134" s="17"/>
      <c r="M134" s="17"/>
      <c r="N134" s="17"/>
      <c r="O134" s="34"/>
      <c r="P134" s="34"/>
    </row>
    <row r="135" spans="1:16" x14ac:dyDescent="0.2">
      <c r="A135" s="34" t="s">
        <v>295</v>
      </c>
      <c r="B135" s="151" t="s">
        <v>418</v>
      </c>
      <c r="C135" s="33"/>
      <c r="D135" s="33"/>
      <c r="F135" s="1"/>
      <c r="G135" s="3"/>
      <c r="H135" s="17"/>
      <c r="I135" s="1"/>
      <c r="J135" s="3"/>
      <c r="K135" s="17"/>
      <c r="L135" s="17"/>
      <c r="M135" s="17"/>
      <c r="N135" s="17"/>
      <c r="O135" s="34"/>
      <c r="P135" s="34"/>
    </row>
    <row r="136" spans="1:16" x14ac:dyDescent="0.2">
      <c r="A136" s="34" t="s">
        <v>296</v>
      </c>
      <c r="B136" s="151" t="s">
        <v>465</v>
      </c>
      <c r="C136" s="33"/>
      <c r="D136" s="33"/>
      <c r="F136" s="1"/>
      <c r="G136" s="3"/>
      <c r="H136" s="17"/>
      <c r="I136" s="1"/>
      <c r="J136" s="3"/>
      <c r="K136" s="17"/>
      <c r="L136" s="17"/>
      <c r="M136" s="17"/>
      <c r="N136" s="17"/>
      <c r="O136" s="34"/>
      <c r="P136" s="34"/>
    </row>
    <row r="137" spans="1:16" x14ac:dyDescent="0.2">
      <c r="A137" s="34" t="s">
        <v>297</v>
      </c>
      <c r="B137" s="151" t="s">
        <v>398</v>
      </c>
      <c r="C137" s="33"/>
      <c r="D137" s="33"/>
      <c r="F137" s="1"/>
      <c r="G137" s="3"/>
      <c r="H137" s="17"/>
      <c r="I137" s="1"/>
      <c r="J137" s="3"/>
      <c r="K137" s="17"/>
      <c r="L137" s="17"/>
      <c r="M137" s="17"/>
      <c r="N137" s="17"/>
      <c r="O137" s="34"/>
      <c r="P137" s="34"/>
    </row>
    <row r="138" spans="1:16" x14ac:dyDescent="0.2">
      <c r="A138" s="34" t="s">
        <v>453</v>
      </c>
      <c r="B138" s="151" t="s">
        <v>399</v>
      </c>
      <c r="C138" s="32"/>
      <c r="D138" s="32"/>
      <c r="F138" s="1"/>
      <c r="G138" s="3"/>
      <c r="H138" s="17"/>
      <c r="I138" s="1"/>
      <c r="J138" s="3"/>
      <c r="K138" s="17"/>
      <c r="L138" s="17"/>
      <c r="M138" s="17"/>
      <c r="N138" s="17"/>
      <c r="O138" s="34"/>
      <c r="P138" s="34"/>
    </row>
    <row r="139" spans="1:16" x14ac:dyDescent="0.2">
      <c r="A139" s="34" t="s">
        <v>298</v>
      </c>
      <c r="B139" s="151" t="s">
        <v>299</v>
      </c>
      <c r="C139" s="32"/>
      <c r="D139" s="32"/>
      <c r="F139" s="1"/>
      <c r="G139" s="3"/>
      <c r="H139" s="17"/>
      <c r="I139" s="1"/>
      <c r="J139" s="3"/>
      <c r="K139" s="17"/>
      <c r="L139" s="17"/>
      <c r="M139" s="17"/>
      <c r="N139" s="17"/>
      <c r="O139" s="34"/>
      <c r="P139" s="34"/>
    </row>
    <row r="140" spans="1:16" x14ac:dyDescent="0.2">
      <c r="A140" s="34" t="s">
        <v>300</v>
      </c>
      <c r="B140" s="151" t="s">
        <v>299</v>
      </c>
      <c r="F140" s="1"/>
      <c r="G140" s="3"/>
      <c r="H140" s="17"/>
      <c r="I140" s="17"/>
      <c r="J140" s="3"/>
      <c r="L140" s="17"/>
      <c r="M140" s="17"/>
      <c r="N140" s="17"/>
      <c r="O140" s="34"/>
      <c r="P140" s="34"/>
    </row>
    <row r="141" spans="1:16" x14ac:dyDescent="0.2">
      <c r="A141" s="34" t="s">
        <v>454</v>
      </c>
      <c r="B141" s="151" t="s">
        <v>299</v>
      </c>
      <c r="F141" s="1"/>
      <c r="G141" s="3"/>
      <c r="H141" s="17"/>
      <c r="I141" s="1"/>
      <c r="J141" s="3"/>
      <c r="L141" s="17"/>
      <c r="M141" s="17"/>
      <c r="N141" s="17"/>
      <c r="O141" s="34"/>
      <c r="P141" s="34"/>
    </row>
    <row r="142" spans="1:16" x14ac:dyDescent="0.2">
      <c r="A142" s="34" t="s">
        <v>301</v>
      </c>
      <c r="B142" s="151" t="s">
        <v>418</v>
      </c>
      <c r="F142" s="1"/>
      <c r="G142" s="3"/>
      <c r="H142" s="17"/>
      <c r="I142" s="1"/>
      <c r="J142" s="3"/>
      <c r="L142" s="17"/>
      <c r="M142" s="17"/>
      <c r="N142" s="17"/>
      <c r="O142" s="34"/>
      <c r="P142" s="34"/>
    </row>
    <row r="143" spans="1:16" x14ac:dyDescent="0.2">
      <c r="A143" s="34" t="s">
        <v>403</v>
      </c>
      <c r="B143" s="151" t="s">
        <v>422</v>
      </c>
      <c r="F143" s="1"/>
      <c r="G143" s="3"/>
      <c r="H143" s="17"/>
      <c r="I143" s="1"/>
      <c r="J143" s="3"/>
      <c r="L143" s="17"/>
      <c r="M143" s="17"/>
      <c r="N143" s="17"/>
      <c r="O143" s="34"/>
      <c r="P143" s="34"/>
    </row>
    <row r="144" spans="1:16" x14ac:dyDescent="0.2">
      <c r="A144" s="34" t="s">
        <v>455</v>
      </c>
      <c r="B144" s="151" t="s">
        <v>422</v>
      </c>
      <c r="F144" s="1"/>
      <c r="G144" s="3"/>
      <c r="H144" s="17"/>
      <c r="I144" s="17"/>
      <c r="J144" s="3"/>
      <c r="L144" s="17"/>
      <c r="M144" s="17"/>
      <c r="N144" s="17"/>
      <c r="O144" s="34"/>
      <c r="P144" s="34"/>
    </row>
    <row r="145" spans="1:16" x14ac:dyDescent="0.2">
      <c r="A145" s="34" t="s">
        <v>303</v>
      </c>
      <c r="B145" s="151" t="s">
        <v>417</v>
      </c>
      <c r="F145" s="17"/>
      <c r="G145" s="17"/>
      <c r="H145" s="17"/>
      <c r="I145" s="17"/>
      <c r="J145" s="3"/>
      <c r="L145" s="17"/>
      <c r="M145" s="17"/>
      <c r="N145" s="17"/>
      <c r="O145" s="34"/>
      <c r="P145" s="34"/>
    </row>
    <row r="146" spans="1:16" x14ac:dyDescent="0.2">
      <c r="A146" s="34" t="s">
        <v>305</v>
      </c>
      <c r="B146" s="151" t="s">
        <v>401</v>
      </c>
      <c r="F146" s="17"/>
      <c r="G146" s="17"/>
      <c r="H146" s="17"/>
      <c r="I146" s="17"/>
      <c r="J146" s="17"/>
      <c r="L146" s="17"/>
      <c r="M146" s="17"/>
      <c r="N146" s="17"/>
      <c r="O146" s="34"/>
      <c r="P146" s="34"/>
    </row>
    <row r="147" spans="1:16" x14ac:dyDescent="0.2">
      <c r="A147" s="154" t="s">
        <v>306</v>
      </c>
      <c r="B147" s="151" t="s">
        <v>432</v>
      </c>
      <c r="F147" s="17"/>
      <c r="G147" s="17"/>
      <c r="H147" s="17"/>
      <c r="I147" s="17"/>
      <c r="J147" s="17"/>
      <c r="L147" s="17"/>
      <c r="M147" s="17"/>
      <c r="N147" s="17"/>
      <c r="O147" s="34"/>
      <c r="P147" s="34"/>
    </row>
    <row r="148" spans="1:16" x14ac:dyDescent="0.2">
      <c r="A148" s="34" t="s">
        <v>308</v>
      </c>
      <c r="B148" s="151" t="s">
        <v>400</v>
      </c>
      <c r="F148" s="17"/>
      <c r="G148" s="17"/>
      <c r="H148" s="17"/>
      <c r="I148" s="17"/>
      <c r="J148" s="17"/>
      <c r="L148" s="17"/>
      <c r="M148" s="17"/>
      <c r="N148" s="17"/>
      <c r="O148" s="34"/>
      <c r="P148" s="34"/>
    </row>
    <row r="149" spans="1:16" x14ac:dyDescent="0.2">
      <c r="A149">
        <f>COUNTA(A25:A148)</f>
        <v>124</v>
      </c>
      <c r="F149" s="17"/>
      <c r="G149" s="17"/>
      <c r="H149" s="17"/>
      <c r="I149" s="17"/>
      <c r="J149" s="17"/>
      <c r="L149" s="17"/>
      <c r="M149" s="17"/>
      <c r="N149" s="17"/>
      <c r="O149" s="34"/>
      <c r="P149" s="34"/>
    </row>
    <row r="150" spans="1:16" x14ac:dyDescent="0.2">
      <c r="F150" s="17"/>
      <c r="G150" s="17"/>
      <c r="H150" s="17"/>
      <c r="I150" s="17"/>
      <c r="J150" s="17"/>
      <c r="L150" s="17"/>
      <c r="M150" s="17"/>
      <c r="N150" s="17"/>
      <c r="O150" s="34"/>
      <c r="P150" s="34"/>
    </row>
    <row r="151" spans="1:16" x14ac:dyDescent="0.2">
      <c r="F151" s="17"/>
      <c r="G151" s="17"/>
      <c r="H151" s="17"/>
      <c r="I151" s="17"/>
      <c r="J151" s="17"/>
      <c r="L151" s="17"/>
      <c r="M151" s="17"/>
      <c r="N151" s="17"/>
      <c r="O151" s="17"/>
      <c r="P151" s="34"/>
    </row>
    <row r="152" spans="1:16" x14ac:dyDescent="0.2">
      <c r="F152" s="17"/>
      <c r="G152" s="17"/>
      <c r="H152" s="17"/>
      <c r="I152" s="17"/>
      <c r="J152" s="17"/>
      <c r="L152" s="17"/>
      <c r="M152" s="17"/>
      <c r="N152" s="17"/>
      <c r="O152" s="17"/>
      <c r="P152" s="34"/>
    </row>
    <row r="153" spans="1:16" x14ac:dyDescent="0.2">
      <c r="F153" s="17"/>
      <c r="G153" s="17"/>
      <c r="H153" s="17"/>
      <c r="I153" s="17"/>
      <c r="J153" s="17"/>
      <c r="L153" s="17"/>
      <c r="M153" s="17"/>
      <c r="N153" s="17"/>
      <c r="O153" s="17"/>
      <c r="P153" s="17"/>
    </row>
    <row r="154" spans="1:16" x14ac:dyDescent="0.2">
      <c r="F154" s="17"/>
      <c r="G154" s="17"/>
      <c r="H154" s="17"/>
      <c r="I154" s="17"/>
      <c r="J154" s="17"/>
      <c r="L154" s="17"/>
      <c r="M154" s="17"/>
      <c r="N154" s="17"/>
      <c r="O154" s="17"/>
      <c r="P154" s="17"/>
    </row>
    <row r="155" spans="1:16" x14ac:dyDescent="0.2">
      <c r="F155" s="17"/>
      <c r="G155" s="17"/>
      <c r="H155" s="17"/>
      <c r="I155" s="17"/>
      <c r="J155" s="17"/>
      <c r="L155" s="17"/>
      <c r="M155" s="17"/>
      <c r="N155" s="17"/>
      <c r="O155" s="17"/>
      <c r="P155" s="17"/>
    </row>
    <row r="156" spans="1:16" x14ac:dyDescent="0.2">
      <c r="F156" s="17"/>
      <c r="G156" s="17"/>
      <c r="H156" s="17"/>
      <c r="I156" s="17"/>
      <c r="J156" s="17"/>
      <c r="L156" s="17"/>
      <c r="M156" s="17"/>
      <c r="N156" s="17"/>
      <c r="O156" s="17"/>
      <c r="P156" s="17"/>
    </row>
    <row r="157" spans="1:16" x14ac:dyDescent="0.2">
      <c r="F157" s="17"/>
      <c r="G157" s="17"/>
      <c r="H157" s="17"/>
      <c r="I157" s="17"/>
      <c r="J157" s="17"/>
      <c r="L157" s="17"/>
      <c r="M157" s="17"/>
      <c r="N157" s="17"/>
      <c r="O157" s="17"/>
      <c r="P157" s="17"/>
    </row>
    <row r="158" spans="1:16" x14ac:dyDescent="0.2">
      <c r="F158" s="17"/>
      <c r="G158" s="17"/>
      <c r="H158" s="17"/>
      <c r="I158" s="17"/>
      <c r="J158" s="17"/>
      <c r="L158" s="17"/>
      <c r="M158" s="17"/>
      <c r="N158" s="17"/>
      <c r="O158" s="17"/>
      <c r="P158" s="17"/>
    </row>
    <row r="159" spans="1:16" x14ac:dyDescent="0.2">
      <c r="F159" s="17"/>
      <c r="G159" s="17"/>
      <c r="H159" s="17"/>
      <c r="I159" s="17"/>
      <c r="J159" s="17"/>
      <c r="L159" s="17"/>
      <c r="M159" s="17"/>
      <c r="N159" s="17"/>
      <c r="O159" s="17"/>
      <c r="P159" s="17"/>
    </row>
    <row r="160" spans="1:16" x14ac:dyDescent="0.2">
      <c r="F160" s="17"/>
      <c r="G160" s="17"/>
      <c r="H160" s="17"/>
      <c r="I160" s="17"/>
      <c r="J160" s="17"/>
      <c r="L160" s="17"/>
      <c r="M160" s="17"/>
      <c r="N160" s="17"/>
      <c r="O160" s="17"/>
      <c r="P160" s="17"/>
    </row>
    <row r="161" spans="6:16" x14ac:dyDescent="0.2">
      <c r="F161" s="17"/>
      <c r="G161" s="17"/>
      <c r="H161" s="17"/>
      <c r="I161" s="17"/>
      <c r="J161" s="17"/>
      <c r="L161" s="17"/>
      <c r="M161" s="17"/>
      <c r="N161" s="17"/>
      <c r="O161" s="17"/>
      <c r="P161" s="17"/>
    </row>
    <row r="162" spans="6:16" x14ac:dyDescent="0.2">
      <c r="F162" s="17"/>
      <c r="G162" s="17"/>
      <c r="H162" s="17"/>
      <c r="I162" s="17"/>
      <c r="J162" s="17"/>
      <c r="L162" s="17"/>
      <c r="M162" s="17"/>
      <c r="N162" s="17"/>
      <c r="O162" s="17"/>
      <c r="P162" s="17"/>
    </row>
    <row r="163" spans="6:16" x14ac:dyDescent="0.2">
      <c r="F163" s="17"/>
      <c r="G163" s="17"/>
      <c r="H163" s="17"/>
      <c r="I163" s="17"/>
      <c r="J163" s="17"/>
      <c r="L163" s="17"/>
      <c r="M163" s="17"/>
      <c r="N163" s="17"/>
      <c r="O163" s="17"/>
      <c r="P163" s="17"/>
    </row>
    <row r="164" spans="6:16" x14ac:dyDescent="0.2">
      <c r="F164" s="17"/>
      <c r="G164" s="17"/>
      <c r="H164" s="17"/>
      <c r="I164" s="17"/>
      <c r="J164" s="17"/>
      <c r="L164" s="17"/>
      <c r="M164" s="17"/>
      <c r="N164" s="17"/>
      <c r="O164" s="17"/>
      <c r="P164" s="17"/>
    </row>
    <row r="165" spans="6:16" x14ac:dyDescent="0.2">
      <c r="F165" s="17"/>
      <c r="G165" s="17"/>
      <c r="H165" s="17"/>
      <c r="I165" s="17"/>
      <c r="J165" s="17"/>
      <c r="L165" s="17"/>
      <c r="M165" s="17"/>
      <c r="N165" s="17"/>
      <c r="O165" s="17"/>
      <c r="P165" s="17"/>
    </row>
    <row r="166" spans="6:16" x14ac:dyDescent="0.2">
      <c r="F166" s="17"/>
      <c r="G166" s="17"/>
      <c r="H166" s="17"/>
      <c r="I166" s="17"/>
      <c r="J166" s="17"/>
      <c r="L166" s="17"/>
      <c r="M166" s="17"/>
      <c r="N166" s="17"/>
      <c r="O166" s="17"/>
      <c r="P166" s="17"/>
    </row>
    <row r="167" spans="6:16" x14ac:dyDescent="0.2">
      <c r="F167" s="17"/>
      <c r="G167" s="17"/>
      <c r="H167" s="17"/>
      <c r="I167" s="17"/>
      <c r="J167" s="17"/>
      <c r="L167" s="17"/>
      <c r="M167" s="17"/>
      <c r="N167" s="17"/>
      <c r="O167" s="17"/>
      <c r="P167" s="17"/>
    </row>
    <row r="168" spans="6:16" x14ac:dyDescent="0.2">
      <c r="F168" s="17"/>
      <c r="G168" s="17"/>
      <c r="H168" s="17"/>
      <c r="I168" s="17"/>
      <c r="J168" s="17"/>
      <c r="L168" s="17"/>
      <c r="M168" s="17"/>
      <c r="N168" s="17"/>
      <c r="O168" s="17"/>
      <c r="P168" s="17"/>
    </row>
    <row r="169" spans="6:16" x14ac:dyDescent="0.2">
      <c r="F169" s="17"/>
      <c r="G169" s="17"/>
      <c r="H169" s="17"/>
      <c r="I169" s="17"/>
      <c r="J169" s="17"/>
      <c r="L169" s="17"/>
      <c r="M169" s="17"/>
      <c r="N169" s="17"/>
      <c r="O169" s="17"/>
      <c r="P169" s="17"/>
    </row>
    <row r="170" spans="6:16" x14ac:dyDescent="0.2">
      <c r="F170" s="17"/>
      <c r="G170" s="17"/>
      <c r="H170" s="17"/>
      <c r="I170" s="17"/>
      <c r="J170" s="17"/>
      <c r="L170" s="17"/>
      <c r="M170" s="17"/>
      <c r="N170" s="17"/>
      <c r="O170" s="17"/>
      <c r="P170" s="17"/>
    </row>
    <row r="171" spans="6:16" x14ac:dyDescent="0.2">
      <c r="I171" s="17"/>
      <c r="J171" s="17"/>
      <c r="L171" s="17"/>
      <c r="M171" s="17"/>
      <c r="N171" s="17"/>
      <c r="O171" s="17"/>
      <c r="P171" s="17"/>
    </row>
    <row r="172" spans="6:16" x14ac:dyDescent="0.2">
      <c r="L172" s="17"/>
      <c r="M172" s="17"/>
      <c r="N172" s="17"/>
      <c r="O172" s="17"/>
      <c r="P172" s="17"/>
    </row>
    <row r="173" spans="6:16" x14ac:dyDescent="0.2">
      <c r="N173" s="17"/>
      <c r="O173" s="17"/>
      <c r="P173" s="17"/>
    </row>
    <row r="174" spans="6:16" x14ac:dyDescent="0.2">
      <c r="N174" s="17"/>
      <c r="O174" s="17"/>
      <c r="P174" s="17"/>
    </row>
    <row r="175" spans="6:16" x14ac:dyDescent="0.2">
      <c r="P175" s="17"/>
    </row>
    <row r="176" spans="6:16" x14ac:dyDescent="0.2">
      <c r="P176" s="17"/>
    </row>
  </sheetData>
  <sortState ref="C25:J114">
    <sortCondition ref="E25:E1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Corrected</vt:lpstr>
      <vt:lpstr>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2017-10-03T17:07:31Z</dcterms:created>
  <dcterms:modified xsi:type="dcterms:W3CDTF">2018-01-19T14:43:36Z</dcterms:modified>
</cp:coreProperties>
</file>